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8_{FE3FF14B-1D90-4424-AD93-3AE90B3D21ED}" xr6:coauthVersionLast="47" xr6:coauthVersionMax="47"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8" i="19" l="1"/>
  <c r="T227" i="19"/>
  <c r="T226" i="19"/>
  <c r="T225" i="19"/>
  <c r="T224" i="19"/>
  <c r="T223" i="19"/>
  <c r="T222" i="19"/>
  <c r="T221" i="19"/>
  <c r="Q228" i="19"/>
  <c r="Q227" i="19"/>
  <c r="Q226" i="19"/>
  <c r="Q225" i="19"/>
  <c r="Q224" i="19"/>
  <c r="Q223" i="19"/>
  <c r="Q222" i="19"/>
  <c r="Q221" i="19"/>
  <c r="N228" i="19"/>
  <c r="N227" i="19"/>
  <c r="N226" i="19"/>
  <c r="N225" i="19"/>
  <c r="N224" i="19"/>
  <c r="N223" i="19"/>
  <c r="N222" i="19"/>
  <c r="N221" i="19"/>
  <c r="D228" i="19" l="1"/>
  <c r="D227" i="19"/>
  <c r="D226" i="19"/>
  <c r="D225" i="19"/>
  <c r="D224" i="19"/>
  <c r="D223" i="19"/>
  <c r="D222" i="19"/>
  <c r="D221" i="19"/>
  <c r="C228" i="19"/>
  <c r="C227" i="19"/>
  <c r="C226" i="19"/>
  <c r="C225" i="19"/>
  <c r="C224" i="19"/>
  <c r="C223" i="19"/>
  <c r="C222" i="19"/>
  <c r="C221" i="19"/>
  <c r="B124" i="21" l="1"/>
  <c r="I62" i="19" s="1"/>
  <c r="Y92" i="19"/>
  <c r="Y82" i="19"/>
  <c r="Y100" i="19" s="1"/>
  <c r="Y111" i="19" s="1"/>
  <c r="X122" i="19"/>
  <c r="S232" i="19"/>
  <c r="S230" i="19" s="1"/>
  <c r="R232" i="19"/>
  <c r="R230" i="19" s="1"/>
  <c r="P232" i="19"/>
  <c r="P230" i="19" s="1"/>
  <c r="O232" i="19"/>
  <c r="O230" i="19" s="1"/>
  <c r="M232" i="19"/>
  <c r="M230" i="19" s="1"/>
  <c r="L232" i="19"/>
  <c r="L230" i="19" s="1"/>
  <c r="S231" i="19"/>
  <c r="G231" i="19"/>
  <c r="E231"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W133" i="19"/>
  <c r="T133" i="19"/>
  <c r="Q133" i="19"/>
  <c r="N133" i="19"/>
  <c r="Y132" i="19"/>
  <c r="X132" i="19"/>
  <c r="W132" i="19"/>
  <c r="T132" i="19"/>
  <c r="Q132" i="19"/>
  <c r="N132" i="19"/>
  <c r="D132" i="19"/>
  <c r="D133" i="19" s="1"/>
  <c r="C132" i="19"/>
  <c r="C133" i="19" s="1"/>
  <c r="Y131" i="19"/>
  <c r="X131" i="19"/>
  <c r="W131" i="19"/>
  <c r="T131" i="19"/>
  <c r="Q131" i="19"/>
  <c r="N131" i="19"/>
  <c r="Y130" i="19"/>
  <c r="X130" i="19"/>
  <c r="T130" i="19"/>
  <c r="Q130" i="19"/>
  <c r="N130" i="19"/>
  <c r="Y129" i="19"/>
  <c r="X129" i="19"/>
  <c r="T129" i="19"/>
  <c r="Q129" i="19"/>
  <c r="N129" i="19"/>
  <c r="Y128" i="19"/>
  <c r="X128" i="19"/>
  <c r="T128" i="19"/>
  <c r="Q128" i="19"/>
  <c r="N128" i="19"/>
  <c r="D128" i="19"/>
  <c r="C128" i="19"/>
  <c r="C129" i="19" s="1"/>
  <c r="T127" i="19"/>
  <c r="Q127" i="19"/>
  <c r="N127" i="19"/>
  <c r="T126" i="19"/>
  <c r="Q126" i="19"/>
  <c r="N126" i="19"/>
  <c r="Y125" i="19"/>
  <c r="X125" i="19"/>
  <c r="T125" i="19"/>
  <c r="Q125" i="19"/>
  <c r="N125" i="19"/>
  <c r="Y124" i="19"/>
  <c r="X124" i="19"/>
  <c r="T124" i="19"/>
  <c r="Q124" i="19"/>
  <c r="N124" i="19"/>
  <c r="D124" i="19"/>
  <c r="C124" i="19"/>
  <c r="C125" i="19" s="1"/>
  <c r="Y123" i="19"/>
  <c r="X123" i="19"/>
  <c r="T123" i="19"/>
  <c r="Q123" i="19"/>
  <c r="N123" i="19"/>
  <c r="Y122" i="19"/>
  <c r="W122" i="19"/>
  <c r="T122" i="19"/>
  <c r="Q122" i="19"/>
  <c r="N122" i="19"/>
  <c r="Y121" i="19"/>
  <c r="X121" i="19"/>
  <c r="T121" i="19"/>
  <c r="Q121" i="19"/>
  <c r="N121" i="19"/>
  <c r="C121" i="19"/>
  <c r="C122" i="19" s="1"/>
  <c r="T120" i="19"/>
  <c r="Q120" i="19"/>
  <c r="N120" i="19"/>
  <c r="D120" i="19"/>
  <c r="C120" i="19"/>
  <c r="T119" i="19"/>
  <c r="Q119" i="19"/>
  <c r="N119" i="19"/>
  <c r="T118" i="19"/>
  <c r="Q118" i="19"/>
  <c r="N118" i="19"/>
  <c r="Y117" i="19"/>
  <c r="X117" i="19"/>
  <c r="W117" i="19"/>
  <c r="T117" i="19"/>
  <c r="Q117" i="19"/>
  <c r="N117" i="19"/>
  <c r="T116" i="19"/>
  <c r="Q116" i="19"/>
  <c r="N116" i="19"/>
  <c r="D116" i="19"/>
  <c r="C116" i="19"/>
  <c r="T115" i="19"/>
  <c r="Q115" i="19"/>
  <c r="N115" i="19"/>
  <c r="Y114" i="19"/>
  <c r="X114" i="19"/>
  <c r="W114" i="19"/>
  <c r="T114" i="19"/>
  <c r="Q114" i="19"/>
  <c r="N114" i="19"/>
  <c r="Y113" i="19"/>
  <c r="X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X92" i="19"/>
  <c r="W92" i="19"/>
  <c r="N92" i="19"/>
  <c r="Y91" i="19"/>
  <c r="X91" i="19"/>
  <c r="W91" i="19"/>
  <c r="N91" i="19"/>
  <c r="Y90" i="19"/>
  <c r="X90" i="19"/>
  <c r="W90" i="19"/>
  <c r="N90" i="19"/>
  <c r="Y89" i="19"/>
  <c r="W89" i="19"/>
  <c r="N89" i="19"/>
  <c r="X88" i="19"/>
  <c r="W88" i="19"/>
  <c r="N88" i="19"/>
  <c r="X87" i="19"/>
  <c r="W87" i="19"/>
  <c r="N87" i="19"/>
  <c r="Y86" i="19"/>
  <c r="X86" i="19"/>
  <c r="W86" i="19"/>
  <c r="N86" i="19"/>
  <c r="Y85" i="19"/>
  <c r="X85" i="19"/>
  <c r="W85" i="19"/>
  <c r="N85" i="19"/>
  <c r="Y84" i="19"/>
  <c r="X84" i="19"/>
  <c r="W84" i="19"/>
  <c r="N84" i="19"/>
  <c r="Y83" i="19"/>
  <c r="X83" i="19"/>
  <c r="W83" i="19"/>
  <c r="N83" i="19"/>
  <c r="N82" i="19"/>
  <c r="N81" i="19"/>
  <c r="N80" i="19"/>
  <c r="N79" i="19"/>
  <c r="N78" i="19"/>
  <c r="Y77" i="19"/>
  <c r="N77" i="19"/>
  <c r="Y76" i="19"/>
  <c r="X76" i="19"/>
  <c r="N76" i="19"/>
  <c r="Y75" i="19"/>
  <c r="X75" i="19"/>
  <c r="N75" i="19"/>
  <c r="X74" i="19"/>
  <c r="N74" i="19"/>
  <c r="N73" i="19"/>
  <c r="Y72" i="19"/>
  <c r="X72" i="19"/>
  <c r="N72" i="19"/>
  <c r="N71" i="19"/>
  <c r="Z70" i="19"/>
  <c r="Y70" i="19"/>
  <c r="AD61" i="19"/>
  <c r="AE32" i="19"/>
  <c r="B20" i="21" s="1"/>
  <c r="W32" i="19"/>
  <c r="P32" i="19"/>
  <c r="I32" i="19"/>
  <c r="B14" i="21" s="1"/>
  <c r="A32" i="19"/>
  <c r="B12" i="21" s="1"/>
  <c r="AE6" i="19"/>
  <c r="W6" i="19"/>
  <c r="B17" i="21" s="1"/>
  <c r="I6" i="19"/>
  <c r="B13" i="21" s="1"/>
  <c r="A6" i="19"/>
  <c r="B11" i="21" s="1"/>
  <c r="A51" i="23"/>
  <c r="B123" i="21"/>
  <c r="P61" i="19" s="1"/>
  <c r="B61" i="21"/>
  <c r="H28" i="21"/>
  <c r="H29" i="21" s="1"/>
  <c r="H31" i="21" s="1"/>
  <c r="H27" i="21"/>
  <c r="H26" i="21"/>
  <c r="H24" i="21"/>
  <c r="B19" i="21"/>
  <c r="B18" i="21"/>
  <c r="B16" i="21"/>
  <c r="B15" i="21"/>
  <c r="W93" i="19" l="1"/>
  <c r="W95" i="19" s="1"/>
  <c r="Y104" i="19"/>
  <c r="X104" i="19"/>
  <c r="Y115" i="19"/>
  <c r="B62" i="21"/>
  <c r="H32" i="21"/>
  <c r="H33" i="21"/>
  <c r="H34" i="21" s="1"/>
  <c r="H35" i="21" s="1"/>
  <c r="H36" i="21" s="1"/>
  <c r="H37" i="21" s="1"/>
  <c r="H38" i="21" s="1"/>
  <c r="H40" i="21" s="1"/>
  <c r="X115" i="19"/>
  <c r="C117" i="19"/>
  <c r="C118" i="19" s="1"/>
  <c r="C130" i="19"/>
  <c r="A62" i="19"/>
  <c r="W113" i="19"/>
  <c r="W115" i="19" s="1"/>
  <c r="X77" i="19"/>
  <c r="X78" i="19" s="1"/>
  <c r="Z77" i="19"/>
  <c r="Z75" i="19"/>
  <c r="Z72" i="19"/>
  <c r="Z76" i="19"/>
  <c r="Z74" i="19"/>
  <c r="W106" i="19"/>
  <c r="W104" i="19" s="1"/>
  <c r="H53" i="24"/>
  <c r="A53" i="24"/>
  <c r="AD62" i="19"/>
  <c r="W62" i="19"/>
  <c r="P62" i="19"/>
  <c r="C126" i="19"/>
  <c r="Y87" i="19"/>
  <c r="Y93" i="19" s="1"/>
  <c r="Y88" i="19"/>
  <c r="Y74" i="19"/>
  <c r="Y78" i="19" s="1"/>
  <c r="W123" i="19"/>
  <c r="X133" i="19"/>
  <c r="W121" i="19"/>
  <c r="W82" i="19"/>
  <c r="W100" i="19" s="1"/>
  <c r="W111" i="19" s="1"/>
  <c r="X70" i="19"/>
  <c r="W128" i="19"/>
  <c r="W125" i="19"/>
  <c r="X89" i="19"/>
  <c r="X93" i="19" s="1"/>
  <c r="X95" i="19" s="1"/>
  <c r="W130" i="19"/>
  <c r="W129" i="19"/>
  <c r="A52" i="23"/>
  <c r="W124" i="19"/>
  <c r="D125" i="19"/>
  <c r="D126" i="19" s="1"/>
  <c r="D129" i="19"/>
  <c r="D130" i="19" s="1"/>
  <c r="D121" i="19"/>
  <c r="D122" i="19" s="1"/>
  <c r="A61" i="19"/>
  <c r="I61" i="19"/>
  <c r="D117" i="19"/>
  <c r="D118" i="19" s="1"/>
  <c r="H52" i="24"/>
  <c r="A52" i="24"/>
  <c r="W61" i="19"/>
  <c r="X82" i="19"/>
  <c r="X100" i="19" s="1"/>
  <c r="X111" i="19" s="1"/>
  <c r="Y95" i="19" l="1"/>
  <c r="R231" i="19"/>
  <c r="L231" i="19"/>
  <c r="M231" i="19"/>
  <c r="P231" i="19"/>
  <c r="O231" i="19"/>
  <c r="H41" i="21"/>
  <c r="H43" i="21"/>
  <c r="Z78" i="19"/>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<sst xmlns="http://schemas.openxmlformats.org/spreadsheetml/2006/main" count="1536" uniqueCount="244">
  <si>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</si>
  <si>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</si>
  <si>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</si>
  <si>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</si>
  <si>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</si>
  <si>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</si>
  <si>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</si>
  <si>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</si>
  <si>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</si>
  <si>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</si>
  <si>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</si>
  <si>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</si>
  <si>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</si>
  <si>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</si>
  <si>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</si>
  <si>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</si>
  <si>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</si>
  <si>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</si>
  <si>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</si>
  <si>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</si>
  <si>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</si>
  <si>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</si>
  <si>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</si>
  <si>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</si>
  <si>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</si>
  <si>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</si>
  <si>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</si>
  <si>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</si>
  <si>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</si>
  <si>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</si>
  <si>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</si>
  <si>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</si>
  <si>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</si>
  <si>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</si>
  <si>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</si>
  <si>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</si>
  <si>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</si>
  <si>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</si>
  <si>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</si>
  <si>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</si>
  <si>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</si>
  <si>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</si>
  <si>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</si>
  <si>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</si>
  <si>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</si>
  <si>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</si>
  <si>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</si>
  <si>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</si>
  <si>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</si>
  <si>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</si>
  <si>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</si>
  <si>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</si>
  <si>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</si>
  <si>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</si>
  <si>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</si>
  <si>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</si>
  <si>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</si>
  <si>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</si>
  <si>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</si>
  <si>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</si>
  <si>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</si>
  <si>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</si>
  <si>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</si>
  <si>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</si>
  <si>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</si>
  <si>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</si>
  <si>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</si>
  <si>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</si>
  <si>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</si>
  <si>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</si>
  <si>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</si>
  <si>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</si>
  <si>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</si>
  <si>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</si>
  <si>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</si>
  <si>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</si>
  <si>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</si>
  <si>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</si>
  <si>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</si>
  <si>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</si>
  <si>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</si>
  <si>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</si>
  <si>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</si>
  <si>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</si>
  <si>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</si>
  <si>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</si>
  <si>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</si>
  <si>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</si>
  <si>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</si>
  <si>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</si>
  <si>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</si>
  <si>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</si>
  <si>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</si>
  <si>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</si>
  <si>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</si>
  <si>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</si>
  <si>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</si>
  <si>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</si>
  <si>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</si>
  <si>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</si>
  <si>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</si>
  <si>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</si>
  <si>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</si>
  <si>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</si>
  <si>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</si>
  <si>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</si>
  <si>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</si>
  <si>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</si>
  <si>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</si>
  <si>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</si>
  <si>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</si>
  <si>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</si>
  <si>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</si>
  <si>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</si>
  <si>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</si>
  <si>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</si>
  <si>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</si>
  <si>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</si>
  <si>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</si>
  <si>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</si>
  <si>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</si>
  <si>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</si>
  <si>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</si>
  <si>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</si>
  <si>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</si>
  <si>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</si>
  <si>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</si>
  <si>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</si>
  <si>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</si>
  <si>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</si>
  <si>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</si>
  <si>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</si>
  <si>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</si>
  <si>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</si>
  <si>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</si>
  <si>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</si>
  <si>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</si>
  <si>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</si>
  <si>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</si>
  <si>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</si>
  <si>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</si>
  <si>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</si>
  <si>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</si>
  <si>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</si>
  <si>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</si>
  <si>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</si>
  <si>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</si>
  <si>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</si>
  <si>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</si>
  <si>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</si>
  <si>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</si>
  <si>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</si>
  <si>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</si>
  <si>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</si>
  <si>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</si>
  <si>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</si>
  <si>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</si>
  <si>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</si>
  <si>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</si>
  <si>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</si>
  <si>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</si>
  <si>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</si>
  <si>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</si>
  <si>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</si>
  <si>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</si>
  <si>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</si>
  <si>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</si>
  <si>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</si>
  <si>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</si>
  <si>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</si>
  <si>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</si>
  <si>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</si>
  <si>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</si>
  <si>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</si>
  <si>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</si>
  <si>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</si>
  <si>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</si>
  <si>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</si>
  <si>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</si>
  <si>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</si>
  <si>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</si>
  <si>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</si>
  <si>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</si>
  <si>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</si>
  <si>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</si>
  <si>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</si>
  <si>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</si>
  <si>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</si>
  <si>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</si>
  <si>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</si>
  <si>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</si>
  <si>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</si>
  <si>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</si>
  <si>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</si>
  <si>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</si>
  <si>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</si>
  <si>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</si>
  <si>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</si>
  <si>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</si>
  <si>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</si>
  <si>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</si>
  <si>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</si>
  <si>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</si>
  <si>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</si>
  <si>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</si>
  <si>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</si>
  <si>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</si>
  <si>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</si>
  <si>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</si>
  <si>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</si>
  <si>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</si>
  <si>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</si>
  <si>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</si>
  <si>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</si>
  <si>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</si>
  <si>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</si>
  <si>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</si>
  <si>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</si>
  <si>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</si>
  <si>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</si>
  <si>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</si>
  <si>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</si>
  <si>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</si>
  <si>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</si>
  <si>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</si>
  <si>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</si>
  <si>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</si>
  <si>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</si>
  <si>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</si>
  <si>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</si>
  <si>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</si>
  <si>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</si>
  <si>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</si>
  <si>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</si>
  <si>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</si>
  <si>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2020</t>
  </si>
  <si>
    <t>2021</t>
  </si>
  <si>
    <t>2022</t>
  </si>
  <si>
    <t>20-22</t>
  </si>
  <si>
    <t>21-22</t>
  </si>
  <si>
    <t>*</t>
  </si>
  <si>
    <t>Hittil i år</t>
  </si>
  <si>
    <t>Finans Norge / Skadeforsikringsstatistikk</t>
  </si>
  <si>
    <t>Skadestatistikk for landbasert forsikring 2. kvartal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</si>
</sst>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'Tab2'!$B$71:$B$228</c:f>
              <c:numCache>
                <c:formatCode>General</c:formatCode>
                <c:ptCount val="15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'Tab2'!$C$71:$C$228</c:f>
              <c:numCache>
                <c:formatCode>General</c:formatCode>
                <c:ptCount val="158"/>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'Tab2'!$B$71:$B$228</c:f>
              <c:numCache>
                <c:formatCode>General</c:formatCode>
                <c:ptCount val="15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'Tab2'!$D$71:$D$228</c:f>
              <c:numCache>
                <c:formatCode>General</c:formatCode>
                <c:ptCount val="158"/>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'Tab2'!$K$103:$K$228</c:f>
              <c:numCache>
                <c:formatCode>General</c:formatCode>
                <c:ptCount val="12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'Tab2'!$T$103:$T$228</c:f>
              <c:numCache>
                <c:formatCode>#\ ##0.0</c:formatCode>
                <c:ptCount val="126"/>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'Tab2'!$K$103:$K$228</c:f>
              <c:numCache>
                <c:formatCode>General</c:formatCode>
                <c:ptCount val="12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'Tab2'!$R$103:$R$228</c:f>
              <c:numCache>
                <c:formatCode>#,##0</c:formatCode>
                <c:ptCount val="126"/>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95.154536782633059</c:v>
                </c:pt>
                <c:pt idx="1">
                  <c:v>837.08931377556712</c:v>
                </c:pt>
                <c:pt idx="2">
                  <c:v>141.44494198822775</c:v>
                </c:pt>
                <c:pt idx="3">
                  <c:v>813.88718165593161</c:v>
                </c:pt>
                <c:pt idx="4" formatCode="0.000">
                  <c:v>7195.4865714199123</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4291.2065040304733</c:v>
                </c:pt>
                <c:pt idx="1">
                  <c:v>3215.9968028142866</c:v>
                </c:pt>
                <c:pt idx="2">
                  <c:v>917.48112890574225</c:v>
                </c:pt>
                <c:pt idx="3">
                  <c:v>966.10268894516707</c:v>
                </c:pt>
                <c:pt idx="4">
                  <c:v>401.42631068577151</c:v>
                </c:pt>
                <c:pt idx="5">
                  <c:v>1893.5409275796746</c:v>
                </c:pt>
                <c:pt idx="6">
                  <c:v>262.93120032699858</c:v>
                </c:pt>
                <c:pt idx="7">
                  <c:v>651.86936651844553</c:v>
                </c:pt>
                <c:pt idx="8">
                  <c:v>94.89232920539061</c:v>
                </c:pt>
                <c:pt idx="9">
                  <c:v>662.49776396796972</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4964.3175105394348</c:v>
                </c:pt>
                <c:pt idx="1">
                  <c:v>3185.2108121119513</c:v>
                </c:pt>
                <c:pt idx="2">
                  <c:v>934.05641670497062</c:v>
                </c:pt>
                <c:pt idx="3">
                  <c:v>1230.7896372137748</c:v>
                </c:pt>
                <c:pt idx="4">
                  <c:v>485.77042894766703</c:v>
                </c:pt>
                <c:pt idx="5">
                  <c:v>225.66951530811212</c:v>
                </c:pt>
                <c:pt idx="6">
                  <c:v>246.51905838508478</c:v>
                </c:pt>
                <c:pt idx="7">
                  <c:v>780.01778428583316</c:v>
                </c:pt>
                <c:pt idx="8">
                  <c:v>113.79724607921291</c:v>
                </c:pt>
                <c:pt idx="9">
                  <c:v>628.90855637301138</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2022</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4717.4220546755651</c:v>
                </c:pt>
                <c:pt idx="1">
                  <c:v>2973.6566209012212</c:v>
                </c:pt>
                <c:pt idx="2">
                  <c:v>948.3790556304416</c:v>
                </c:pt>
                <c:pt idx="3">
                  <c:v>1543.8984577252118</c:v>
                </c:pt>
                <c:pt idx="4">
                  <c:v>344.9671839410957</c:v>
                </c:pt>
                <c:pt idx="5">
                  <c:v>838.3394809967931</c:v>
                </c:pt>
                <c:pt idx="6">
                  <c:v>222.00533916257521</c:v>
                </c:pt>
                <c:pt idx="7">
                  <c:v>808.89411421755653</c:v>
                </c:pt>
                <c:pt idx="8">
                  <c:v>87.347711370995484</c:v>
                </c:pt>
                <c:pt idx="9">
                  <c:v>695.60712276695779</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14515.715485746958</c:v>
                </c:pt>
                <c:pt idx="1">
                  <c:v>42736.006414462456</c:v>
                </c:pt>
                <c:pt idx="2">
                  <c:v>17552.031031701117</c:v>
                </c:pt>
                <c:pt idx="3" formatCode="_ * #\ ##0_ ;_ * \-#\ ##0_ ;_ * &quot;-&quot;??_ ;_ @_ ">
                  <c:v>162737.46653599822</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15152.744923188406</c:v>
                </c:pt>
                <c:pt idx="1">
                  <c:v>55420.008292490114</c:v>
                </c:pt>
                <c:pt idx="2">
                  <c:v>14942.033661490683</c:v>
                </c:pt>
                <c:pt idx="3" formatCode="_ * #\ ##0_ ;_ * \-#\ ##0_ ;_ * &quot;-&quot;??_ ;_ @_ ">
                  <c:v>170017.65894677088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2022</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13298.617970801812</c:v>
                </c:pt>
                <c:pt idx="1">
                  <c:v>42614.572911556912</c:v>
                </c:pt>
                <c:pt idx="2">
                  <c:v>18156.399969810282</c:v>
                </c:pt>
                <c:pt idx="3" formatCode="_ * #\ ##0_ ;_ * \-#\ ##0_ ;_ * &quot;-&quot;??_ ;_ @_ ">
                  <c:v>139810.9075909876</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2968.7342736953419</c:v>
                </c:pt>
                <c:pt idx="1">
                  <c:v>2190.3725613026804</c:v>
                </c:pt>
                <c:pt idx="2">
                  <c:v>271.4427038278331</c:v>
                </c:pt>
                <c:pt idx="3">
                  <c:v>2076.6537680189049</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2936.311272962223</c:v>
                </c:pt>
                <c:pt idx="1">
                  <c:v>2885.078195775337</c:v>
                </c:pt>
                <c:pt idx="2">
                  <c:v>228.67941788130076</c:v>
                </c:pt>
                <c:pt idx="3">
                  <c:v>2099.4594360325264</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2022</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2966.0919424227777</c:v>
                </c:pt>
                <c:pt idx="1">
                  <c:v>2436.6976467575741</c:v>
                </c:pt>
                <c:pt idx="2">
                  <c:v>293.93898534601152</c:v>
                </c:pt>
                <c:pt idx="3">
                  <c:v>1994.3501010504233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294870</c:v>
                </c:pt>
                <c:pt idx="1">
                  <c:v>66159.205778553864</c:v>
                </c:pt>
                <c:pt idx="2">
                  <c:v>106839.91951412651</c:v>
                </c:pt>
                <c:pt idx="3">
                  <c:v>21334.431123936934</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2021</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62196</c:v>
                </c:pt>
                <c:pt idx="1">
                  <c:v>76519.52491323532</c:v>
                </c:pt>
                <c:pt idx="2">
                  <c:v>118109</c:v>
                </c:pt>
                <c:pt idx="3">
                  <c:v>24373.170409300845</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2022</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150658</c:v>
                </c:pt>
                <c:pt idx="1">
                  <c:v>62223.450827534485</c:v>
                </c:pt>
                <c:pt idx="2">
                  <c:v>113246.48745182162</c:v>
                </c:pt>
                <c:pt idx="3">
                  <c:v>21677.887427966238</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5589.2439507481295</c:v>
                </c:pt>
                <c:pt idx="1">
                  <c:v>5601.33677102</c:v>
                </c:pt>
                <c:pt idx="2">
                  <c:v>4272.1273306122448</c:v>
                </c:pt>
                <c:pt idx="3">
                  <c:v>9385.896054622508</c:v>
                </c:pt>
                <c:pt idx="4">
                  <c:v>12597.658333333333</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2021</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5363.9700748129671</c:v>
                </c:pt>
                <c:pt idx="1">
                  <c:v>6032.4699999999993</c:v>
                </c:pt>
                <c:pt idx="2">
                  <c:v>4512.3466285714285</c:v>
                </c:pt>
                <c:pt idx="3">
                  <c:v>11835</c:v>
                </c:pt>
                <c:pt idx="4">
                  <c:v>14157.14</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2022</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4577.5723748753117</c:v>
                </c:pt>
                <c:pt idx="1">
                  <c:v>5969.2924722399994</c:v>
                </c:pt>
                <c:pt idx="2">
                  <c:v>4372.7643300391837</c:v>
                </c:pt>
                <c:pt idx="3">
                  <c:v>9190.9613352168672</c:v>
                </c:pt>
                <c:pt idx="4">
                  <c:v>17803.259999999998</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'Tab2'!$K$71:$K$228</c:f>
              <c:numCache>
                <c:formatCode>General</c:formatCode>
                <c:ptCount val="15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'Tab2'!$N$71:$N$228</c:f>
              <c:numCache>
                <c:formatCode>#\ ##0.0</c:formatCode>
                <c:ptCount val="158"/>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'Tab2'!$K$71:$K$228</c:f>
              <c:numCache>
                <c:formatCode>General</c:formatCode>
                <c:ptCount val="15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'Tab2'!$L$71:$L$228</c:f>
              <c:numCache>
                <c:formatCode>#,##0</c:formatCode>
                <c:ptCount val="158"/>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'Tab2'!$K$103:$K$228</c:f>
              <c:numCache>
                <c:formatCode>General</c:formatCode>
                <c:ptCount val="12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'Tab2'!$Q$103:$Q$228</c:f>
              <c:numCache>
                <c:formatCode>#\ ##0.0</c:formatCode>
                <c:ptCount val="126"/>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'Tab2'!$K$103:$K$228</c:f>
              <c:numCache>
                <c:formatCode>General</c:formatCode>
                <c:ptCount val="12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'Tab2'!$O$103:$O$228</c:f>
              <c:numCache>
                <c:formatCode>#,##0</c:formatCode>
                <c:ptCount val="126"/>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2022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2. september 2022</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3</xdr:row>
      <xdr:rowOff>0</xdr:rowOff>
    </xdr:from>
    <xdr:to>
      <xdr:col>7</xdr:col>
      <xdr:colOff>0</xdr:colOff>
      <xdr:row>47</xdr:row>
      <xdr:rowOff>0</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342900"/>
          <a:ext cx="5350824" cy="8382000"/>
        </a:xfrm>
        <a:prstGeom prst="rect">
          <a:avLst/>
        </a:prstGeom>
        <a:solidFill>
          <a:srgbClr val="FFFFFF"/>
        </a:solidFill>
        <a:ln w="9525">
          <a:noFill/>
          <a:miter lim="800000"/>
          <a:headEnd/>
          <a:tailEnd/>
        </a:ln>
      </xdr:spPr>
      <xdr:txBody>
        <a:bodyPr vertOverflow="clip" wrap="square" lIns="27432" tIns="27432" rIns="0" bIns="0" anchor="t" upright="1"/>
        <a:lstStyle/>
        <a:p>
          <a:r>
            <a:rPr lang="nb-NO" sz="1000" b="1">
              <a:effectLst/>
              <a:latin typeface="Times New Roman" panose="02020603050405020304" pitchFamily="18" charset="0"/>
              <a:ea typeface="+mn-ea"/>
              <a:cs typeface="Times New Roman" panose="02020603050405020304" pitchFamily="18" charset="0"/>
            </a:rPr>
            <a:t>HOVEDTREKK – (nesten) tilbake til normalen før korona</a:t>
          </a:r>
          <a:endParaRPr lang="nb-NO" sz="1000">
            <a:effectLst/>
            <a:latin typeface="Times New Roman" panose="02020603050405020304" pitchFamily="18" charset="0"/>
            <a:ea typeface="+mn-ea"/>
            <a:cs typeface="Times New Roman" panose="02020603050405020304" pitchFamily="18" charset="0"/>
          </a:endParaRPr>
        </a:p>
        <a:p>
          <a:r>
            <a:rPr lang="nb-NO" sz="1000" i="1">
              <a:effectLst/>
              <a:latin typeface="Times New Roman" panose="02020603050405020304" pitchFamily="18" charset="0"/>
              <a:ea typeface="+mn-ea"/>
              <a:cs typeface="Times New Roman" panose="02020603050405020304" pitchFamily="18" charset="0"/>
            </a:rPr>
            <a:t>Merk at korona-begrensende tiltak først ble innført fra 12.mars i 2020, og at det i første halvår 2021 mer eller mindre var slike tiltak i hele perioden. Gjennom 2.kvartal i år er koronatiltakene i Norge opphørt, men en del var gjeldende i 1.kvartal; blant annet fraråding av utenlandsreiser.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Erstatningene for landbasert forsikring hittil i år ble på nesten 24,7 mrd.kr, mot 23,1 mrd. i fjor til samme tid. Økningen fra i fjor skyldes stor erstatningsvekst på motor med 882 mill.kr og på reise med 613 mill.kr. Reise er likevel fortsatt lavere enn 1.halvår 2019; hittil i år er reiseerstatningene på 838 mill.kr som er 28</a:t>
          </a:r>
          <a:r>
            <a:rPr lang="nb-NO" sz="1000" baseline="0">
              <a:effectLst/>
              <a:latin typeface="Times New Roman" panose="02020603050405020304" pitchFamily="18" charset="0"/>
              <a:ea typeface="+mn-ea"/>
              <a:cs typeface="Times New Roman" panose="02020603050405020304" pitchFamily="18" charset="0"/>
            </a:rPr>
            <a:t> %</a:t>
          </a:r>
          <a:r>
            <a:rPr lang="nb-NO" sz="1000">
              <a:effectLst/>
              <a:latin typeface="Times New Roman" panose="02020603050405020304" pitchFamily="18" charset="0"/>
              <a:ea typeface="+mn-ea"/>
              <a:cs typeface="Times New Roman" panose="02020603050405020304" pitchFamily="18" charset="0"/>
            </a:rPr>
            <a:t> lavere enn tilsvarende periode i 2019. Det er reduksjon av vannskader på boliger og næringsbygg fra i fjor, med nesten 450 mill.kr, men i fjor var det en kald vinter med mye frostskader. På personproduktene er det samlet en økning fra i fjor med 514 mill.kr, særlig på behandlingsforsikring og trygghetsforsikring (utover lov om yrkesskade). </a:t>
          </a:r>
        </a:p>
        <a:p>
          <a:r>
            <a:rPr lang="nb-NO" sz="700">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Motor – kald vinter i fjor, gunstig vinter i år, men mer køkjøring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På motorkjøretøy samlet er det økning i antall meldte skader fra i fjor på 3 %, hvor ansvarsskadene økte mest med rundt 13 %, og kaskoskadene økte med nesten 11 %. Fjorårets vinter var mer krevende enn i år, så forklaringen til økningen er antakelig mer bilbruk og køkjøring igjen. Erstatningene hittil i år ble på nesten 9,1 mrd.kr som er en økning på 11 % fra i fjor, og det er særlig på nyttekjøretøy (varebil, buss, lastebil)</a:t>
          </a:r>
          <a:r>
            <a:rPr lang="nb-NO" sz="1100">
              <a:effectLst/>
              <a:latin typeface="+mn-lt"/>
              <a:ea typeface="+mn-ea"/>
              <a:cs typeface="+mn-cs"/>
            </a:rPr>
            <a:t> </a:t>
          </a:r>
          <a:r>
            <a:rPr lang="nb-NO" sz="1000">
              <a:effectLst/>
              <a:latin typeface="Times New Roman" panose="02020603050405020304" pitchFamily="18" charset="0"/>
              <a:ea typeface="+mn-ea"/>
              <a:cs typeface="Times New Roman" panose="02020603050405020304" pitchFamily="18" charset="0"/>
            </a:rPr>
            <a:t>hvor den prosentvise veksten er størst med litt over 20 % (og tilbake på 2019</a:t>
          </a:r>
          <a:r>
            <a:rPr lang="nb-NO" sz="1000" baseline="0">
              <a:effectLst/>
              <a:latin typeface="Times New Roman" panose="02020603050405020304" pitchFamily="18" charset="0"/>
              <a:ea typeface="+mn-ea"/>
              <a:cs typeface="Times New Roman" panose="02020603050405020304" pitchFamily="18" charset="0"/>
            </a:rPr>
            <a:t> nivå)</a:t>
          </a:r>
          <a:r>
            <a:rPr lang="nb-NO" sz="1000">
              <a:effectLst/>
              <a:latin typeface="Times New Roman" panose="02020603050405020304" pitchFamily="18" charset="0"/>
              <a:ea typeface="+mn-ea"/>
              <a:cs typeface="Times New Roman" panose="02020603050405020304" pitchFamily="18" charset="0"/>
            </a:rPr>
            <a:t>. Samlet trafikkansvar-erstatning er på nesten 2,3 milliarder som er en økning på 235 millioner kr fra fjoråret. Kaskoskadene utgjør 4,5 mrd.kr og økningen er på nesten 630 mill.kr. Erstatning etter tyveri (av og fra kjøretøy) økte prosentvis mest fra i fjor, men samlet er det «bare» 95 mill.kr i erstatning mot 72 mill.kr i fjor. Sammenlignet med før-korona-tiden i 2019, var tyverierstatning på 135 mill.kr, så det er fortsatt et stykke igjen!      </a:t>
          </a:r>
        </a:p>
        <a:p>
          <a:r>
            <a:rPr lang="nb-NO" sz="700" b="1">
              <a:effectLst/>
              <a:latin typeface="Times New Roman" panose="02020603050405020304" pitchFamily="18" charset="0"/>
              <a:ea typeface="+mn-ea"/>
              <a:cs typeface="Times New Roman" panose="02020603050405020304" pitchFamily="18" charset="0"/>
            </a:rPr>
            <a:t> </a:t>
          </a:r>
          <a:endParaRPr lang="nb-NO" sz="7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Hus, hjem, hytte – kald vinter i fjor, mer gunstig i år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Erstatninger på private bygninger og innbo hittil i år er på drøye 4,7 mrd.kr, hvor både brann- og vannskadene er på 1,6 mrd.kr. Totalt ble erstatningene redusert med 5 % fra i fjor som også skyldes mindre snøtyngdeskader i år.I fjor var det også mye frostskadde vannrør, mens det i år har vært mer gunstig vinter, så vannskadeerstatningen ble redusert med 15 %, mens brannskadene økte med 5 %. </a:t>
          </a:r>
        </a:p>
        <a:p>
          <a:r>
            <a:rPr lang="nb-NO" sz="700" b="1">
              <a:effectLst/>
              <a:latin typeface="Times New Roman" panose="02020603050405020304" pitchFamily="18" charset="0"/>
              <a:ea typeface="+mn-ea"/>
              <a:cs typeface="Times New Roman" panose="02020603050405020304" pitchFamily="18" charset="0"/>
            </a:rPr>
            <a:t> </a:t>
          </a:r>
          <a:endParaRPr lang="nb-NO" sz="7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Næringsbygg og landbruk – færre storskader på brann</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På næring er erstatningene på bygg, maskiner og løsøre på nesten 3 mrd.kr hittil i år, som er en reduksjon på nesten 7 % fra i fjor. Som på privat skyldes dette hovedsakelig mindre vannskader; fra litt over 1 mrd.kr i fjor til nå 857 mill.kr; en reduksjon på nesten 17 %. I tillegg er det er færre storskader på brann; samlet ble det brannskader for 1,375 mrd. mot 1,426 i fjor. </a:t>
          </a:r>
        </a:p>
        <a:p>
          <a:r>
            <a:rPr lang="nb-NO" sz="700" b="1">
              <a:effectLst/>
              <a:latin typeface="Times New Roman" panose="02020603050405020304" pitchFamily="18" charset="0"/>
              <a:ea typeface="+mn-ea"/>
              <a:cs typeface="Times New Roman" panose="02020603050405020304" pitchFamily="18" charset="0"/>
            </a:rPr>
            <a:t> </a:t>
          </a:r>
          <a:endParaRPr lang="nb-NO" sz="700">
            <a:effectLst/>
            <a:latin typeface="Times New Roman" panose="02020603050405020304" pitchFamily="18" charset="0"/>
            <a:ea typeface="+mn-ea"/>
            <a:cs typeface="Times New Roman" panose="02020603050405020304" pitchFamily="18" charset="0"/>
          </a:endParaRPr>
        </a:p>
        <a:p>
          <a:r>
            <a:rPr lang="nb-NO" sz="1000" b="1">
              <a:effectLst/>
              <a:latin typeface="Times New Roman" panose="02020603050405020304" pitchFamily="18" charset="0"/>
              <a:ea typeface="+mn-ea"/>
              <a:cs typeface="Times New Roman" panose="02020603050405020304" pitchFamily="18" charset="0"/>
            </a:rPr>
            <a:t>Reise – forbud mot unødvendige reiser utenlands i fjor; nesten normalt hittil i år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Koronaeffekten slo mest ut på reiseforsikring, men nå nærmer det seg 2019-nivå. Antall meldte reiseskader hittil i år er på 151.000, mot bare 62.000 i fjor, mens det i første halvår 2019 var på 164.500; drøye 8 % færre i år enn i 2019. Erstatningene hittil i år ble på nesten 840 mill.kr som er 28 % lavere enn tilsvarende i 2019. Erstatning etter tyveri økte faktisk fra 2019-nivå med nesten 5 %, mens reisesykdom har et stykke igjen til 2019-nivå; hittil i år på 269 mill.kr mot 547 mill.kr i 2019. </a:t>
          </a:r>
        </a:p>
        <a:p>
          <a:r>
            <a:rPr lang="nb-NO" sz="700">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Fritidsbåt – normalt i fjor – mindre båtbruk ved høye drivstoffutgifter? </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Hittil i år ble det meldt nesten 15 % færre båtskader og 10 % mindre i erstatning enn i fjor. Det er en viss økning fra i fjor på tyveri; men tyverierstatning utgjør bare 24 mill.kr av totalt 222 mill.kr i år. Det er også noe økte erstatninger på ansvar – fra 1,9 mill.kr i fjor til 2,9 mill.kr. Havari utgjør 132 mill.kr hittil, mot 148 mill.kr i fjor.</a:t>
          </a:r>
        </a:p>
        <a:p>
          <a:r>
            <a:rPr lang="nb-NO" sz="700">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Behandlingsforsikring – økt bruk/behov som følge av hjemmekontor?</a:t>
          </a:r>
          <a:endParaRPr lang="nb-NO" sz="1000">
            <a:effectLst/>
            <a:latin typeface="Times New Roman" panose="02020603050405020304" pitchFamily="18" charset="0"/>
            <a:ea typeface="+mn-ea"/>
            <a:cs typeface="Times New Roman" panose="02020603050405020304" pitchFamily="18" charset="0"/>
          </a:endParaRPr>
        </a:p>
        <a:p>
          <a:r>
            <a:rPr lang="nb-NO" sz="1000">
              <a:effectLst/>
              <a:latin typeface="Times New Roman" panose="02020603050405020304" pitchFamily="18" charset="0"/>
              <a:ea typeface="+mn-ea"/>
              <a:cs typeface="Times New Roman" panose="02020603050405020304" pitchFamily="18" charset="0"/>
            </a:rPr>
            <a:t>Behandlingsforsikring har økende portefølje, så dermed øker også bruken. Antall saker har økt med 24 % fra i fjor; en del mer enn porteføljeveksten (9 %). Det er særlig stor økning på bruk av psykologtjenester. Noe som kan ha sammenheng med at flere har dette inkludert i forsikringsavtalen. Hovedposten av totale erstatninger på 991 mill.kr hittil i år er spesialist/diagnostikk med 321 mill.kr og operasjoner er på nesten 294 mill.kr. Oftest brukt er fysioterapi. Økt bruk kan også ha sammenheng med at koronarestriksjonene/smittevern var mer gjeldende i fjor enn de er i år, slik at det kan være et visst etterslep.    </a:t>
          </a:r>
        </a:p>
        <a:p>
          <a:pPr rtl="0"/>
          <a:endParaRPr lang="nb-NO" sz="10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Codan</a:t>
          </a:r>
        </a:p>
        <a:p>
          <a:pPr algn="l" rtl="0">
            <a:defRPr sz="1000"/>
          </a:pPr>
          <a:r>
            <a:rPr lang="en-US" sz="1050" b="0" i="0" strike="noStrike">
              <a:solidFill>
                <a:srgbClr val="000000"/>
              </a:solidFill>
              <a:latin typeface="Times New Roman" pitchFamily="18" charset="0"/>
              <a:ea typeface="+mn-ea"/>
              <a:cs typeface="Times New Roman" pitchFamily="18" charset="0"/>
            </a:rPr>
            <a:t>  Danica</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(Lease Plan Norge)</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 </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(tidl. Møretrygd)</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forsikring</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Ly Forsikring</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Storebrand</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199"/>
      <c r="C43" s="199"/>
      <c r="D43" s="199"/>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42</v>
      </c>
      <c r="B7" s="19" t="s">
        <v>3</v>
      </c>
      <c r="C7" s="20">
        <v>237964</v>
      </c>
      <c r="D7" s="20">
        <v>251790</v>
      </c>
      <c r="E7" s="21">
        <v>245027.02539166485</v>
      </c>
      <c r="F7" s="22" t="s">
        <v>240</v>
      </c>
      <c r="G7" s="23">
        <v>2.9681066849039439</v>
      </c>
      <c r="H7" s="24">
        <v>-2.6859583813237862</v>
      </c>
    </row>
    <row r="8" spans="1:8" x14ac:dyDescent="0.2">
      <c r="A8" s="206"/>
      <c r="B8" s="25" t="s">
        <v>241</v>
      </c>
      <c r="C8" s="26">
        <v>106839.91951412651</v>
      </c>
      <c r="D8" s="26">
        <v>118109</v>
      </c>
      <c r="E8" s="26">
        <v>113246.48745182162</v>
      </c>
      <c r="F8" s="27"/>
      <c r="G8" s="28">
        <v>5.9964177873121969</v>
      </c>
      <c r="H8" s="29">
        <v>-4.1169703817476915</v>
      </c>
    </row>
    <row r="9" spans="1:8" x14ac:dyDescent="0.2">
      <c r="A9" s="30" t="s">
        <v>18</v>
      </c>
      <c r="B9" s="31" t="s">
        <v>3</v>
      </c>
      <c r="C9" s="20">
        <v>12133</v>
      </c>
      <c r="D9" s="20">
        <v>13010</v>
      </c>
      <c r="E9" s="21">
        <v>11360.500680885816</v>
      </c>
      <c r="F9" s="22" t="s">
        <v>240</v>
      </c>
      <c r="G9" s="32">
        <v>-6.3669275456538656</v>
      </c>
      <c r="H9" s="33">
        <v>-12.678703452069044</v>
      </c>
    </row>
    <row r="10" spans="1:8" x14ac:dyDescent="0.2">
      <c r="A10" s="34"/>
      <c r="B10" s="25" t="s">
        <v>241</v>
      </c>
      <c r="C10" s="26">
        <v>5288.262020553826</v>
      </c>
      <c r="D10" s="26">
        <v>5323</v>
      </c>
      <c r="E10" s="26">
        <v>4745.0437478260865</v>
      </c>
      <c r="F10" s="27"/>
      <c r="G10" s="35">
        <v>-10.272151240169634</v>
      </c>
      <c r="H10" s="29">
        <v>-10.857716554084419</v>
      </c>
    </row>
    <row r="11" spans="1:8" x14ac:dyDescent="0.2">
      <c r="A11" s="30" t="s">
        <v>19</v>
      </c>
      <c r="B11" s="31" t="s">
        <v>3</v>
      </c>
      <c r="C11" s="20">
        <v>8652</v>
      </c>
      <c r="D11" s="20">
        <v>8966</v>
      </c>
      <c r="E11" s="21">
        <v>7059.1832812533557</v>
      </c>
      <c r="F11" s="22" t="s">
        <v>240</v>
      </c>
      <c r="G11" s="37">
        <v>-18.40980950932321</v>
      </c>
      <c r="H11" s="33">
        <v>-21.267195167818926</v>
      </c>
    </row>
    <row r="12" spans="1:8" x14ac:dyDescent="0.2">
      <c r="A12" s="34"/>
      <c r="B12" s="25" t="s">
        <v>241</v>
      </c>
      <c r="C12" s="26">
        <v>3244.8734018460868</v>
      </c>
      <c r="D12" s="26">
        <v>4766</v>
      </c>
      <c r="E12" s="26">
        <v>3294.1458260869567</v>
      </c>
      <c r="F12" s="27"/>
      <c r="G12" s="28">
        <v>1.5184698488648962</v>
      </c>
      <c r="H12" s="29">
        <v>-30.882378806400396</v>
      </c>
    </row>
    <row r="13" spans="1:8" x14ac:dyDescent="0.2">
      <c r="A13" s="30" t="s">
        <v>20</v>
      </c>
      <c r="B13" s="31" t="s">
        <v>3</v>
      </c>
      <c r="C13" s="20">
        <v>29205</v>
      </c>
      <c r="D13" s="20">
        <v>23780</v>
      </c>
      <c r="E13" s="21">
        <v>30268.766811294503</v>
      </c>
      <c r="F13" s="22" t="s">
        <v>240</v>
      </c>
      <c r="G13" s="23">
        <v>3.6424133240695085</v>
      </c>
      <c r="H13" s="24">
        <v>27.286656060952481</v>
      </c>
    </row>
    <row r="14" spans="1:8" x14ac:dyDescent="0.2">
      <c r="A14" s="34"/>
      <c r="B14" s="25" t="s">
        <v>241</v>
      </c>
      <c r="C14" s="26">
        <v>12627.415905640994</v>
      </c>
      <c r="D14" s="26">
        <v>11452</v>
      </c>
      <c r="E14" s="26">
        <v>14044.06944099379</v>
      </c>
      <c r="F14" s="27"/>
      <c r="G14" s="38">
        <v>11.218871271357585</v>
      </c>
      <c r="H14" s="24">
        <v>22.634207483354785</v>
      </c>
    </row>
    <row r="15" spans="1:8" x14ac:dyDescent="0.2">
      <c r="A15" s="30" t="s">
        <v>21</v>
      </c>
      <c r="B15" s="31" t="s">
        <v>3</v>
      </c>
      <c r="C15" s="20">
        <v>2089</v>
      </c>
      <c r="D15" s="20">
        <v>2400</v>
      </c>
      <c r="E15" s="21">
        <v>2222.3430557014517</v>
      </c>
      <c r="F15" s="22" t="s">
        <v>240</v>
      </c>
      <c r="G15" s="37">
        <v>6.3831046290785878</v>
      </c>
      <c r="H15" s="33">
        <v>-7.402372679106179</v>
      </c>
    </row>
    <row r="16" spans="1:8" x14ac:dyDescent="0.2">
      <c r="A16" s="34"/>
      <c r="B16" s="25" t="s">
        <v>241</v>
      </c>
      <c r="C16" s="26">
        <v>786.12130581195652</v>
      </c>
      <c r="D16" s="26">
        <v>1256</v>
      </c>
      <c r="E16" s="26">
        <v>1029.0202536231884</v>
      </c>
      <c r="F16" s="27"/>
      <c r="G16" s="28">
        <v>30.898405375281158</v>
      </c>
      <c r="H16" s="29">
        <v>-18.071635858026397</v>
      </c>
    </row>
    <row r="17" spans="1:8" x14ac:dyDescent="0.2">
      <c r="A17" s="30" t="s">
        <v>22</v>
      </c>
      <c r="B17" s="31" t="s">
        <v>3</v>
      </c>
      <c r="C17" s="20">
        <v>5918</v>
      </c>
      <c r="D17" s="20">
        <v>7183</v>
      </c>
      <c r="E17" s="21">
        <v>8216.9256449056847</v>
      </c>
      <c r="F17" s="22" t="s">
        <v>240</v>
      </c>
      <c r="G17" s="37">
        <v>38.84632722044077</v>
      </c>
      <c r="H17" s="33">
        <v>14.394064386825619</v>
      </c>
    </row>
    <row r="18" spans="1:8" x14ac:dyDescent="0.2">
      <c r="A18" s="34"/>
      <c r="B18" s="25" t="s">
        <v>241</v>
      </c>
      <c r="C18" s="26">
        <v>2478.1213058119565</v>
      </c>
      <c r="D18" s="26">
        <v>2757</v>
      </c>
      <c r="E18" s="26">
        <v>3244.0202536231882</v>
      </c>
      <c r="F18" s="27"/>
      <c r="G18" s="28">
        <v>30.906434887386808</v>
      </c>
      <c r="H18" s="29">
        <v>17.664862300442081</v>
      </c>
    </row>
    <row r="19" spans="1:8" x14ac:dyDescent="0.2">
      <c r="A19" s="30" t="s">
        <v>189</v>
      </c>
      <c r="B19" s="31" t="s">
        <v>3</v>
      </c>
      <c r="C19" s="20">
        <v>166646</v>
      </c>
      <c r="D19" s="20">
        <v>182208</v>
      </c>
      <c r="E19" s="21">
        <v>177832.38916596721</v>
      </c>
      <c r="F19" s="22" t="s">
        <v>240</v>
      </c>
      <c r="G19" s="23">
        <v>6.7126658701482285</v>
      </c>
      <c r="H19" s="24">
        <v>-2.4014372771957255</v>
      </c>
    </row>
    <row r="20" spans="1:8" x14ac:dyDescent="0.2">
      <c r="A20" s="30"/>
      <c r="B20" s="25" t="s">
        <v>241</v>
      </c>
      <c r="C20" s="26">
        <v>75097.03976410249</v>
      </c>
      <c r="D20" s="26">
        <v>86474</v>
      </c>
      <c r="E20" s="26">
        <v>82928.173602484472</v>
      </c>
      <c r="F20" s="27"/>
      <c r="G20" s="38">
        <v>10.428019350671363</v>
      </c>
      <c r="H20" s="24">
        <v>-4.100453775141105</v>
      </c>
    </row>
    <row r="21" spans="1:8" x14ac:dyDescent="0.2">
      <c r="A21" s="39" t="s">
        <v>12</v>
      </c>
      <c r="B21" s="31" t="s">
        <v>3</v>
      </c>
      <c r="C21" s="20">
        <v>1853</v>
      </c>
      <c r="D21" s="20">
        <v>2004</v>
      </c>
      <c r="E21" s="21">
        <v>2030.9643369464404</v>
      </c>
      <c r="F21" s="22" t="s">
        <v>240</v>
      </c>
      <c r="G21" s="37">
        <v>9.6041196409303922</v>
      </c>
      <c r="H21" s="33">
        <v>1.345525795730552</v>
      </c>
    </row>
    <row r="22" spans="1:8" x14ac:dyDescent="0.2">
      <c r="A22" s="34"/>
      <c r="B22" s="25" t="s">
        <v>241</v>
      </c>
      <c r="C22" s="26">
        <v>789.07278348717387</v>
      </c>
      <c r="D22" s="26">
        <v>922</v>
      </c>
      <c r="E22" s="26">
        <v>910.01215217391302</v>
      </c>
      <c r="F22" s="27"/>
      <c r="G22" s="28">
        <v>15.326769750221018</v>
      </c>
      <c r="H22" s="29">
        <v>-1.3002004149768993</v>
      </c>
    </row>
    <row r="23" spans="1:8" x14ac:dyDescent="0.2">
      <c r="A23" s="39" t="s">
        <v>23</v>
      </c>
      <c r="B23" s="31" t="s">
        <v>3</v>
      </c>
      <c r="C23" s="20">
        <v>5386</v>
      </c>
      <c r="D23" s="20">
        <v>5327</v>
      </c>
      <c r="E23" s="21">
        <v>4728.3497580259473</v>
      </c>
      <c r="F23" s="22" t="s">
        <v>240</v>
      </c>
      <c r="G23" s="23">
        <v>-12.210364685741794</v>
      </c>
      <c r="H23" s="24">
        <v>-11.238037206195855</v>
      </c>
    </row>
    <row r="24" spans="1:8" x14ac:dyDescent="0.2">
      <c r="A24" s="34"/>
      <c r="B24" s="25" t="s">
        <v>241</v>
      </c>
      <c r="C24" s="26">
        <v>2600.1213058119565</v>
      </c>
      <c r="D24" s="26">
        <v>2820</v>
      </c>
      <c r="E24" s="26">
        <v>2425.0202536231882</v>
      </c>
      <c r="F24" s="27"/>
      <c r="G24" s="28">
        <v>-6.7343416554208915</v>
      </c>
      <c r="H24" s="29">
        <v>-14.006373984993331</v>
      </c>
    </row>
    <row r="25" spans="1:8" x14ac:dyDescent="0.2">
      <c r="A25" s="30" t="s">
        <v>24</v>
      </c>
      <c r="B25" s="31" t="s">
        <v>3</v>
      </c>
      <c r="C25" s="20">
        <v>9242</v>
      </c>
      <c r="D25" s="20">
        <v>9544</v>
      </c>
      <c r="E25" s="21">
        <v>4945.3837583386639</v>
      </c>
      <c r="F25" s="22" t="s">
        <v>240</v>
      </c>
      <c r="G25" s="23">
        <v>-46.490112980538157</v>
      </c>
      <c r="H25" s="24">
        <v>-48.183321895026573</v>
      </c>
    </row>
    <row r="26" spans="1:8" ht="13.5" thickBot="1" x14ac:dyDescent="0.25">
      <c r="A26" s="41"/>
      <c r="B26" s="42" t="s">
        <v>241</v>
      </c>
      <c r="C26" s="43">
        <v>5114.242611623913</v>
      </c>
      <c r="D26" s="43">
        <v>4226</v>
      </c>
      <c r="E26" s="43">
        <v>2346.0405072463768</v>
      </c>
      <c r="F26" s="44"/>
      <c r="G26" s="45">
        <v>-54.127312968802542</v>
      </c>
      <c r="H26" s="46">
        <v>-44.48555354362572</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42</v>
      </c>
      <c r="B35" s="19" t="s">
        <v>3</v>
      </c>
      <c r="C35" s="80">
        <v>1739.1286627570807</v>
      </c>
      <c r="D35" s="80">
        <v>1815.0056375781719</v>
      </c>
      <c r="E35" s="83">
        <v>2014.4028351446364</v>
      </c>
      <c r="F35" s="22" t="s">
        <v>240</v>
      </c>
      <c r="G35" s="23">
        <v>15.82828103995233</v>
      </c>
      <c r="H35" s="24">
        <v>10.98603736749422</v>
      </c>
    </row>
    <row r="36" spans="1:8" ht="12.75" customHeight="1" x14ac:dyDescent="0.2">
      <c r="A36" s="206"/>
      <c r="B36" s="25" t="s">
        <v>241</v>
      </c>
      <c r="C36" s="82">
        <v>793.24886203187953</v>
      </c>
      <c r="D36" s="82">
        <v>862.84680868936323</v>
      </c>
      <c r="E36" s="82">
        <v>944.33550428867102</v>
      </c>
      <c r="F36" s="27"/>
      <c r="G36" s="28">
        <v>19.046562748263923</v>
      </c>
      <c r="H36" s="29">
        <v>9.4441672355590498</v>
      </c>
    </row>
    <row r="37" spans="1:8" x14ac:dyDescent="0.2">
      <c r="A37" s="30" t="s">
        <v>18</v>
      </c>
      <c r="B37" s="31" t="s">
        <v>3</v>
      </c>
      <c r="C37" s="80">
        <v>445.74235518505702</v>
      </c>
      <c r="D37" s="80">
        <v>481.52034743058607</v>
      </c>
      <c r="E37" s="83">
        <v>563.95282661474334</v>
      </c>
      <c r="F37" s="22" t="s">
        <v>240</v>
      </c>
      <c r="G37" s="32">
        <v>26.519910000612199</v>
      </c>
      <c r="H37" s="33">
        <v>17.119209940767945</v>
      </c>
    </row>
    <row r="38" spans="1:8" x14ac:dyDescent="0.2">
      <c r="A38" s="34"/>
      <c r="B38" s="25" t="s">
        <v>241</v>
      </c>
      <c r="C38" s="82">
        <v>229.63923733650293</v>
      </c>
      <c r="D38" s="82">
        <v>238.96696023664003</v>
      </c>
      <c r="E38" s="82">
        <v>283.3425522716239</v>
      </c>
      <c r="F38" s="27"/>
      <c r="G38" s="35">
        <v>23.385949003317137</v>
      </c>
      <c r="H38" s="29">
        <v>18.569760435099639</v>
      </c>
    </row>
    <row r="39" spans="1:8" x14ac:dyDescent="0.2">
      <c r="A39" s="30" t="s">
        <v>19</v>
      </c>
      <c r="B39" s="31" t="s">
        <v>3</v>
      </c>
      <c r="C39" s="80">
        <v>132.70640476573286</v>
      </c>
      <c r="D39" s="80">
        <v>119.49627791210958</v>
      </c>
      <c r="E39" s="83">
        <v>135.08239938229374</v>
      </c>
      <c r="F39" s="22" t="s">
        <v>240</v>
      </c>
      <c r="G39" s="37">
        <v>1.7904144270619327</v>
      </c>
      <c r="H39" s="33">
        <v>13.043185731398154</v>
      </c>
    </row>
    <row r="40" spans="1:8" x14ac:dyDescent="0.2">
      <c r="A40" s="34"/>
      <c r="B40" s="25" t="s">
        <v>241</v>
      </c>
      <c r="C40" s="82">
        <v>48.048530317267101</v>
      </c>
      <c r="D40" s="82">
        <v>57.716648478272631</v>
      </c>
      <c r="E40" s="82">
        <v>58.70837809146915</v>
      </c>
      <c r="F40" s="27"/>
      <c r="G40" s="28">
        <v>22.185585498275358</v>
      </c>
      <c r="H40" s="29">
        <v>1.7182730448561188</v>
      </c>
    </row>
    <row r="41" spans="1:8" x14ac:dyDescent="0.2">
      <c r="A41" s="30" t="s">
        <v>20</v>
      </c>
      <c r="B41" s="31" t="s">
        <v>3</v>
      </c>
      <c r="C41" s="80">
        <v>283.56403810824088</v>
      </c>
      <c r="D41" s="80">
        <v>238.26323056774186</v>
      </c>
      <c r="E41" s="83">
        <v>338.12148905688525</v>
      </c>
      <c r="F41" s="22" t="s">
        <v>240</v>
      </c>
      <c r="G41" s="23">
        <v>19.239904789273353</v>
      </c>
      <c r="H41" s="24">
        <v>41.9108975611544</v>
      </c>
    </row>
    <row r="42" spans="1:8" x14ac:dyDescent="0.2">
      <c r="A42" s="34"/>
      <c r="B42" s="25" t="s">
        <v>241</v>
      </c>
      <c r="C42" s="82">
        <v>127.508357468196</v>
      </c>
      <c r="D42" s="82">
        <v>117.46923330002345</v>
      </c>
      <c r="E42" s="82">
        <v>161.51033945569566</v>
      </c>
      <c r="F42" s="27"/>
      <c r="G42" s="38">
        <v>26.666473212142705</v>
      </c>
      <c r="H42" s="24">
        <v>37.491609435458372</v>
      </c>
    </row>
    <row r="43" spans="1:8" x14ac:dyDescent="0.2">
      <c r="A43" s="30" t="s">
        <v>21</v>
      </c>
      <c r="B43" s="31" t="s">
        <v>3</v>
      </c>
      <c r="C43" s="80">
        <v>12.890875694108434</v>
      </c>
      <c r="D43" s="80">
        <v>16.424174814858887</v>
      </c>
      <c r="E43" s="83">
        <v>16.260142128346917</v>
      </c>
      <c r="F43" s="22" t="s">
        <v>240</v>
      </c>
      <c r="G43" s="37">
        <v>26.136831307576358</v>
      </c>
      <c r="H43" s="33">
        <v>-0.99872711025682293</v>
      </c>
    </row>
    <row r="44" spans="1:8" x14ac:dyDescent="0.2">
      <c r="A44" s="34"/>
      <c r="B44" s="25" t="s">
        <v>241</v>
      </c>
      <c r="C44" s="82">
        <v>5.3159338041658142</v>
      </c>
      <c r="D44" s="82">
        <v>7.6060582528845915</v>
      </c>
      <c r="E44" s="82">
        <v>7.2335250220023628</v>
      </c>
      <c r="F44" s="27"/>
      <c r="G44" s="28">
        <v>36.072518742310791</v>
      </c>
      <c r="H44" s="29">
        <v>-4.897848773915797</v>
      </c>
    </row>
    <row r="45" spans="1:8" x14ac:dyDescent="0.2">
      <c r="A45" s="30" t="s">
        <v>22</v>
      </c>
      <c r="B45" s="31" t="s">
        <v>3</v>
      </c>
      <c r="C45" s="80">
        <v>27.984178563933117</v>
      </c>
      <c r="D45" s="80">
        <v>34.158597537095133</v>
      </c>
      <c r="E45" s="83">
        <v>43.678488134735439</v>
      </c>
      <c r="F45" s="22" t="s">
        <v>240</v>
      </c>
      <c r="G45" s="37">
        <v>56.0827952657136</v>
      </c>
      <c r="H45" s="33">
        <v>27.869676403728263</v>
      </c>
    </row>
    <row r="46" spans="1:8" x14ac:dyDescent="0.2">
      <c r="A46" s="34"/>
      <c r="B46" s="25" t="s">
        <v>241</v>
      </c>
      <c r="C46" s="82">
        <v>10.910222109576901</v>
      </c>
      <c r="D46" s="82">
        <v>12.371187752705698</v>
      </c>
      <c r="E46" s="82">
        <v>16.202756138528084</v>
      </c>
      <c r="F46" s="27"/>
      <c r="G46" s="28">
        <v>48.509865113611568</v>
      </c>
      <c r="H46" s="29">
        <v>30.97170993128276</v>
      </c>
    </row>
    <row r="47" spans="1:8" x14ac:dyDescent="0.2">
      <c r="A47" s="30" t="s">
        <v>189</v>
      </c>
      <c r="B47" s="31" t="s">
        <v>3</v>
      </c>
      <c r="C47" s="80">
        <v>597.04541345724635</v>
      </c>
      <c r="D47" s="80">
        <v>666.41657354977133</v>
      </c>
      <c r="E47" s="83">
        <v>646.53133262255642</v>
      </c>
      <c r="F47" s="22" t="s">
        <v>240</v>
      </c>
      <c r="G47" s="23">
        <v>8.2884681885013265</v>
      </c>
      <c r="H47" s="24">
        <v>-2.9839055204304259</v>
      </c>
    </row>
    <row r="48" spans="1:8" x14ac:dyDescent="0.2">
      <c r="A48" s="30"/>
      <c r="B48" s="25" t="s">
        <v>241</v>
      </c>
      <c r="C48" s="82">
        <v>265.58723038159377</v>
      </c>
      <c r="D48" s="82">
        <v>320.1684771893614</v>
      </c>
      <c r="E48" s="82">
        <v>302.54478364506406</v>
      </c>
      <c r="F48" s="27"/>
      <c r="G48" s="38">
        <v>13.915410469987563</v>
      </c>
      <c r="H48" s="24">
        <v>-5.5045061584479242</v>
      </c>
    </row>
    <row r="49" spans="1:8" x14ac:dyDescent="0.2">
      <c r="A49" s="39" t="s">
        <v>12</v>
      </c>
      <c r="B49" s="31" t="s">
        <v>3</v>
      </c>
      <c r="C49" s="80">
        <v>19.590359293111437</v>
      </c>
      <c r="D49" s="80">
        <v>26.189544232373748</v>
      </c>
      <c r="E49" s="83">
        <v>33.826922119404799</v>
      </c>
      <c r="F49" s="22" t="s">
        <v>240</v>
      </c>
      <c r="G49" s="37">
        <v>72.671269644857233</v>
      </c>
      <c r="H49" s="33">
        <v>29.161935080910041</v>
      </c>
    </row>
    <row r="50" spans="1:8" x14ac:dyDescent="0.2">
      <c r="A50" s="34"/>
      <c r="B50" s="25" t="s">
        <v>241</v>
      </c>
      <c r="C50" s="82">
        <v>7.1280342285577785</v>
      </c>
      <c r="D50" s="82">
        <v>12.029672203772074</v>
      </c>
      <c r="E50" s="82">
        <v>14.288011971939094</v>
      </c>
      <c r="F50" s="27"/>
      <c r="G50" s="28">
        <v>100.44813918956166</v>
      </c>
      <c r="H50" s="29">
        <v>18.773078184614917</v>
      </c>
    </row>
    <row r="51" spans="1:8" x14ac:dyDescent="0.2">
      <c r="A51" s="39" t="s">
        <v>23</v>
      </c>
      <c r="B51" s="31" t="s">
        <v>3</v>
      </c>
      <c r="C51" s="80">
        <v>118.70036905708614</v>
      </c>
      <c r="D51" s="80">
        <v>120.7193540524718</v>
      </c>
      <c r="E51" s="83">
        <v>121.74793899610331</v>
      </c>
      <c r="F51" s="22" t="s">
        <v>240</v>
      </c>
      <c r="G51" s="23">
        <v>2.5674477368739446</v>
      </c>
      <c r="H51" s="24">
        <v>0.85204642760466243</v>
      </c>
    </row>
    <row r="52" spans="1:8" x14ac:dyDescent="0.2">
      <c r="A52" s="34"/>
      <c r="B52" s="25" t="s">
        <v>241</v>
      </c>
      <c r="C52" s="82">
        <v>48.785936908742656</v>
      </c>
      <c r="D52" s="82">
        <v>55.278097652442263</v>
      </c>
      <c r="E52" s="82">
        <v>53.70603987524656</v>
      </c>
      <c r="F52" s="27"/>
      <c r="G52" s="38">
        <v>10.085084510536888</v>
      </c>
      <c r="H52" s="24">
        <v>-2.8439071602643082</v>
      </c>
    </row>
    <row r="53" spans="1:8" x14ac:dyDescent="0.2">
      <c r="A53" s="30" t="s">
        <v>24</v>
      </c>
      <c r="B53" s="31" t="s">
        <v>3</v>
      </c>
      <c r="C53" s="80">
        <v>100.90466863256418</v>
      </c>
      <c r="D53" s="80">
        <v>111.81753748116357</v>
      </c>
      <c r="E53" s="83">
        <v>115.87077907463048</v>
      </c>
      <c r="F53" s="22" t="s">
        <v>240</v>
      </c>
      <c r="G53" s="37">
        <v>14.831930618160129</v>
      </c>
      <c r="H53" s="33">
        <v>3.6248710933646748</v>
      </c>
    </row>
    <row r="54" spans="1:8" ht="13.5" thickBot="1" x14ac:dyDescent="0.25">
      <c r="A54" s="41"/>
      <c r="B54" s="42" t="s">
        <v>241</v>
      </c>
      <c r="C54" s="86">
        <v>50.325379477276499</v>
      </c>
      <c r="D54" s="86">
        <v>41.240473623261217</v>
      </c>
      <c r="E54" s="86">
        <v>46.799117817102129</v>
      </c>
      <c r="F54" s="44"/>
      <c r="G54" s="45">
        <v>-7.0069251276417788</v>
      </c>
      <c r="H54" s="46">
        <v>13.478613860306439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14</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44</v>
      </c>
      <c r="B7" s="19" t="s">
        <v>3</v>
      </c>
      <c r="C7" s="20">
        <v>140079.52566316118</v>
      </c>
      <c r="D7" s="20">
        <v>143670.22691942658</v>
      </c>
      <c r="E7" s="21">
        <v>121801.06956776965</v>
      </c>
      <c r="F7" s="22" t="s">
        <v>240</v>
      </c>
      <c r="G7" s="23">
        <v>-13.048627919646421</v>
      </c>
      <c r="H7" s="24">
        <v>-15.221774072871511</v>
      </c>
    </row>
    <row r="8" spans="1:8" x14ac:dyDescent="0.2">
      <c r="A8" s="206"/>
      <c r="B8" s="25" t="s">
        <v>241</v>
      </c>
      <c r="C8" s="26">
        <v>66159.205778553864</v>
      </c>
      <c r="D8" s="26">
        <v>76519.52491323532</v>
      </c>
      <c r="E8" s="26">
        <v>62223.450827534485</v>
      </c>
      <c r="F8" s="27"/>
      <c r="G8" s="28">
        <v>-5.9489150522650078</v>
      </c>
      <c r="H8" s="29">
        <v>-18.682910148633312</v>
      </c>
    </row>
    <row r="9" spans="1:8" x14ac:dyDescent="0.2">
      <c r="A9" s="30" t="s">
        <v>18</v>
      </c>
      <c r="B9" s="31" t="s">
        <v>3</v>
      </c>
      <c r="C9" s="20">
        <v>12765.16556521739</v>
      </c>
      <c r="D9" s="20">
        <v>13581.382797564696</v>
      </c>
      <c r="E9" s="21">
        <v>11853.664527379178</v>
      </c>
      <c r="F9" s="22" t="s">
        <v>240</v>
      </c>
      <c r="G9" s="32">
        <v>-7.1405343955888441</v>
      </c>
      <c r="H9" s="33">
        <v>-12.721225047094023</v>
      </c>
    </row>
    <row r="10" spans="1:8" x14ac:dyDescent="0.2">
      <c r="A10" s="34"/>
      <c r="B10" s="25" t="s">
        <v>241</v>
      </c>
      <c r="C10" s="26">
        <v>5988.6991682136522</v>
      </c>
      <c r="D10" s="26">
        <v>6367.0743739130439</v>
      </c>
      <c r="E10" s="26">
        <v>5558.4270608695651</v>
      </c>
      <c r="F10" s="27"/>
      <c r="G10" s="35">
        <v>-7.1847340341931272</v>
      </c>
      <c r="H10" s="29">
        <v>-12.700453388084171</v>
      </c>
    </row>
    <row r="11" spans="1:8" x14ac:dyDescent="0.2">
      <c r="A11" s="30" t="s">
        <v>19</v>
      </c>
      <c r="B11" s="31" t="s">
        <v>3</v>
      </c>
      <c r="C11" s="20">
        <v>55376.885217391304</v>
      </c>
      <c r="D11" s="20">
        <v>61405.60932521565</v>
      </c>
      <c r="E11" s="21">
        <v>49664.101833760848</v>
      </c>
      <c r="F11" s="22" t="s">
        <v>240</v>
      </c>
      <c r="G11" s="37">
        <v>-10.316187631723892</v>
      </c>
      <c r="H11" s="33">
        <v>-19.121229510596621</v>
      </c>
    </row>
    <row r="12" spans="1:8" x14ac:dyDescent="0.2">
      <c r="A12" s="34"/>
      <c r="B12" s="25" t="s">
        <v>241</v>
      </c>
      <c r="C12" s="26">
        <v>26795.330560712173</v>
      </c>
      <c r="D12" s="26">
        <v>33282.24791304348</v>
      </c>
      <c r="E12" s="26">
        <v>25881.756869565219</v>
      </c>
      <c r="F12" s="27"/>
      <c r="G12" s="28">
        <v>-3.409451094760712</v>
      </c>
      <c r="H12" s="29">
        <v>-22.235550503720546</v>
      </c>
    </row>
    <row r="13" spans="1:8" x14ac:dyDescent="0.2">
      <c r="A13" s="30" t="s">
        <v>20</v>
      </c>
      <c r="B13" s="31" t="s">
        <v>3</v>
      </c>
      <c r="C13" s="20">
        <v>3448.0881987577641</v>
      </c>
      <c r="D13" s="20">
        <v>2890.7187262931675</v>
      </c>
      <c r="E13" s="21">
        <v>3514.506256165882</v>
      </c>
      <c r="F13" s="22" t="s">
        <v>240</v>
      </c>
      <c r="G13" s="23">
        <v>1.9262284947364776</v>
      </c>
      <c r="H13" s="24">
        <v>21.57897702737101</v>
      </c>
    </row>
    <row r="14" spans="1:8" x14ac:dyDescent="0.2">
      <c r="A14" s="34"/>
      <c r="B14" s="25" t="s">
        <v>241</v>
      </c>
      <c r="C14" s="26">
        <v>1651.2050289105591</v>
      </c>
      <c r="D14" s="26">
        <v>1263.4990062111801</v>
      </c>
      <c r="E14" s="26">
        <v>1582.1699378881985</v>
      </c>
      <c r="F14" s="27"/>
      <c r="G14" s="38">
        <v>-4.1808915194443728</v>
      </c>
      <c r="H14" s="24">
        <v>25.221304497310854</v>
      </c>
    </row>
    <row r="15" spans="1:8" x14ac:dyDescent="0.2">
      <c r="A15" s="30" t="s">
        <v>21</v>
      </c>
      <c r="B15" s="31" t="s">
        <v>3</v>
      </c>
      <c r="C15" s="20">
        <v>4300.3173913043483</v>
      </c>
      <c r="D15" s="20">
        <v>4815.5846285021735</v>
      </c>
      <c r="E15" s="21">
        <v>4441.0588614465087</v>
      </c>
      <c r="F15" s="22" t="s">
        <v>240</v>
      </c>
      <c r="G15" s="37">
        <v>3.2728158723063956</v>
      </c>
      <c r="H15" s="33">
        <v>-7.7773686052352957</v>
      </c>
    </row>
    <row r="16" spans="1:8" x14ac:dyDescent="0.2">
      <c r="A16" s="34"/>
      <c r="B16" s="25" t="s">
        <v>241</v>
      </c>
      <c r="C16" s="26">
        <v>2203.434800098913</v>
      </c>
      <c r="D16" s="26">
        <v>2573.3122101449276</v>
      </c>
      <c r="E16" s="26">
        <v>2339.7162318840578</v>
      </c>
      <c r="F16" s="27"/>
      <c r="G16" s="28">
        <v>6.1849541351995896</v>
      </c>
      <c r="H16" s="29">
        <v>-9.0776384357852038</v>
      </c>
    </row>
    <row r="17" spans="1:8" x14ac:dyDescent="0.2">
      <c r="A17" s="30" t="s">
        <v>22</v>
      </c>
      <c r="B17" s="31" t="s">
        <v>3</v>
      </c>
      <c r="C17" s="20">
        <v>420.31739130434784</v>
      </c>
      <c r="D17" s="20">
        <v>401.58462850217393</v>
      </c>
      <c r="E17" s="21">
        <v>413.04133815508362</v>
      </c>
      <c r="F17" s="22" t="s">
        <v>240</v>
      </c>
      <c r="G17" s="37">
        <v>-1.7310854368135438</v>
      </c>
      <c r="H17" s="33">
        <v>2.852875543479044</v>
      </c>
    </row>
    <row r="18" spans="1:8" x14ac:dyDescent="0.2">
      <c r="A18" s="34"/>
      <c r="B18" s="25" t="s">
        <v>241</v>
      </c>
      <c r="C18" s="26">
        <v>163.43480009891306</v>
      </c>
      <c r="D18" s="26">
        <v>156.31221014492755</v>
      </c>
      <c r="E18" s="26">
        <v>160.71623188405798</v>
      </c>
      <c r="F18" s="27"/>
      <c r="G18" s="28">
        <v>-1.6633961758510196</v>
      </c>
      <c r="H18" s="29">
        <v>2.817452158757888</v>
      </c>
    </row>
    <row r="19" spans="1:8" x14ac:dyDescent="0.2">
      <c r="A19" s="30" t="s">
        <v>189</v>
      </c>
      <c r="B19" s="31" t="s">
        <v>3</v>
      </c>
      <c r="C19" s="20">
        <v>40188.720496894413</v>
      </c>
      <c r="D19" s="20">
        <v>40060.296815732916</v>
      </c>
      <c r="E19" s="21">
        <v>36285.466752409731</v>
      </c>
      <c r="F19" s="22" t="s">
        <v>240</v>
      </c>
      <c r="G19" s="23">
        <v>-9.7123115546470444</v>
      </c>
      <c r="H19" s="24">
        <v>-9.4228709305036631</v>
      </c>
    </row>
    <row r="20" spans="1:8" x14ac:dyDescent="0.2">
      <c r="A20" s="30"/>
      <c r="B20" s="25" t="s">
        <v>241</v>
      </c>
      <c r="C20" s="26">
        <v>19095.012572276399</v>
      </c>
      <c r="D20" s="26">
        <v>20799.24751552795</v>
      </c>
      <c r="E20" s="26">
        <v>18274.424844720495</v>
      </c>
      <c r="F20" s="27"/>
      <c r="G20" s="38">
        <v>-4.2973929681894845</v>
      </c>
      <c r="H20" s="24">
        <v>-12.139009687357742</v>
      </c>
    </row>
    <row r="21" spans="1:8" x14ac:dyDescent="0.2">
      <c r="A21" s="39" t="s">
        <v>12</v>
      </c>
      <c r="B21" s="31" t="s">
        <v>3</v>
      </c>
      <c r="C21" s="20">
        <v>453.9904347826087</v>
      </c>
      <c r="D21" s="20">
        <v>458.55077710130433</v>
      </c>
      <c r="E21" s="21">
        <v>526.29761565656406</v>
      </c>
      <c r="F21" s="22" t="s">
        <v>240</v>
      </c>
      <c r="G21" s="37">
        <v>15.927027385186946</v>
      </c>
      <c r="H21" s="33">
        <v>14.774119233537547</v>
      </c>
    </row>
    <row r="22" spans="1:8" x14ac:dyDescent="0.2">
      <c r="A22" s="34"/>
      <c r="B22" s="25" t="s">
        <v>241</v>
      </c>
      <c r="C22" s="26">
        <v>237.86088005934783</v>
      </c>
      <c r="D22" s="26">
        <v>213.18732608695652</v>
      </c>
      <c r="E22" s="26">
        <v>254.22973913043478</v>
      </c>
      <c r="F22" s="27"/>
      <c r="G22" s="28">
        <v>6.8816944875520534</v>
      </c>
      <c r="H22" s="29">
        <v>19.251807223632781</v>
      </c>
    </row>
    <row r="23" spans="1:8" x14ac:dyDescent="0.2">
      <c r="A23" s="39" t="s">
        <v>23</v>
      </c>
      <c r="B23" s="31" t="s">
        <v>3</v>
      </c>
      <c r="C23" s="20">
        <v>6361.3173913043474</v>
      </c>
      <c r="D23" s="20">
        <v>6214.5846285021744</v>
      </c>
      <c r="E23" s="21">
        <v>5507.2094545959935</v>
      </c>
      <c r="F23" s="22" t="s">
        <v>240</v>
      </c>
      <c r="G23" s="23">
        <v>-13.426588930712427</v>
      </c>
      <c r="H23" s="24">
        <v>-11.382501264234463</v>
      </c>
    </row>
    <row r="24" spans="1:8" x14ac:dyDescent="0.2">
      <c r="A24" s="34"/>
      <c r="B24" s="25" t="s">
        <v>241</v>
      </c>
      <c r="C24" s="26">
        <v>3205.434800098913</v>
      </c>
      <c r="D24" s="26">
        <v>3235.3122101449276</v>
      </c>
      <c r="E24" s="26">
        <v>2835.7162318840578</v>
      </c>
      <c r="F24" s="27"/>
      <c r="G24" s="28">
        <v>-11.534116002092645</v>
      </c>
      <c r="H24" s="29">
        <v>-12.351079348937688</v>
      </c>
    </row>
    <row r="25" spans="1:8" x14ac:dyDescent="0.2">
      <c r="A25" s="30" t="s">
        <v>24</v>
      </c>
      <c r="B25" s="31" t="s">
        <v>3</v>
      </c>
      <c r="C25" s="20">
        <v>24989.634782608697</v>
      </c>
      <c r="D25" s="20">
        <v>23165.169257004349</v>
      </c>
      <c r="E25" s="21">
        <v>19832.074735239094</v>
      </c>
      <c r="F25" s="22" t="s">
        <v>240</v>
      </c>
      <c r="G25" s="23">
        <v>-20.63879721427125</v>
      </c>
      <c r="H25" s="24">
        <v>-14.388388380790445</v>
      </c>
    </row>
    <row r="26" spans="1:8" ht="13.5" thickBot="1" x14ac:dyDescent="0.25">
      <c r="A26" s="41"/>
      <c r="B26" s="42" t="s">
        <v>241</v>
      </c>
      <c r="C26" s="43">
        <v>11462.869600197826</v>
      </c>
      <c r="D26" s="43">
        <v>13664.624420289854</v>
      </c>
      <c r="E26" s="43">
        <v>10680.432463768117</v>
      </c>
      <c r="F26" s="44"/>
      <c r="G26" s="45">
        <v>-6.825839983525654</v>
      </c>
      <c r="H26" s="46">
        <v>-21.838814333533193</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44</v>
      </c>
      <c r="B35" s="19" t="s">
        <v>3</v>
      </c>
      <c r="C35" s="80">
        <v>5870.1940090888684</v>
      </c>
      <c r="D35" s="80">
        <v>6314.5080110263816</v>
      </c>
      <c r="E35" s="83">
        <v>6150.9335716029791</v>
      </c>
      <c r="F35" s="22" t="s">
        <v>240</v>
      </c>
      <c r="G35" s="23">
        <v>4.7824579916684087</v>
      </c>
      <c r="H35" s="24">
        <v>-2.5904542228431637</v>
      </c>
    </row>
    <row r="36" spans="1:8" ht="12.75" customHeight="1" x14ac:dyDescent="0.2">
      <c r="A36" s="206"/>
      <c r="B36" s="25" t="s">
        <v>241</v>
      </c>
      <c r="C36" s="82">
        <v>2948.0554124795676</v>
      </c>
      <c r="D36" s="82">
        <v>3416.1369951713709</v>
      </c>
      <c r="E36" s="82">
        <v>3244.1180328412411</v>
      </c>
      <c r="F36" s="27"/>
      <c r="G36" s="28">
        <v>10.04264095947434</v>
      </c>
      <c r="H36" s="29">
        <v>-5.0354819661294243</v>
      </c>
    </row>
    <row r="37" spans="1:8" x14ac:dyDescent="0.2">
      <c r="A37" s="30" t="s">
        <v>18</v>
      </c>
      <c r="B37" s="31" t="s">
        <v>3</v>
      </c>
      <c r="C37" s="80">
        <v>1779.7662429127638</v>
      </c>
      <c r="D37" s="80">
        <v>2013.4504213424711</v>
      </c>
      <c r="E37" s="83">
        <v>2087.5879089972609</v>
      </c>
      <c r="F37" s="22" t="s">
        <v>240</v>
      </c>
      <c r="G37" s="32">
        <v>17.295623361229545</v>
      </c>
      <c r="H37" s="33">
        <v>3.6821114078070281</v>
      </c>
    </row>
    <row r="38" spans="1:8" x14ac:dyDescent="0.2">
      <c r="A38" s="34"/>
      <c r="B38" s="25" t="s">
        <v>241</v>
      </c>
      <c r="C38" s="82">
        <v>999.8544588939917</v>
      </c>
      <c r="D38" s="82">
        <v>1087.4205216420128</v>
      </c>
      <c r="E38" s="82">
        <v>1142.1745341777623</v>
      </c>
      <c r="F38" s="27"/>
      <c r="G38" s="35">
        <v>14.234079172002765</v>
      </c>
      <c r="H38" s="29">
        <v>5.0352197191451324</v>
      </c>
    </row>
    <row r="39" spans="1:8" x14ac:dyDescent="0.2">
      <c r="A39" s="30" t="s">
        <v>19</v>
      </c>
      <c r="B39" s="31" t="s">
        <v>3</v>
      </c>
      <c r="C39" s="80">
        <v>2595.940301046116</v>
      </c>
      <c r="D39" s="80">
        <v>2877.8540346858595</v>
      </c>
      <c r="E39" s="83">
        <v>2630.4999528764852</v>
      </c>
      <c r="F39" s="22" t="s">
        <v>240</v>
      </c>
      <c r="G39" s="37">
        <v>1.3312960939988727</v>
      </c>
      <c r="H39" s="33">
        <v>-8.5950878268353392</v>
      </c>
    </row>
    <row r="40" spans="1:8" x14ac:dyDescent="0.2">
      <c r="A40" s="34"/>
      <c r="B40" s="25" t="s">
        <v>241</v>
      </c>
      <c r="C40" s="82">
        <v>1221.6973477100596</v>
      </c>
      <c r="D40" s="82">
        <v>1554.9801983660072</v>
      </c>
      <c r="E40" s="82">
        <v>1354.4544858634358</v>
      </c>
      <c r="F40" s="27"/>
      <c r="G40" s="28">
        <v>10.866614256158869</v>
      </c>
      <c r="H40" s="29">
        <v>-12.895708428524458</v>
      </c>
    </row>
    <row r="41" spans="1:8" x14ac:dyDescent="0.2">
      <c r="A41" s="30" t="s">
        <v>20</v>
      </c>
      <c r="B41" s="31" t="s">
        <v>3</v>
      </c>
      <c r="C41" s="80">
        <v>56.436037544278321</v>
      </c>
      <c r="D41" s="80">
        <v>52.66322865341963</v>
      </c>
      <c r="E41" s="83">
        <v>64.461118384070474</v>
      </c>
      <c r="F41" s="22" t="s">
        <v>240</v>
      </c>
      <c r="G41" s="23">
        <v>14.219780815575291</v>
      </c>
      <c r="H41" s="24">
        <v>22.402518858639638</v>
      </c>
    </row>
    <row r="42" spans="1:8" x14ac:dyDescent="0.2">
      <c r="A42" s="34"/>
      <c r="B42" s="25" t="s">
        <v>241</v>
      </c>
      <c r="C42" s="82">
        <v>30.914193707859052</v>
      </c>
      <c r="D42" s="82">
        <v>23.180636127247634</v>
      </c>
      <c r="E42" s="82">
        <v>30.361808393422805</v>
      </c>
      <c r="F42" s="27"/>
      <c r="G42" s="38">
        <v>-1.7868339690703863</v>
      </c>
      <c r="H42" s="24">
        <v>30.979185501014257</v>
      </c>
    </row>
    <row r="43" spans="1:8" x14ac:dyDescent="0.2">
      <c r="A43" s="30" t="s">
        <v>21</v>
      </c>
      <c r="B43" s="31" t="s">
        <v>3</v>
      </c>
      <c r="C43" s="80">
        <v>43.163339153619724</v>
      </c>
      <c r="D43" s="80">
        <v>49.684795302046467</v>
      </c>
      <c r="E43" s="83">
        <v>49.813296243963968</v>
      </c>
      <c r="F43" s="22" t="s">
        <v>240</v>
      </c>
      <c r="G43" s="37">
        <v>15.406493614122013</v>
      </c>
      <c r="H43" s="33">
        <v>0.25863232632097777</v>
      </c>
    </row>
    <row r="44" spans="1:8" x14ac:dyDescent="0.2">
      <c r="A44" s="34"/>
      <c r="B44" s="25" t="s">
        <v>241</v>
      </c>
      <c r="C44" s="82">
        <v>22.775566907971534</v>
      </c>
      <c r="D44" s="82">
        <v>25.211808558370027</v>
      </c>
      <c r="E44" s="82">
        <v>25.604145033601515</v>
      </c>
      <c r="F44" s="27"/>
      <c r="G44" s="28">
        <v>12.419353323055901</v>
      </c>
      <c r="H44" s="29">
        <v>1.5561615673986893</v>
      </c>
    </row>
    <row r="45" spans="1:8" x14ac:dyDescent="0.2">
      <c r="A45" s="30" t="s">
        <v>22</v>
      </c>
      <c r="B45" s="31" t="s">
        <v>3</v>
      </c>
      <c r="C45" s="80">
        <v>3.1623911489308409</v>
      </c>
      <c r="D45" s="80">
        <v>3.0031009673376188</v>
      </c>
      <c r="E45" s="83">
        <v>3.3403235855590725</v>
      </c>
      <c r="F45" s="22" t="s">
        <v>240</v>
      </c>
      <c r="G45" s="37">
        <v>5.626515767614265</v>
      </c>
      <c r="H45" s="33">
        <v>11.229146868159305</v>
      </c>
    </row>
    <row r="46" spans="1:8" x14ac:dyDescent="0.2">
      <c r="A46" s="34"/>
      <c r="B46" s="25" t="s">
        <v>241</v>
      </c>
      <c r="C46" s="82">
        <v>1.2917868485447535</v>
      </c>
      <c r="D46" s="82">
        <v>1.3988233789688795</v>
      </c>
      <c r="E46" s="82">
        <v>1.4863877930943443</v>
      </c>
      <c r="F46" s="27"/>
      <c r="G46" s="28">
        <v>15.064477918227468</v>
      </c>
      <c r="H46" s="29">
        <v>6.2598620699356218</v>
      </c>
    </row>
    <row r="47" spans="1:8" x14ac:dyDescent="0.2">
      <c r="A47" s="30" t="s">
        <v>189</v>
      </c>
      <c r="B47" s="31" t="s">
        <v>3</v>
      </c>
      <c r="C47" s="80">
        <v>565.94371490292428</v>
      </c>
      <c r="D47" s="80">
        <v>515.02188171698685</v>
      </c>
      <c r="E47" s="83">
        <v>505.36913585728468</v>
      </c>
      <c r="F47" s="22" t="s">
        <v>240</v>
      </c>
      <c r="G47" s="23">
        <v>-10.703286819967587</v>
      </c>
      <c r="H47" s="24">
        <v>-1.874239950256424</v>
      </c>
    </row>
    <row r="48" spans="1:8" x14ac:dyDescent="0.2">
      <c r="A48" s="30"/>
      <c r="B48" s="25" t="s">
        <v>241</v>
      </c>
      <c r="C48" s="82">
        <v>284.20678107240423</v>
      </c>
      <c r="D48" s="82">
        <v>278.30103843468436</v>
      </c>
      <c r="E48" s="82">
        <v>266.33442163670401</v>
      </c>
      <c r="F48" s="27"/>
      <c r="G48" s="38">
        <v>-6.2885056325053199</v>
      </c>
      <c r="H48" s="24">
        <v>-4.2998821942192791</v>
      </c>
    </row>
    <row r="49" spans="1:8" x14ac:dyDescent="0.2">
      <c r="A49" s="39" t="s">
        <v>12</v>
      </c>
      <c r="B49" s="31" t="s">
        <v>3</v>
      </c>
      <c r="C49" s="80">
        <v>4.940653064130899</v>
      </c>
      <c r="D49" s="80">
        <v>4.3824626567413736</v>
      </c>
      <c r="E49" s="83">
        <v>8.4239612356196432</v>
      </c>
      <c r="F49" s="22" t="s">
        <v>240</v>
      </c>
      <c r="G49" s="37">
        <v>70.502990723585356</v>
      </c>
      <c r="H49" s="33">
        <v>92.219806429186292</v>
      </c>
    </row>
    <row r="50" spans="1:8" x14ac:dyDescent="0.2">
      <c r="A50" s="34"/>
      <c r="B50" s="25" t="s">
        <v>241</v>
      </c>
      <c r="C50" s="82">
        <v>3.3438745985649039</v>
      </c>
      <c r="D50" s="82">
        <v>2.5147143485049415</v>
      </c>
      <c r="E50" s="82">
        <v>5.0920794435566901</v>
      </c>
      <c r="F50" s="27"/>
      <c r="G50" s="28">
        <v>52.280813573034891</v>
      </c>
      <c r="H50" s="29">
        <v>102.49136632890549</v>
      </c>
    </row>
    <row r="51" spans="1:8" x14ac:dyDescent="0.2">
      <c r="A51" s="39" t="s">
        <v>23</v>
      </c>
      <c r="B51" s="31" t="s">
        <v>3</v>
      </c>
      <c r="C51" s="80">
        <v>175.22798370011844</v>
      </c>
      <c r="D51" s="80">
        <v>188.64827610238561</v>
      </c>
      <c r="E51" s="83">
        <v>203.18959107962468</v>
      </c>
      <c r="F51" s="22" t="s">
        <v>240</v>
      </c>
      <c r="G51" s="23">
        <v>15.95727279916612</v>
      </c>
      <c r="H51" s="24">
        <v>7.7081621299030587</v>
      </c>
    </row>
    <row r="52" spans="1:8" x14ac:dyDescent="0.2">
      <c r="A52" s="34"/>
      <c r="B52" s="25" t="s">
        <v>241</v>
      </c>
      <c r="C52" s="82">
        <v>76.626214171278505</v>
      </c>
      <c r="D52" s="82">
        <v>86.769737443856798</v>
      </c>
      <c r="E52" s="82">
        <v>91.871159976080406</v>
      </c>
      <c r="F52" s="27"/>
      <c r="G52" s="28">
        <v>19.895209452375767</v>
      </c>
      <c r="H52" s="29">
        <v>5.8792646866361764</v>
      </c>
    </row>
    <row r="53" spans="1:8" x14ac:dyDescent="0.2">
      <c r="A53" s="30" t="s">
        <v>24</v>
      </c>
      <c r="B53" s="31" t="s">
        <v>3</v>
      </c>
      <c r="C53" s="80">
        <v>645.61334561598767</v>
      </c>
      <c r="D53" s="80">
        <v>609.79980959913178</v>
      </c>
      <c r="E53" s="83">
        <v>601.52636429207405</v>
      </c>
      <c r="F53" s="22" t="s">
        <v>240</v>
      </c>
      <c r="G53" s="23">
        <v>-6.8286973346019835</v>
      </c>
      <c r="H53" s="24">
        <v>-1.3567477681727098</v>
      </c>
    </row>
    <row r="54" spans="1:8" ht="13.5" thickBot="1" x14ac:dyDescent="0.25">
      <c r="A54" s="41"/>
      <c r="B54" s="42" t="s">
        <v>241</v>
      </c>
      <c r="C54" s="86">
        <v>307.34518856889332</v>
      </c>
      <c r="D54" s="86">
        <v>356.3595168717182</v>
      </c>
      <c r="E54" s="86">
        <v>326.73901052358292</v>
      </c>
      <c r="F54" s="44"/>
      <c r="G54" s="45">
        <v>6.3101108057015693</v>
      </c>
      <c r="H54" s="46">
        <v>-8.3119728660980456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15</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45</v>
      </c>
      <c r="B7" s="19" t="s">
        <v>3</v>
      </c>
      <c r="C7" s="20">
        <v>19730</v>
      </c>
      <c r="D7" s="20">
        <v>22199</v>
      </c>
      <c r="E7" s="21">
        <v>17933.114185028975</v>
      </c>
      <c r="F7" s="22" t="s">
        <v>240</v>
      </c>
      <c r="G7" s="23">
        <v>-9.1073786871314013</v>
      </c>
      <c r="H7" s="24">
        <v>-19.216567480386615</v>
      </c>
    </row>
    <row r="8" spans="1:8" ht="12.75" customHeight="1" x14ac:dyDescent="0.2">
      <c r="A8" s="206"/>
      <c r="B8" s="25" t="s">
        <v>241</v>
      </c>
      <c r="C8" s="26">
        <v>9385.896054622508</v>
      </c>
      <c r="D8" s="26">
        <v>11835</v>
      </c>
      <c r="E8" s="26">
        <v>9190.9613352168672</v>
      </c>
      <c r="F8" s="27"/>
      <c r="G8" s="28">
        <v>-2.0768898171383086</v>
      </c>
      <c r="H8" s="29">
        <v>-22.340842118995624</v>
      </c>
    </row>
    <row r="9" spans="1:8" x14ac:dyDescent="0.2">
      <c r="A9" s="30" t="s">
        <v>18</v>
      </c>
      <c r="B9" s="31" t="s">
        <v>3</v>
      </c>
      <c r="C9" s="20">
        <v>2349</v>
      </c>
      <c r="D9" s="20">
        <v>2884</v>
      </c>
      <c r="E9" s="21">
        <v>2271.7534157147693</v>
      </c>
      <c r="F9" s="22" t="s">
        <v>240</v>
      </c>
      <c r="G9" s="32">
        <v>-3.2884880496054052</v>
      </c>
      <c r="H9" s="33">
        <v>-21.229077125008004</v>
      </c>
    </row>
    <row r="10" spans="1:8" x14ac:dyDescent="0.2">
      <c r="A10" s="34"/>
      <c r="B10" s="25" t="s">
        <v>241</v>
      </c>
      <c r="C10" s="26">
        <v>1013.1573951102608</v>
      </c>
      <c r="D10" s="26">
        <v>1222</v>
      </c>
      <c r="E10" s="26">
        <v>968.2657739130434</v>
      </c>
      <c r="F10" s="27"/>
      <c r="G10" s="35">
        <v>-4.4308634979989421</v>
      </c>
      <c r="H10" s="29">
        <v>-20.763848288621659</v>
      </c>
    </row>
    <row r="11" spans="1:8" x14ac:dyDescent="0.2">
      <c r="A11" s="30" t="s">
        <v>19</v>
      </c>
      <c r="B11" s="31" t="s">
        <v>3</v>
      </c>
      <c r="C11" s="20">
        <v>5293</v>
      </c>
      <c r="D11" s="20">
        <v>7881</v>
      </c>
      <c r="E11" s="21">
        <v>4917.6777542545233</v>
      </c>
      <c r="F11" s="22" t="s">
        <v>240</v>
      </c>
      <c r="G11" s="37">
        <v>-7.0909171688168726</v>
      </c>
      <c r="H11" s="33">
        <v>-37.600840575377191</v>
      </c>
    </row>
    <row r="12" spans="1:8" x14ac:dyDescent="0.2">
      <c r="A12" s="34"/>
      <c r="B12" s="25" t="s">
        <v>241</v>
      </c>
      <c r="C12" s="26">
        <v>2646.8579837008692</v>
      </c>
      <c r="D12" s="26">
        <v>4860</v>
      </c>
      <c r="E12" s="26">
        <v>2813.8859130434785</v>
      </c>
      <c r="F12" s="27"/>
      <c r="G12" s="28">
        <v>6.3104227869856828</v>
      </c>
      <c r="H12" s="29">
        <v>-42.101112900339956</v>
      </c>
    </row>
    <row r="13" spans="1:8" x14ac:dyDescent="0.2">
      <c r="A13" s="30" t="s">
        <v>20</v>
      </c>
      <c r="B13" s="31" t="s">
        <v>3</v>
      </c>
      <c r="C13" s="20">
        <v>1022</v>
      </c>
      <c r="D13" s="20">
        <v>805</v>
      </c>
      <c r="E13" s="21">
        <v>997.21420853834422</v>
      </c>
      <c r="F13" s="22" t="s">
        <v>240</v>
      </c>
      <c r="G13" s="23">
        <v>-2.4252242134692636</v>
      </c>
      <c r="H13" s="24">
        <v>23.877541433334699</v>
      </c>
    </row>
    <row r="14" spans="1:8" x14ac:dyDescent="0.2">
      <c r="A14" s="34"/>
      <c r="B14" s="25" t="s">
        <v>241</v>
      </c>
      <c r="C14" s="26">
        <v>507.83713509565217</v>
      </c>
      <c r="D14" s="26">
        <v>382</v>
      </c>
      <c r="E14" s="26">
        <v>480.42186335403727</v>
      </c>
      <c r="F14" s="27"/>
      <c r="G14" s="38">
        <v>-5.3984377760108515</v>
      </c>
      <c r="H14" s="24">
        <v>25.764885694774151</v>
      </c>
    </row>
    <row r="15" spans="1:8" x14ac:dyDescent="0.2">
      <c r="A15" s="30" t="s">
        <v>21</v>
      </c>
      <c r="B15" s="31" t="s">
        <v>3</v>
      </c>
      <c r="C15" s="20">
        <v>558</v>
      </c>
      <c r="D15" s="20">
        <v>625</v>
      </c>
      <c r="E15" s="21">
        <v>581.85350475822304</v>
      </c>
      <c r="F15" s="22" t="s">
        <v>240</v>
      </c>
      <c r="G15" s="37">
        <v>4.2748216412586117</v>
      </c>
      <c r="H15" s="33">
        <v>-6.9034392386843138</v>
      </c>
    </row>
    <row r="16" spans="1:8" x14ac:dyDescent="0.2">
      <c r="A16" s="34"/>
      <c r="B16" s="25" t="s">
        <v>241</v>
      </c>
      <c r="C16" s="26">
        <v>238.53583106956523</v>
      </c>
      <c r="D16" s="26">
        <v>323</v>
      </c>
      <c r="E16" s="26">
        <v>281.12304347826085</v>
      </c>
      <c r="F16" s="27"/>
      <c r="G16" s="28">
        <v>17.853591310680585</v>
      </c>
      <c r="H16" s="29">
        <v>-12.965002019114294</v>
      </c>
    </row>
    <row r="17" spans="1:8" x14ac:dyDescent="0.2">
      <c r="A17" s="30" t="s">
        <v>22</v>
      </c>
      <c r="B17" s="31" t="s">
        <v>3</v>
      </c>
      <c r="C17" s="20">
        <v>374</v>
      </c>
      <c r="D17" s="20">
        <v>405</v>
      </c>
      <c r="E17" s="21">
        <v>518.40318658583851</v>
      </c>
      <c r="F17" s="22" t="s">
        <v>240</v>
      </c>
      <c r="G17" s="37">
        <v>38.610477696748262</v>
      </c>
      <c r="H17" s="33">
        <v>28.000786811318136</v>
      </c>
    </row>
    <row r="18" spans="1:8" x14ac:dyDescent="0.2">
      <c r="A18" s="34"/>
      <c r="B18" s="25" t="s">
        <v>241</v>
      </c>
      <c r="C18" s="26">
        <v>181.53583106956523</v>
      </c>
      <c r="D18" s="26">
        <v>138</v>
      </c>
      <c r="E18" s="26">
        <v>196.12304347826085</v>
      </c>
      <c r="F18" s="27"/>
      <c r="G18" s="28">
        <v>8.0354453017629055</v>
      </c>
      <c r="H18" s="29">
        <v>42.118147448015122</v>
      </c>
    </row>
    <row r="19" spans="1:8" x14ac:dyDescent="0.2">
      <c r="A19" s="30" t="s">
        <v>189</v>
      </c>
      <c r="B19" s="31" t="s">
        <v>3</v>
      </c>
      <c r="C19" s="20">
        <v>6206</v>
      </c>
      <c r="D19" s="20">
        <v>6216</v>
      </c>
      <c r="E19" s="21">
        <v>5543.5188517601064</v>
      </c>
      <c r="F19" s="22" t="s">
        <v>240</v>
      </c>
      <c r="G19" s="23">
        <v>-10.674849310987653</v>
      </c>
      <c r="H19" s="24">
        <v>-10.818551290860583</v>
      </c>
    </row>
    <row r="20" spans="1:8" x14ac:dyDescent="0.2">
      <c r="A20" s="30"/>
      <c r="B20" s="25" t="s">
        <v>241</v>
      </c>
      <c r="C20" s="26">
        <v>2724.5928377391306</v>
      </c>
      <c r="D20" s="26">
        <v>3053</v>
      </c>
      <c r="E20" s="26">
        <v>2619.0546583850933</v>
      </c>
      <c r="F20" s="27"/>
      <c r="G20" s="38">
        <v>-3.8735394842193358</v>
      </c>
      <c r="H20" s="24">
        <v>-14.213735395182013</v>
      </c>
    </row>
    <row r="21" spans="1:8" x14ac:dyDescent="0.2">
      <c r="A21" s="39" t="s">
        <v>12</v>
      </c>
      <c r="B21" s="31" t="s">
        <v>3</v>
      </c>
      <c r="C21" s="20">
        <v>62</v>
      </c>
      <c r="D21" s="20">
        <v>63</v>
      </c>
      <c r="E21" s="21">
        <v>46.969213735260709</v>
      </c>
      <c r="F21" s="22" t="s">
        <v>240</v>
      </c>
      <c r="G21" s="37">
        <v>-24.243203652805306</v>
      </c>
      <c r="H21" s="33">
        <v>-25.44569248371316</v>
      </c>
    </row>
    <row r="22" spans="1:8" x14ac:dyDescent="0.2">
      <c r="A22" s="34"/>
      <c r="B22" s="25" t="s">
        <v>241</v>
      </c>
      <c r="C22" s="26">
        <v>31.321498641739129</v>
      </c>
      <c r="D22" s="26">
        <v>25</v>
      </c>
      <c r="E22" s="26">
        <v>20.073826086956522</v>
      </c>
      <c r="F22" s="27"/>
      <c r="G22" s="28">
        <v>-35.910390762062462</v>
      </c>
      <c r="H22" s="29">
        <v>-19.704695652173911</v>
      </c>
    </row>
    <row r="23" spans="1:8" x14ac:dyDescent="0.2">
      <c r="A23" s="39" t="s">
        <v>23</v>
      </c>
      <c r="B23" s="31" t="s">
        <v>3</v>
      </c>
      <c r="C23" s="20">
        <v>1699</v>
      </c>
      <c r="D23" s="20">
        <v>1708</v>
      </c>
      <c r="E23" s="21">
        <v>1782.3069559126307</v>
      </c>
      <c r="F23" s="22" t="s">
        <v>240</v>
      </c>
      <c r="G23" s="23">
        <v>4.9032934616027433</v>
      </c>
      <c r="H23" s="24">
        <v>4.3505243508565883</v>
      </c>
    </row>
    <row r="24" spans="1:8" x14ac:dyDescent="0.2">
      <c r="A24" s="34"/>
      <c r="B24" s="25" t="s">
        <v>241</v>
      </c>
      <c r="C24" s="26">
        <v>808.53583106956523</v>
      </c>
      <c r="D24" s="26">
        <v>807</v>
      </c>
      <c r="E24" s="26">
        <v>844.12304347826091</v>
      </c>
      <c r="F24" s="27"/>
      <c r="G24" s="28">
        <v>4.4014391250440212</v>
      </c>
      <c r="H24" s="29">
        <v>4.6001293033780541</v>
      </c>
    </row>
    <row r="25" spans="1:8" x14ac:dyDescent="0.2">
      <c r="A25" s="30" t="s">
        <v>24</v>
      </c>
      <c r="B25" s="31" t="s">
        <v>3</v>
      </c>
      <c r="C25" s="20">
        <v>3046</v>
      </c>
      <c r="D25" s="20">
        <v>2750</v>
      </c>
      <c r="E25" s="21">
        <v>2512.3326749979342</v>
      </c>
      <c r="F25" s="22" t="s">
        <v>240</v>
      </c>
      <c r="G25" s="23">
        <v>-17.520266743337686</v>
      </c>
      <c r="H25" s="24">
        <v>-8.6424481818933003</v>
      </c>
    </row>
    <row r="26" spans="1:8" ht="13.5" thickBot="1" x14ac:dyDescent="0.25">
      <c r="A26" s="41"/>
      <c r="B26" s="42" t="s">
        <v>241</v>
      </c>
      <c r="C26" s="43">
        <v>1568.0716621391305</v>
      </c>
      <c r="D26" s="43">
        <v>1597</v>
      </c>
      <c r="E26" s="43">
        <v>1399.2460869565218</v>
      </c>
      <c r="F26" s="44"/>
      <c r="G26" s="45">
        <v>-10.766445135058461</v>
      </c>
      <c r="H26" s="46">
        <v>-12.382837385314843</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45</v>
      </c>
      <c r="B35" s="19" t="s">
        <v>3</v>
      </c>
      <c r="C35" s="80">
        <v>879.94470515445778</v>
      </c>
      <c r="D35" s="80">
        <v>1025.3048651070956</v>
      </c>
      <c r="E35" s="83">
        <v>871.69342481533374</v>
      </c>
      <c r="F35" s="22" t="s">
        <v>240</v>
      </c>
      <c r="G35" s="23">
        <v>-0.93770441378764247</v>
      </c>
      <c r="H35" s="24">
        <v>-14.982025885122155</v>
      </c>
    </row>
    <row r="36" spans="1:8" ht="12.75" customHeight="1" x14ac:dyDescent="0.2">
      <c r="A36" s="206"/>
      <c r="B36" s="25" t="s">
        <v>241</v>
      </c>
      <c r="C36" s="82">
        <v>437.1111050843312</v>
      </c>
      <c r="D36" s="82">
        <v>585.51028958136851</v>
      </c>
      <c r="E36" s="82">
        <v>474.14563506158925</v>
      </c>
      <c r="F36" s="27"/>
      <c r="G36" s="28">
        <v>8.4725667104964089</v>
      </c>
      <c r="H36" s="29">
        <v>-19.020102037729075</v>
      </c>
    </row>
    <row r="37" spans="1:8" x14ac:dyDescent="0.2">
      <c r="A37" s="30" t="s">
        <v>18</v>
      </c>
      <c r="B37" s="31" t="s">
        <v>3</v>
      </c>
      <c r="C37" s="80">
        <v>307.31515572809349</v>
      </c>
      <c r="D37" s="80">
        <v>352.08131989731572</v>
      </c>
      <c r="E37" s="83">
        <v>321.89114948714894</v>
      </c>
      <c r="F37" s="22" t="s">
        <v>240</v>
      </c>
      <c r="G37" s="32">
        <v>4.7430116892614365</v>
      </c>
      <c r="H37" s="33">
        <v>-8.5747719927236545</v>
      </c>
    </row>
    <row r="38" spans="1:8" x14ac:dyDescent="0.2">
      <c r="A38" s="34"/>
      <c r="B38" s="25" t="s">
        <v>241</v>
      </c>
      <c r="C38" s="82">
        <v>151.53165684797511</v>
      </c>
      <c r="D38" s="82">
        <v>182.93864110698644</v>
      </c>
      <c r="E38" s="82">
        <v>164.30749825587839</v>
      </c>
      <c r="F38" s="27"/>
      <c r="G38" s="35">
        <v>8.4311368816620842</v>
      </c>
      <c r="H38" s="29">
        <v>-10.184367139915594</v>
      </c>
    </row>
    <row r="39" spans="1:8" x14ac:dyDescent="0.2">
      <c r="A39" s="30" t="s">
        <v>19</v>
      </c>
      <c r="B39" s="31" t="s">
        <v>3</v>
      </c>
      <c r="C39" s="80">
        <v>251.5509322107302</v>
      </c>
      <c r="D39" s="80">
        <v>385.89841356658548</v>
      </c>
      <c r="E39" s="83">
        <v>283.1632736988139</v>
      </c>
      <c r="F39" s="22" t="s">
        <v>240</v>
      </c>
      <c r="G39" s="37">
        <v>12.566974493102379</v>
      </c>
      <c r="H39" s="33">
        <v>-26.622327601262597</v>
      </c>
    </row>
    <row r="40" spans="1:8" x14ac:dyDescent="0.2">
      <c r="A40" s="34"/>
      <c r="B40" s="25" t="s">
        <v>241</v>
      </c>
      <c r="C40" s="82">
        <v>127.32213941170701</v>
      </c>
      <c r="D40" s="82">
        <v>243.08588737442284</v>
      </c>
      <c r="E40" s="82">
        <v>164.92703032206254</v>
      </c>
      <c r="F40" s="27"/>
      <c r="G40" s="28">
        <v>29.535233294153898</v>
      </c>
      <c r="H40" s="29">
        <v>-32.152774435635152</v>
      </c>
    </row>
    <row r="41" spans="1:8" x14ac:dyDescent="0.2">
      <c r="A41" s="30" t="s">
        <v>20</v>
      </c>
      <c r="B41" s="31" t="s">
        <v>3</v>
      </c>
      <c r="C41" s="80">
        <v>31.90187490897867</v>
      </c>
      <c r="D41" s="80">
        <v>25.875430763534148</v>
      </c>
      <c r="E41" s="83">
        <v>30.210709501181956</v>
      </c>
      <c r="F41" s="22" t="s">
        <v>240</v>
      </c>
      <c r="G41" s="23">
        <v>-5.3011473859197622</v>
      </c>
      <c r="H41" s="24">
        <v>16.754421509988731</v>
      </c>
    </row>
    <row r="42" spans="1:8" x14ac:dyDescent="0.2">
      <c r="A42" s="34"/>
      <c r="B42" s="25" t="s">
        <v>241</v>
      </c>
      <c r="C42" s="82">
        <v>16.794052819987584</v>
      </c>
      <c r="D42" s="82">
        <v>14.260682745981425</v>
      </c>
      <c r="E42" s="82">
        <v>16.393582975643437</v>
      </c>
      <c r="F42" s="27"/>
      <c r="G42" s="38">
        <v>-2.38459321663872</v>
      </c>
      <c r="H42" s="24">
        <v>14.956508518240824</v>
      </c>
    </row>
    <row r="43" spans="1:8" x14ac:dyDescent="0.2">
      <c r="A43" s="30" t="s">
        <v>21</v>
      </c>
      <c r="B43" s="31" t="s">
        <v>3</v>
      </c>
      <c r="C43" s="80">
        <v>10.766231630682437</v>
      </c>
      <c r="D43" s="80">
        <v>10.001865350056427</v>
      </c>
      <c r="E43" s="83">
        <v>10.069407306399043</v>
      </c>
      <c r="F43" s="22" t="s">
        <v>240</v>
      </c>
      <c r="G43" s="37">
        <v>-6.4723140666742722</v>
      </c>
      <c r="H43" s="33">
        <v>0.67529359753113738</v>
      </c>
    </row>
    <row r="44" spans="1:8" x14ac:dyDescent="0.2">
      <c r="A44" s="34"/>
      <c r="B44" s="25" t="s">
        <v>241</v>
      </c>
      <c r="C44" s="82">
        <v>4.3586369423006204</v>
      </c>
      <c r="D44" s="82">
        <v>5.0930016660496591</v>
      </c>
      <c r="E44" s="82">
        <v>4.721671618040892</v>
      </c>
      <c r="F44" s="27"/>
      <c r="G44" s="28">
        <v>8.3290872937136839</v>
      </c>
      <c r="H44" s="29">
        <v>-7.2909861876559319</v>
      </c>
    </row>
    <row r="45" spans="1:8" x14ac:dyDescent="0.2">
      <c r="A45" s="30" t="s">
        <v>22</v>
      </c>
      <c r="B45" s="31" t="s">
        <v>3</v>
      </c>
      <c r="C45" s="80">
        <v>2.2689798245442843</v>
      </c>
      <c r="D45" s="80">
        <v>2.2821018177074857</v>
      </c>
      <c r="E45" s="83">
        <v>4.2466752409433637</v>
      </c>
      <c r="F45" s="22" t="s">
        <v>240</v>
      </c>
      <c r="G45" s="37">
        <v>87.162318280916907</v>
      </c>
      <c r="H45" s="33">
        <v>86.08614251968018</v>
      </c>
    </row>
    <row r="46" spans="1:8" x14ac:dyDescent="0.2">
      <c r="A46" s="34"/>
      <c r="B46" s="25" t="s">
        <v>241</v>
      </c>
      <c r="C46" s="82">
        <v>1.3295544299978941</v>
      </c>
      <c r="D46" s="82">
        <v>0.90636838652955232</v>
      </c>
      <c r="E46" s="82">
        <v>1.8895733390845812</v>
      </c>
      <c r="F46" s="27"/>
      <c r="G46" s="28">
        <v>42.12079599385595</v>
      </c>
      <c r="H46" s="29">
        <v>108.4774101973791</v>
      </c>
    </row>
    <row r="47" spans="1:8" x14ac:dyDescent="0.2">
      <c r="A47" s="30" t="s">
        <v>189</v>
      </c>
      <c r="B47" s="31" t="s">
        <v>3</v>
      </c>
      <c r="C47" s="80">
        <v>141.95657027599356</v>
      </c>
      <c r="D47" s="80">
        <v>113.7057179791442</v>
      </c>
      <c r="E47" s="83">
        <v>106.61169040732727</v>
      </c>
      <c r="F47" s="22" t="s">
        <v>240</v>
      </c>
      <c r="G47" s="23">
        <v>-24.898375467897239</v>
      </c>
      <c r="H47" s="24">
        <v>-6.2389365265853201</v>
      </c>
    </row>
    <row r="48" spans="1:8" x14ac:dyDescent="0.2">
      <c r="A48" s="30"/>
      <c r="B48" s="25" t="s">
        <v>241</v>
      </c>
      <c r="C48" s="82">
        <v>65.585482815765459</v>
      </c>
      <c r="D48" s="82">
        <v>62.676912528871057</v>
      </c>
      <c r="E48" s="82">
        <v>55.212862796800565</v>
      </c>
      <c r="F48" s="27"/>
      <c r="G48" s="38">
        <v>-15.815420690127965</v>
      </c>
      <c r="H48" s="24">
        <v>-11.908770599752032</v>
      </c>
    </row>
    <row r="49" spans="1:8" x14ac:dyDescent="0.2">
      <c r="A49" s="39" t="s">
        <v>12</v>
      </c>
      <c r="B49" s="31" t="s">
        <v>3</v>
      </c>
      <c r="C49" s="80">
        <v>0.65521820632039296</v>
      </c>
      <c r="D49" s="80">
        <v>0.71547073751679258</v>
      </c>
      <c r="E49" s="83">
        <v>0.26181942731138447</v>
      </c>
      <c r="F49" s="22" t="s">
        <v>240</v>
      </c>
      <c r="G49" s="37">
        <v>-60.040880307382935</v>
      </c>
      <c r="H49" s="33">
        <v>-63.405990827788486</v>
      </c>
    </row>
    <row r="50" spans="1:8" x14ac:dyDescent="0.2">
      <c r="A50" s="34"/>
      <c r="B50" s="25" t="s">
        <v>241</v>
      </c>
      <c r="C50" s="82">
        <v>0.62673632100436794</v>
      </c>
      <c r="D50" s="82">
        <v>0.41691373085653471</v>
      </c>
      <c r="E50" s="82">
        <v>0.17541677485172141</v>
      </c>
      <c r="F50" s="27"/>
      <c r="G50" s="28">
        <v>-72.011072444212331</v>
      </c>
      <c r="H50" s="29">
        <v>-57.92492262336053</v>
      </c>
    </row>
    <row r="51" spans="1:8" x14ac:dyDescent="0.2">
      <c r="A51" s="39" t="s">
        <v>23</v>
      </c>
      <c r="B51" s="31" t="s">
        <v>3</v>
      </c>
      <c r="C51" s="80">
        <v>50.875876129341314</v>
      </c>
      <c r="D51" s="80">
        <v>55.653365350551773</v>
      </c>
      <c r="E51" s="83">
        <v>61.3798804055617</v>
      </c>
      <c r="F51" s="22" t="s">
        <v>240</v>
      </c>
      <c r="G51" s="23">
        <v>20.64633589702936</v>
      </c>
      <c r="H51" s="24">
        <v>10.289611452855567</v>
      </c>
    </row>
    <row r="52" spans="1:8" x14ac:dyDescent="0.2">
      <c r="A52" s="34"/>
      <c r="B52" s="25" t="s">
        <v>241</v>
      </c>
      <c r="C52" s="82">
        <v>22.456251686902942</v>
      </c>
      <c r="D52" s="82">
        <v>24.704815192811765</v>
      </c>
      <c r="E52" s="82">
        <v>27.195250075722068</v>
      </c>
      <c r="F52" s="27"/>
      <c r="G52" s="28">
        <v>21.103247571735366</v>
      </c>
      <c r="H52" s="29">
        <v>10.080767103390158</v>
      </c>
    </row>
    <row r="53" spans="1:8" x14ac:dyDescent="0.2">
      <c r="A53" s="30" t="s">
        <v>24</v>
      </c>
      <c r="B53" s="31" t="s">
        <v>3</v>
      </c>
      <c r="C53" s="80">
        <v>82.653866239773507</v>
      </c>
      <c r="D53" s="80">
        <v>79.09117964468345</v>
      </c>
      <c r="E53" s="83">
        <v>63.315807281178358</v>
      </c>
      <c r="F53" s="22" t="s">
        <v>240</v>
      </c>
      <c r="G53" s="23">
        <v>-23.396436051154211</v>
      </c>
      <c r="H53" s="24">
        <v>-19.945804872775753</v>
      </c>
    </row>
    <row r="54" spans="1:8" ht="13.5" thickBot="1" x14ac:dyDescent="0.25">
      <c r="A54" s="41"/>
      <c r="B54" s="42" t="s">
        <v>241</v>
      </c>
      <c r="C54" s="86">
        <v>47.106593808690199</v>
      </c>
      <c r="D54" s="86">
        <v>51.427066848859248</v>
      </c>
      <c r="E54" s="86">
        <v>39.322748903505008</v>
      </c>
      <c r="F54" s="44"/>
      <c r="G54" s="45">
        <v>-16.523896711354297</v>
      </c>
      <c r="H54" s="46">
        <v>-23.536862370409011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16</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165</v>
      </c>
      <c r="B7" s="19" t="s">
        <v>3</v>
      </c>
      <c r="C7" s="20">
        <v>45810.752901417422</v>
      </c>
      <c r="D7" s="20">
        <v>47091.596212135686</v>
      </c>
      <c r="E7" s="79">
        <v>43438.760971820637</v>
      </c>
      <c r="F7" s="22" t="s">
        <v>240</v>
      </c>
      <c r="G7" s="23">
        <v>-5.1778060375938395</v>
      </c>
      <c r="H7" s="24">
        <v>-7.756872848097899</v>
      </c>
    </row>
    <row r="8" spans="1:8" x14ac:dyDescent="0.2">
      <c r="A8" s="206"/>
      <c r="B8" s="25" t="s">
        <v>241</v>
      </c>
      <c r="C8" s="26">
        <v>21334.431123936934</v>
      </c>
      <c r="D8" s="26">
        <v>24373.170409300845</v>
      </c>
      <c r="E8" s="26">
        <v>21677.887427966238</v>
      </c>
      <c r="F8" s="27"/>
      <c r="G8" s="28">
        <v>1.6098685830153272</v>
      </c>
      <c r="H8" s="29">
        <v>-11.058401250524568</v>
      </c>
    </row>
    <row r="9" spans="1:8" x14ac:dyDescent="0.2">
      <c r="A9" s="30" t="s">
        <v>18</v>
      </c>
      <c r="B9" s="31" t="s">
        <v>3</v>
      </c>
      <c r="C9" s="20">
        <v>4788.3979602971012</v>
      </c>
      <c r="D9" s="20">
        <v>4601.1492898695651</v>
      </c>
      <c r="E9" s="36">
        <v>4246.407888695795</v>
      </c>
      <c r="F9" s="22" t="s">
        <v>240</v>
      </c>
      <c r="G9" s="32">
        <v>-11.31881844606913</v>
      </c>
      <c r="H9" s="33">
        <v>-7.709843320120271</v>
      </c>
    </row>
    <row r="10" spans="1:8" x14ac:dyDescent="0.2">
      <c r="A10" s="34"/>
      <c r="B10" s="25" t="s">
        <v>241</v>
      </c>
      <c r="C10" s="26">
        <v>2138.7458774521738</v>
      </c>
      <c r="D10" s="26">
        <v>2173.3339492753621</v>
      </c>
      <c r="E10" s="26">
        <v>1968.0353534105072</v>
      </c>
      <c r="F10" s="27"/>
      <c r="G10" s="35">
        <v>-7.9818049372480431</v>
      </c>
      <c r="H10" s="29">
        <v>-9.446251733807685</v>
      </c>
    </row>
    <row r="11" spans="1:8" x14ac:dyDescent="0.2">
      <c r="A11" s="30" t="s">
        <v>19</v>
      </c>
      <c r="B11" s="31" t="s">
        <v>3</v>
      </c>
      <c r="C11" s="20">
        <v>20821.120597335968</v>
      </c>
      <c r="D11" s="20">
        <v>25129.852221391306</v>
      </c>
      <c r="E11" s="36">
        <v>21603.070610396586</v>
      </c>
      <c r="F11" s="22" t="s">
        <v>240</v>
      </c>
      <c r="G11" s="37">
        <v>3.7555616154524785</v>
      </c>
      <c r="H11" s="33">
        <v>-14.034231399071317</v>
      </c>
    </row>
    <row r="12" spans="1:8" x14ac:dyDescent="0.2">
      <c r="A12" s="34"/>
      <c r="B12" s="25" t="s">
        <v>241</v>
      </c>
      <c r="C12" s="26">
        <v>9917.4410534798426</v>
      </c>
      <c r="D12" s="26">
        <v>12415.63837944664</v>
      </c>
      <c r="E12" s="26">
        <v>10542.297520252569</v>
      </c>
      <c r="F12" s="27"/>
      <c r="G12" s="28">
        <v>6.300581605710434</v>
      </c>
      <c r="H12" s="29">
        <v>-15.088558493256997</v>
      </c>
    </row>
    <row r="13" spans="1:8" x14ac:dyDescent="0.2">
      <c r="A13" s="30" t="s">
        <v>20</v>
      </c>
      <c r="B13" s="31" t="s">
        <v>3</v>
      </c>
      <c r="C13" s="20">
        <v>2858.2387761782607</v>
      </c>
      <c r="D13" s="20">
        <v>2303.2895739217392</v>
      </c>
      <c r="E13" s="36">
        <v>2535.824016171428</v>
      </c>
      <c r="F13" s="22" t="s">
        <v>240</v>
      </c>
      <c r="G13" s="23">
        <v>-11.280189839070488</v>
      </c>
      <c r="H13" s="24">
        <v>10.095753694302516</v>
      </c>
    </row>
    <row r="14" spans="1:8" x14ac:dyDescent="0.2">
      <c r="A14" s="34"/>
      <c r="B14" s="25" t="s">
        <v>241</v>
      </c>
      <c r="C14" s="26">
        <v>1488.0475264713043</v>
      </c>
      <c r="D14" s="26">
        <v>1131.0003695652174</v>
      </c>
      <c r="E14" s="26">
        <v>1269.2212120463043</v>
      </c>
      <c r="F14" s="27"/>
      <c r="G14" s="38">
        <v>-14.705599823408591</v>
      </c>
      <c r="H14" s="24">
        <v>12.221113821052271</v>
      </c>
    </row>
    <row r="15" spans="1:8" x14ac:dyDescent="0.2">
      <c r="A15" s="30" t="s">
        <v>21</v>
      </c>
      <c r="B15" s="31" t="s">
        <v>3</v>
      </c>
      <c r="C15" s="20">
        <v>1237.2387761782609</v>
      </c>
      <c r="D15" s="20">
        <v>1395.2895739217392</v>
      </c>
      <c r="E15" s="36">
        <v>1547.5532825697462</v>
      </c>
      <c r="F15" s="22" t="s">
        <v>240</v>
      </c>
      <c r="G15" s="37">
        <v>25.081214100807927</v>
      </c>
      <c r="H15" s="33">
        <v>10.912695937377322</v>
      </c>
    </row>
    <row r="16" spans="1:8" x14ac:dyDescent="0.2">
      <c r="A16" s="34"/>
      <c r="B16" s="25" t="s">
        <v>241</v>
      </c>
      <c r="C16" s="26">
        <v>585.04752647130431</v>
      </c>
      <c r="D16" s="26">
        <v>674.0003695652174</v>
      </c>
      <c r="E16" s="26">
        <v>742.22121204630434</v>
      </c>
      <c r="F16" s="27"/>
      <c r="G16" s="28">
        <v>26.865114108419206</v>
      </c>
      <c r="H16" s="29">
        <v>10.121781168324091</v>
      </c>
    </row>
    <row r="17" spans="1:8" x14ac:dyDescent="0.2">
      <c r="A17" s="30" t="s">
        <v>189</v>
      </c>
      <c r="B17" s="31" t="s">
        <v>3</v>
      </c>
      <c r="C17" s="20">
        <v>8556.3979602971012</v>
      </c>
      <c r="D17" s="20">
        <v>8451.1492898695651</v>
      </c>
      <c r="E17" s="36">
        <v>7876.0649272951978</v>
      </c>
      <c r="F17" s="22" t="s">
        <v>240</v>
      </c>
      <c r="G17" s="37">
        <v>-7.9511616472111939</v>
      </c>
      <c r="H17" s="33">
        <v>-6.8048065754053511</v>
      </c>
    </row>
    <row r="18" spans="1:8" x14ac:dyDescent="0.2">
      <c r="A18" s="34"/>
      <c r="B18" s="25" t="s">
        <v>241</v>
      </c>
      <c r="C18" s="26">
        <v>4286.7458774521738</v>
      </c>
      <c r="D18" s="26">
        <v>4475.3339492753621</v>
      </c>
      <c r="E18" s="26">
        <v>4093.035353410507</v>
      </c>
      <c r="F18" s="27"/>
      <c r="G18" s="28">
        <v>-4.5188245251616905</v>
      </c>
      <c r="H18" s="29">
        <v>-8.5423479051603692</v>
      </c>
    </row>
    <row r="19" spans="1:8" x14ac:dyDescent="0.2">
      <c r="A19" s="39" t="s">
        <v>12</v>
      </c>
      <c r="B19" s="31" t="s">
        <v>3</v>
      </c>
      <c r="C19" s="20">
        <v>306.23877617826088</v>
      </c>
      <c r="D19" s="20">
        <v>335.28957392173913</v>
      </c>
      <c r="E19" s="36">
        <v>438.53984202594125</v>
      </c>
      <c r="F19" s="22" t="s">
        <v>240</v>
      </c>
      <c r="G19" s="37">
        <v>43.201931348716016</v>
      </c>
      <c r="H19" s="33">
        <v>30.794356918566791</v>
      </c>
    </row>
    <row r="20" spans="1:8" x14ac:dyDescent="0.2">
      <c r="A20" s="34"/>
      <c r="B20" s="25" t="s">
        <v>241</v>
      </c>
      <c r="C20" s="26">
        <v>151.04752647130437</v>
      </c>
      <c r="D20" s="26">
        <v>163.0003695652174</v>
      </c>
      <c r="E20" s="26">
        <v>214.22121204630434</v>
      </c>
      <c r="F20" s="27"/>
      <c r="G20" s="28">
        <v>41.823714065917898</v>
      </c>
      <c r="H20" s="29">
        <v>31.423758496813235</v>
      </c>
    </row>
    <row r="21" spans="1:8" x14ac:dyDescent="0.2">
      <c r="A21" s="39" t="s">
        <v>23</v>
      </c>
      <c r="B21" s="31" t="s">
        <v>3</v>
      </c>
      <c r="C21" s="20">
        <v>800.15918411884059</v>
      </c>
      <c r="D21" s="20">
        <v>695.85971594782609</v>
      </c>
      <c r="E21" s="36">
        <v>637.95911047304617</v>
      </c>
      <c r="F21" s="22" t="s">
        <v>240</v>
      </c>
      <c r="G21" s="23">
        <v>-20.270975683971443</v>
      </c>
      <c r="H21" s="24">
        <v>-8.3207296165885793</v>
      </c>
    </row>
    <row r="22" spans="1:8" x14ac:dyDescent="0.2">
      <c r="A22" s="34"/>
      <c r="B22" s="25" t="s">
        <v>241</v>
      </c>
      <c r="C22" s="26">
        <v>404.69835098086958</v>
      </c>
      <c r="D22" s="26">
        <v>377.33357971014493</v>
      </c>
      <c r="E22" s="26">
        <v>337.8141413642029</v>
      </c>
      <c r="F22" s="27"/>
      <c r="G22" s="38">
        <v>-16.526929120061666</v>
      </c>
      <c r="H22" s="24">
        <v>-10.473342546480907</v>
      </c>
    </row>
    <row r="23" spans="1:8" x14ac:dyDescent="0.2">
      <c r="A23" s="30" t="s">
        <v>24</v>
      </c>
      <c r="B23" s="31" t="s">
        <v>3</v>
      </c>
      <c r="C23" s="20">
        <v>7531.5716328534781</v>
      </c>
      <c r="D23" s="20">
        <v>5346.8868721765211</v>
      </c>
      <c r="E23" s="36">
        <v>5681.4656469034289</v>
      </c>
      <c r="F23" s="22" t="s">
        <v>240</v>
      </c>
      <c r="G23" s="37">
        <v>-24.564673565337941</v>
      </c>
      <c r="H23" s="33">
        <v>6.2574500400961881</v>
      </c>
    </row>
    <row r="24" spans="1:8" ht="13.5" thickBot="1" x14ac:dyDescent="0.25">
      <c r="A24" s="41"/>
      <c r="B24" s="42" t="s">
        <v>241</v>
      </c>
      <c r="C24" s="43">
        <v>2804.1142579413913</v>
      </c>
      <c r="D24" s="43">
        <v>3618.4001108695652</v>
      </c>
      <c r="E24" s="43">
        <v>3021.3663636138913</v>
      </c>
      <c r="F24" s="44"/>
      <c r="G24" s="45">
        <v>7.7476195935037566</v>
      </c>
      <c r="H24" s="46">
        <v>-16.499937236410162</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165</v>
      </c>
      <c r="B35" s="19" t="s">
        <v>3</v>
      </c>
      <c r="C35" s="80">
        <v>5870.5359812985043</v>
      </c>
      <c r="D35" s="80">
        <v>6062.0590272136797</v>
      </c>
      <c r="E35" s="81">
        <v>5582.3422533229341</v>
      </c>
      <c r="F35" s="22" t="s">
        <v>240</v>
      </c>
      <c r="G35" s="23">
        <v>-4.9091552950813337</v>
      </c>
      <c r="H35" s="24">
        <v>-7.9134296076169903</v>
      </c>
    </row>
    <row r="36" spans="1:8" ht="12.75" customHeight="1" x14ac:dyDescent="0.2">
      <c r="A36" s="206"/>
      <c r="B36" s="25" t="s">
        <v>241</v>
      </c>
      <c r="C36" s="82">
        <v>3215.9968028142866</v>
      </c>
      <c r="D36" s="82">
        <v>3185.2108121119509</v>
      </c>
      <c r="E36" s="82">
        <v>2973.6566209012217</v>
      </c>
      <c r="F36" s="27"/>
      <c r="G36" s="28">
        <v>-7.5354609090716593</v>
      </c>
      <c r="H36" s="29">
        <v>-6.6417641936377265</v>
      </c>
    </row>
    <row r="37" spans="1:8" x14ac:dyDescent="0.2">
      <c r="A37" s="30" t="s">
        <v>18</v>
      </c>
      <c r="B37" s="31" t="s">
        <v>3</v>
      </c>
      <c r="C37" s="80">
        <v>2669.1624952873349</v>
      </c>
      <c r="D37" s="80">
        <v>2762.2181366845816</v>
      </c>
      <c r="E37" s="83">
        <v>2546.6056406068565</v>
      </c>
      <c r="F37" s="22" t="s">
        <v>240</v>
      </c>
      <c r="G37" s="32">
        <v>-4.5915846223998926</v>
      </c>
      <c r="H37" s="33">
        <v>-7.8057736720431308</v>
      </c>
    </row>
    <row r="38" spans="1:8" x14ac:dyDescent="0.2">
      <c r="A38" s="34"/>
      <c r="B38" s="25" t="s">
        <v>241</v>
      </c>
      <c r="C38" s="82">
        <v>1585.8373961983784</v>
      </c>
      <c r="D38" s="82">
        <v>1426.3594944071665</v>
      </c>
      <c r="E38" s="82">
        <v>1375.0007942829784</v>
      </c>
      <c r="F38" s="27"/>
      <c r="G38" s="35">
        <v>-13.294969737806952</v>
      </c>
      <c r="H38" s="29">
        <v>-3.6006841420811782</v>
      </c>
    </row>
    <row r="39" spans="1:8" x14ac:dyDescent="0.2">
      <c r="A39" s="30" t="s">
        <v>19</v>
      </c>
      <c r="B39" s="31" t="s">
        <v>3</v>
      </c>
      <c r="C39" s="80">
        <v>1638.298300338585</v>
      </c>
      <c r="D39" s="80">
        <v>1948.5093091017909</v>
      </c>
      <c r="E39" s="83">
        <v>1675.5655334075839</v>
      </c>
      <c r="F39" s="22" t="s">
        <v>240</v>
      </c>
      <c r="G39" s="37">
        <v>2.2747525930593326</v>
      </c>
      <c r="H39" s="33">
        <v>-14.007825080395776</v>
      </c>
    </row>
    <row r="40" spans="1:8" x14ac:dyDescent="0.2">
      <c r="A40" s="34"/>
      <c r="B40" s="25" t="s">
        <v>241</v>
      </c>
      <c r="C40" s="82">
        <v>790.96781125457619</v>
      </c>
      <c r="D40" s="82">
        <v>1027.807044970175</v>
      </c>
      <c r="E40" s="82">
        <v>857.38199230436817</v>
      </c>
      <c r="F40" s="27"/>
      <c r="G40" s="28">
        <v>8.3965719090958402</v>
      </c>
      <c r="H40" s="29">
        <v>-16.581424840374808</v>
      </c>
    </row>
    <row r="41" spans="1:8" x14ac:dyDescent="0.2">
      <c r="A41" s="30" t="s">
        <v>20</v>
      </c>
      <c r="B41" s="31" t="s">
        <v>3</v>
      </c>
      <c r="C41" s="80">
        <v>140.39008832816526</v>
      </c>
      <c r="D41" s="80">
        <v>123.73318596840178</v>
      </c>
      <c r="E41" s="83">
        <v>140.21987919533973</v>
      </c>
      <c r="F41" s="22" t="s">
        <v>240</v>
      </c>
      <c r="G41" s="23">
        <v>-0.12124013514946341</v>
      </c>
      <c r="H41" s="24">
        <v>13.32439078320364</v>
      </c>
    </row>
    <row r="42" spans="1:8" x14ac:dyDescent="0.2">
      <c r="A42" s="34"/>
      <c r="B42" s="25" t="s">
        <v>241</v>
      </c>
      <c r="C42" s="82">
        <v>82.917327425562888</v>
      </c>
      <c r="D42" s="82">
        <v>64.70129451669797</v>
      </c>
      <c r="E42" s="82">
        <v>76.23566897071133</v>
      </c>
      <c r="F42" s="27"/>
      <c r="G42" s="38">
        <v>-8.0582173380465747</v>
      </c>
      <c r="H42" s="24">
        <v>17.82711542353546</v>
      </c>
    </row>
    <row r="43" spans="1:8" x14ac:dyDescent="0.2">
      <c r="A43" s="30" t="s">
        <v>21</v>
      </c>
      <c r="B43" s="31" t="s">
        <v>3</v>
      </c>
      <c r="C43" s="80">
        <v>20.722429564660558</v>
      </c>
      <c r="D43" s="80">
        <v>24.81829396988827</v>
      </c>
      <c r="E43" s="83">
        <v>31.574348092702881</v>
      </c>
      <c r="F43" s="22" t="s">
        <v>240</v>
      </c>
      <c r="G43" s="37">
        <v>52.367983658387601</v>
      </c>
      <c r="H43" s="33">
        <v>27.222073084522449</v>
      </c>
    </row>
    <row r="44" spans="1:8" x14ac:dyDescent="0.2">
      <c r="A44" s="34"/>
      <c r="B44" s="25" t="s">
        <v>241</v>
      </c>
      <c r="C44" s="82">
        <v>10.082723589040329</v>
      </c>
      <c r="D44" s="82">
        <v>11.371125934634897</v>
      </c>
      <c r="E44" s="82">
        <v>14.753485784631966</v>
      </c>
      <c r="F44" s="27"/>
      <c r="G44" s="28">
        <v>46.324409811934544</v>
      </c>
      <c r="H44" s="29">
        <v>29.745162171626873</v>
      </c>
    </row>
    <row r="45" spans="1:8" x14ac:dyDescent="0.2">
      <c r="A45" s="30" t="s">
        <v>189</v>
      </c>
      <c r="B45" s="31" t="s">
        <v>3</v>
      </c>
      <c r="C45" s="80">
        <v>726.5815031003757</v>
      </c>
      <c r="D45" s="80">
        <v>679.71148863471342</v>
      </c>
      <c r="E45" s="83">
        <v>660.87852251391314</v>
      </c>
      <c r="F45" s="22" t="s">
        <v>240</v>
      </c>
      <c r="G45" s="37">
        <v>-9.0427543649409188</v>
      </c>
      <c r="H45" s="33">
        <v>-2.7707294103015272</v>
      </c>
    </row>
    <row r="46" spans="1:8" x14ac:dyDescent="0.2">
      <c r="A46" s="34"/>
      <c r="B46" s="25" t="s">
        <v>241</v>
      </c>
      <c r="C46" s="82">
        <v>381.2100423645773</v>
      </c>
      <c r="D46" s="82">
        <v>375.87817482526685</v>
      </c>
      <c r="E46" s="82">
        <v>359.00103929818454</v>
      </c>
      <c r="F46" s="27"/>
      <c r="G46" s="28">
        <v>-5.8259228766992379</v>
      </c>
      <c r="H46" s="29">
        <v>-4.4900546659640241</v>
      </c>
    </row>
    <row r="47" spans="1:8" x14ac:dyDescent="0.2">
      <c r="A47" s="39" t="s">
        <v>12</v>
      </c>
      <c r="B47" s="31" t="s">
        <v>3</v>
      </c>
      <c r="C47" s="80">
        <v>13.774586753330446</v>
      </c>
      <c r="D47" s="80">
        <v>20.478960578864299</v>
      </c>
      <c r="E47" s="83">
        <v>29.287296039739697</v>
      </c>
      <c r="F47" s="22" t="s">
        <v>240</v>
      </c>
      <c r="G47" s="37">
        <v>112.61832797022794</v>
      </c>
      <c r="H47" s="33">
        <v>43.011633461349646</v>
      </c>
    </row>
    <row r="48" spans="1:8" x14ac:dyDescent="0.2">
      <c r="A48" s="34"/>
      <c r="B48" s="25" t="s">
        <v>241</v>
      </c>
      <c r="C48" s="82">
        <v>5.576975100936874</v>
      </c>
      <c r="D48" s="82">
        <v>9.1813498656615185</v>
      </c>
      <c r="E48" s="82">
        <v>12.676847615234209</v>
      </c>
      <c r="F48" s="27"/>
      <c r="G48" s="28">
        <v>127.30687130205462</v>
      </c>
      <c r="H48" s="29">
        <v>38.071719308355085</v>
      </c>
    </row>
    <row r="49" spans="1:8" x14ac:dyDescent="0.2">
      <c r="A49" s="39" t="s">
        <v>23</v>
      </c>
      <c r="B49" s="31" t="s">
        <v>3</v>
      </c>
      <c r="C49" s="80">
        <v>38.14258987904995</v>
      </c>
      <c r="D49" s="80">
        <v>31.288874071004166</v>
      </c>
      <c r="E49" s="83">
        <v>32.44175065752048</v>
      </c>
      <c r="F49" s="22" t="s">
        <v>240</v>
      </c>
      <c r="G49" s="23">
        <v>-14.946125157224031</v>
      </c>
      <c r="H49" s="24">
        <v>3.6846215172207053</v>
      </c>
    </row>
    <row r="50" spans="1:8" x14ac:dyDescent="0.2">
      <c r="A50" s="34"/>
      <c r="B50" s="25" t="s">
        <v>241</v>
      </c>
      <c r="C50" s="82">
        <v>17.300039006157697</v>
      </c>
      <c r="D50" s="82">
        <v>17.613974864395622</v>
      </c>
      <c r="E50" s="82">
        <v>16.904076342795925</v>
      </c>
      <c r="F50" s="27"/>
      <c r="G50" s="38">
        <v>-2.2887963617933735</v>
      </c>
      <c r="H50" s="24">
        <v>-4.0303141514903871</v>
      </c>
    </row>
    <row r="51" spans="1:8" x14ac:dyDescent="0.2">
      <c r="A51" s="30" t="s">
        <v>24</v>
      </c>
      <c r="B51" s="31" t="s">
        <v>3</v>
      </c>
      <c r="C51" s="80">
        <v>623.4639880470022</v>
      </c>
      <c r="D51" s="80">
        <v>471.30077820443415</v>
      </c>
      <c r="E51" s="83">
        <v>484.89120432676498</v>
      </c>
      <c r="F51" s="22" t="s">
        <v>240</v>
      </c>
      <c r="G51" s="37">
        <v>-22.226269099249137</v>
      </c>
      <c r="H51" s="33">
        <v>2.8835993384326031</v>
      </c>
    </row>
    <row r="52" spans="1:8" ht="13.5" thickBot="1" x14ac:dyDescent="0.25">
      <c r="A52" s="41"/>
      <c r="B52" s="42" t="s">
        <v>241</v>
      </c>
      <c r="C52" s="86">
        <v>342.10448787505652</v>
      </c>
      <c r="D52" s="86">
        <v>252.2983527279525</v>
      </c>
      <c r="E52" s="86">
        <v>261.70271630231724</v>
      </c>
      <c r="F52" s="44"/>
      <c r="G52" s="45">
        <v>-23.502109566625634</v>
      </c>
      <c r="H52" s="46">
        <v>3.7274772001802319</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17</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58</v>
      </c>
      <c r="B7" s="19" t="s">
        <v>3</v>
      </c>
      <c r="C7" s="20">
        <v>8509.7790693877541</v>
      </c>
      <c r="D7" s="20">
        <v>8798.6610285714287</v>
      </c>
      <c r="E7" s="79">
        <v>8587.7392333673906</v>
      </c>
      <c r="F7" s="22" t="s">
        <v>240</v>
      </c>
      <c r="G7" s="23">
        <v>0.91612441808368317</v>
      </c>
      <c r="H7" s="24">
        <v>-2.3972033303604121</v>
      </c>
    </row>
    <row r="8" spans="1:9" x14ac:dyDescent="0.2">
      <c r="A8" s="206"/>
      <c r="B8" s="25" t="s">
        <v>241</v>
      </c>
      <c r="C8" s="26">
        <v>4272.1273306122448</v>
      </c>
      <c r="D8" s="26">
        <v>4512.3466285714285</v>
      </c>
      <c r="E8" s="26">
        <v>4372.7643300391837</v>
      </c>
      <c r="F8" s="27"/>
      <c r="G8" s="28">
        <v>2.3556647927091632</v>
      </c>
      <c r="H8" s="29">
        <v>-3.093341669463797</v>
      </c>
    </row>
    <row r="9" spans="1:9" x14ac:dyDescent="0.2">
      <c r="A9" s="30" t="s">
        <v>9</v>
      </c>
      <c r="B9" s="31" t="s">
        <v>3</v>
      </c>
      <c r="C9" s="20">
        <v>8061.5764571428572</v>
      </c>
      <c r="D9" s="20">
        <v>8180.3375999999998</v>
      </c>
      <c r="E9" s="21">
        <v>8019.9941452930561</v>
      </c>
      <c r="F9" s="22" t="s">
        <v>240</v>
      </c>
      <c r="G9" s="32">
        <v>-0.51580868916720135</v>
      </c>
      <c r="H9" s="33">
        <v>-1.9601080364573704</v>
      </c>
    </row>
    <row r="10" spans="1:9" x14ac:dyDescent="0.2">
      <c r="A10" s="34"/>
      <c r="B10" s="25" t="s">
        <v>241</v>
      </c>
      <c r="C10" s="26">
        <v>4087.5619428571426</v>
      </c>
      <c r="D10" s="26">
        <v>4141.7511999999997</v>
      </c>
      <c r="E10" s="26">
        <v>4062.5363396228568</v>
      </c>
      <c r="F10" s="27"/>
      <c r="G10" s="35">
        <v>-0.61223789594228606</v>
      </c>
      <c r="H10" s="29">
        <v>-1.9125934067971855</v>
      </c>
    </row>
    <row r="11" spans="1:9" x14ac:dyDescent="0.2">
      <c r="A11" s="30" t="s">
        <v>46</v>
      </c>
      <c r="B11" s="31" t="s">
        <v>3</v>
      </c>
      <c r="C11" s="20">
        <v>449.20261224489798</v>
      </c>
      <c r="D11" s="20">
        <v>618.32342857142862</v>
      </c>
      <c r="E11" s="21">
        <v>595.39400001335389</v>
      </c>
      <c r="F11" s="22" t="s">
        <v>240</v>
      </c>
      <c r="G11" s="37">
        <v>32.544643281984008</v>
      </c>
      <c r="H11" s="33">
        <v>-3.7083227803692864</v>
      </c>
    </row>
    <row r="12" spans="1:9" ht="13.5" thickBot="1" x14ac:dyDescent="0.25">
      <c r="A12" s="56"/>
      <c r="B12" s="42" t="s">
        <v>241</v>
      </c>
      <c r="C12" s="43">
        <v>185.56538775510205</v>
      </c>
      <c r="D12" s="43">
        <v>370.59542857142856</v>
      </c>
      <c r="E12" s="43">
        <v>310.22799041632652</v>
      </c>
      <c r="F12" s="44"/>
      <c r="G12" s="57">
        <v>67.179878839122011</v>
      </c>
      <c r="H12" s="46">
        <v>-16.289309986312148</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58</v>
      </c>
      <c r="B35" s="19" t="s">
        <v>3</v>
      </c>
      <c r="C35" s="80">
        <v>1776.8332046777336</v>
      </c>
      <c r="D35" s="80">
        <v>1811.9238978132253</v>
      </c>
      <c r="E35" s="81">
        <v>1838.69554079153</v>
      </c>
      <c r="F35" s="22" t="s">
        <v>240</v>
      </c>
      <c r="G35" s="23">
        <v>3.4816062616871477</v>
      </c>
      <c r="H35" s="24">
        <v>1.4775257951294094</v>
      </c>
    </row>
    <row r="36" spans="1:9" ht="12.75" customHeight="1" x14ac:dyDescent="0.2">
      <c r="A36" s="206"/>
      <c r="B36" s="25" t="s">
        <v>241</v>
      </c>
      <c r="C36" s="82">
        <v>917.48112890574214</v>
      </c>
      <c r="D36" s="82">
        <v>934.05641670497073</v>
      </c>
      <c r="E36" s="82">
        <v>948.37905563044148</v>
      </c>
      <c r="F36" s="27"/>
      <c r="G36" s="28">
        <v>3.367690707878694</v>
      </c>
      <c r="H36" s="29">
        <v>1.5333804970791789</v>
      </c>
    </row>
    <row r="37" spans="1:9" x14ac:dyDescent="0.2">
      <c r="A37" s="30" t="s">
        <v>9</v>
      </c>
      <c r="B37" s="31" t="s">
        <v>3</v>
      </c>
      <c r="C37" s="80">
        <v>1313.0264236824205</v>
      </c>
      <c r="D37" s="80">
        <v>1308.5133755640504</v>
      </c>
      <c r="E37" s="83">
        <v>1324.0513373619767</v>
      </c>
      <c r="F37" s="22" t="s">
        <v>240</v>
      </c>
      <c r="G37" s="32">
        <v>0.83965664976007304</v>
      </c>
      <c r="H37" s="33">
        <v>1.1874515070377782</v>
      </c>
    </row>
    <row r="38" spans="1:9" x14ac:dyDescent="0.2">
      <c r="A38" s="34"/>
      <c r="B38" s="25" t="s">
        <v>241</v>
      </c>
      <c r="C38" s="82">
        <v>666.04859447829472</v>
      </c>
      <c r="D38" s="82">
        <v>673.35990419821599</v>
      </c>
      <c r="E38" s="82">
        <v>678.08644787569528</v>
      </c>
      <c r="F38" s="27"/>
      <c r="G38" s="35">
        <v>1.807353622122676</v>
      </c>
      <c r="H38" s="29">
        <v>0.70193423279447131</v>
      </c>
    </row>
    <row r="39" spans="1:9" x14ac:dyDescent="0.2">
      <c r="A39" s="30" t="s">
        <v>46</v>
      </c>
      <c r="B39" s="31" t="s">
        <v>3</v>
      </c>
      <c r="C39" s="80">
        <v>463.80678099531292</v>
      </c>
      <c r="D39" s="80">
        <v>503.41052224917502</v>
      </c>
      <c r="E39" s="83">
        <v>514.15958537180734</v>
      </c>
      <c r="F39" s="22" t="s">
        <v>240</v>
      </c>
      <c r="G39" s="37">
        <v>10.856418327571475</v>
      </c>
      <c r="H39" s="33">
        <v>2.1352480028837846</v>
      </c>
    </row>
    <row r="40" spans="1:9" ht="13.5" thickBot="1" x14ac:dyDescent="0.25">
      <c r="A40" s="56"/>
      <c r="B40" s="42" t="s">
        <v>241</v>
      </c>
      <c r="C40" s="86">
        <v>251.4325164274475</v>
      </c>
      <c r="D40" s="86">
        <v>260.69651250675474</v>
      </c>
      <c r="E40" s="86">
        <v>270.29260775474603</v>
      </c>
      <c r="F40" s="44"/>
      <c r="G40" s="57">
        <v>7.501054992917247</v>
      </c>
      <c r="H40" s="46">
        <v>3.6809450021862773</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18</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57</v>
      </c>
      <c r="B7" s="19" t="s">
        <v>3</v>
      </c>
      <c r="C7" s="20">
        <v>5522</v>
      </c>
      <c r="D7" s="20">
        <v>5593</v>
      </c>
      <c r="E7" s="79">
        <v>6226.0753477361059</v>
      </c>
      <c r="F7" s="22" t="s">
        <v>240</v>
      </c>
      <c r="G7" s="23">
        <v>12.750368484898701</v>
      </c>
      <c r="H7" s="24">
        <v>11.319065756054101</v>
      </c>
    </row>
    <row r="8" spans="1:9" x14ac:dyDescent="0.2">
      <c r="A8" s="206"/>
      <c r="B8" s="25" t="s">
        <v>241</v>
      </c>
      <c r="C8" s="26">
        <v>2730</v>
      </c>
      <c r="D8" s="26">
        <v>2768</v>
      </c>
      <c r="E8" s="26">
        <v>3080.2354285714287</v>
      </c>
      <c r="F8" s="27"/>
      <c r="G8" s="28">
        <v>12.829136577708013</v>
      </c>
      <c r="H8" s="29">
        <v>11.280181668042943</v>
      </c>
    </row>
    <row r="9" spans="1:9" x14ac:dyDescent="0.2">
      <c r="A9" s="30" t="s">
        <v>9</v>
      </c>
      <c r="B9" s="31" t="s">
        <v>3</v>
      </c>
      <c r="C9" s="20">
        <v>1891</v>
      </c>
      <c r="D9" s="20">
        <v>1642</v>
      </c>
      <c r="E9" s="21">
        <v>2183.8424176326666</v>
      </c>
      <c r="F9" s="22" t="s">
        <v>240</v>
      </c>
      <c r="G9" s="32">
        <v>15.48611410008813</v>
      </c>
      <c r="H9" s="33">
        <v>32.998929210272024</v>
      </c>
    </row>
    <row r="10" spans="1:9" x14ac:dyDescent="0.2">
      <c r="A10" s="34"/>
      <c r="B10" s="25" t="s">
        <v>241</v>
      </c>
      <c r="C10" s="26">
        <v>776</v>
      </c>
      <c r="D10" s="26">
        <v>882</v>
      </c>
      <c r="E10" s="26">
        <v>1063.5230725995316</v>
      </c>
      <c r="F10" s="27"/>
      <c r="G10" s="35">
        <v>37.051942345300461</v>
      </c>
      <c r="H10" s="29">
        <v>20.580847233507001</v>
      </c>
    </row>
    <row r="11" spans="1:9" x14ac:dyDescent="0.2">
      <c r="A11" s="30" t="s">
        <v>46</v>
      </c>
      <c r="B11" s="31" t="s">
        <v>3</v>
      </c>
      <c r="C11" s="20">
        <v>2194</v>
      </c>
      <c r="D11" s="20">
        <v>2574</v>
      </c>
      <c r="E11" s="21">
        <v>2764.8707694189684</v>
      </c>
      <c r="F11" s="22" t="s">
        <v>240</v>
      </c>
      <c r="G11" s="37">
        <v>26.019633975340398</v>
      </c>
      <c r="H11" s="33">
        <v>7.415336807263742</v>
      </c>
    </row>
    <row r="12" spans="1:9" x14ac:dyDescent="0.2">
      <c r="A12" s="34"/>
      <c r="B12" s="25" t="s">
        <v>241</v>
      </c>
      <c r="C12" s="26">
        <v>1143</v>
      </c>
      <c r="D12" s="26">
        <v>1196</v>
      </c>
      <c r="E12" s="26">
        <v>1332.7123559718968</v>
      </c>
      <c r="F12" s="27"/>
      <c r="G12" s="28">
        <v>16.597756427987463</v>
      </c>
      <c r="H12" s="29">
        <v>11.430798994305746</v>
      </c>
    </row>
    <row r="13" spans="1:9" x14ac:dyDescent="0.2">
      <c r="A13" s="30" t="s">
        <v>24</v>
      </c>
      <c r="B13" s="31" t="s">
        <v>3</v>
      </c>
      <c r="C13" s="20">
        <v>1442</v>
      </c>
      <c r="D13" s="20">
        <v>1383</v>
      </c>
      <c r="E13" s="21">
        <v>1327.5013163291674</v>
      </c>
      <c r="F13" s="22" t="s">
        <v>240</v>
      </c>
      <c r="G13" s="23">
        <v>-7.9402693253004628</v>
      </c>
      <c r="H13" s="24">
        <v>-4.0129200051216714</v>
      </c>
    </row>
    <row r="14" spans="1:9" ht="13.5" thickBot="1" x14ac:dyDescent="0.25">
      <c r="A14" s="56"/>
      <c r="B14" s="42" t="s">
        <v>241</v>
      </c>
      <c r="C14" s="43">
        <v>818</v>
      </c>
      <c r="D14" s="43">
        <v>697</v>
      </c>
      <c r="E14" s="43">
        <v>694.8725714285714</v>
      </c>
      <c r="F14" s="44"/>
      <c r="G14" s="57">
        <v>-15.052252881592736</v>
      </c>
      <c r="H14" s="46">
        <v>-0.30522648083623949</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57</v>
      </c>
      <c r="B35" s="19" t="s">
        <v>3</v>
      </c>
      <c r="C35" s="80">
        <v>2036.0218121420889</v>
      </c>
      <c r="D35" s="80">
        <v>2387.3848808729372</v>
      </c>
      <c r="E35" s="81">
        <v>3081.0527115583482</v>
      </c>
      <c r="F35" s="22" t="s">
        <v>240</v>
      </c>
      <c r="G35" s="23">
        <v>51.327097439923165</v>
      </c>
      <c r="H35" s="24">
        <v>29.055550960504291</v>
      </c>
    </row>
    <row r="36" spans="1:9" ht="12.75" customHeight="1" x14ac:dyDescent="0.2">
      <c r="A36" s="206"/>
      <c r="B36" s="25" t="s">
        <v>241</v>
      </c>
      <c r="C36" s="82">
        <v>966.10268894516707</v>
      </c>
      <c r="D36" s="82">
        <v>1230.7896372137748</v>
      </c>
      <c r="E36" s="82">
        <v>1543.898457725212</v>
      </c>
      <c r="F36" s="27"/>
      <c r="G36" s="28">
        <v>59.806868916896121</v>
      </c>
      <c r="H36" s="29">
        <v>25.439669870819159</v>
      </c>
    </row>
    <row r="37" spans="1:9" x14ac:dyDescent="0.2">
      <c r="A37" s="30" t="s">
        <v>9</v>
      </c>
      <c r="B37" s="31" t="s">
        <v>3</v>
      </c>
      <c r="C37" s="80">
        <v>357.14071684871601</v>
      </c>
      <c r="D37" s="80">
        <v>384.77035960993021</v>
      </c>
      <c r="E37" s="83">
        <v>433.51856220880251</v>
      </c>
      <c r="F37" s="22" t="s">
        <v>240</v>
      </c>
      <c r="G37" s="32">
        <v>21.385924862899344</v>
      </c>
      <c r="H37" s="33">
        <v>12.669427720028096</v>
      </c>
    </row>
    <row r="38" spans="1:9" x14ac:dyDescent="0.2">
      <c r="A38" s="34"/>
      <c r="B38" s="25" t="s">
        <v>241</v>
      </c>
      <c r="C38" s="82">
        <v>171.92104255033738</v>
      </c>
      <c r="D38" s="82">
        <v>206.08040268181264</v>
      </c>
      <c r="E38" s="82">
        <v>223.78885340014207</v>
      </c>
      <c r="F38" s="27"/>
      <c r="G38" s="35">
        <v>30.16955346499725</v>
      </c>
      <c r="H38" s="29">
        <v>8.5929814227271351</v>
      </c>
    </row>
    <row r="39" spans="1:9" x14ac:dyDescent="0.2">
      <c r="A39" s="30" t="s">
        <v>46</v>
      </c>
      <c r="B39" s="31" t="s">
        <v>3</v>
      </c>
      <c r="C39" s="80">
        <v>1188.1828645132478</v>
      </c>
      <c r="D39" s="80">
        <v>1414.7660732440925</v>
      </c>
      <c r="E39" s="83">
        <v>1847.4404494714063</v>
      </c>
      <c r="F39" s="22" t="s">
        <v>240</v>
      </c>
      <c r="G39" s="37">
        <v>55.484522176494323</v>
      </c>
      <c r="H39" s="33">
        <v>30.58275035074746</v>
      </c>
    </row>
    <row r="40" spans="1:9" x14ac:dyDescent="0.2">
      <c r="A40" s="34"/>
      <c r="B40" s="25" t="s">
        <v>241</v>
      </c>
      <c r="C40" s="82">
        <v>572.17317131824223</v>
      </c>
      <c r="D40" s="82">
        <v>733.10690726924895</v>
      </c>
      <c r="E40" s="82">
        <v>933.63877939714939</v>
      </c>
      <c r="F40" s="27"/>
      <c r="G40" s="28">
        <v>63.174162333777161</v>
      </c>
      <c r="H40" s="29">
        <v>27.353701095909997</v>
      </c>
    </row>
    <row r="41" spans="1:9" x14ac:dyDescent="0.2">
      <c r="A41" s="30" t="s">
        <v>24</v>
      </c>
      <c r="B41" s="31" t="s">
        <v>3</v>
      </c>
      <c r="C41" s="80">
        <v>490.69823078012507</v>
      </c>
      <c r="D41" s="80">
        <v>587.84844801891461</v>
      </c>
      <c r="E41" s="83">
        <v>804.13218910911667</v>
      </c>
      <c r="F41" s="22" t="s">
        <v>240</v>
      </c>
      <c r="G41" s="23">
        <v>63.875094440566045</v>
      </c>
      <c r="H41" s="24">
        <v>36.792432100329876</v>
      </c>
    </row>
    <row r="42" spans="1:9" ht="13.5" thickBot="1" x14ac:dyDescent="0.25">
      <c r="A42" s="56"/>
      <c r="B42" s="42" t="s">
        <v>241</v>
      </c>
      <c r="C42" s="86">
        <v>222.00847507658773</v>
      </c>
      <c r="D42" s="86">
        <v>291.6023272627134</v>
      </c>
      <c r="E42" s="86">
        <v>386.47082492792038</v>
      </c>
      <c r="F42" s="44"/>
      <c r="G42" s="57">
        <v>74.079311519344913</v>
      </c>
      <c r="H42" s="46">
        <v>32.533518698476314</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19</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ht="12.75" customHeight="1" x14ac:dyDescent="0.2">
      <c r="A7" s="205" t="s">
        <v>60</v>
      </c>
      <c r="B7" s="19" t="s">
        <v>3</v>
      </c>
      <c r="C7" s="20">
        <v>27600.996666666666</v>
      </c>
      <c r="D7" s="20">
        <v>31589.073333333334</v>
      </c>
      <c r="E7" s="79">
        <v>39485.241167373089</v>
      </c>
      <c r="F7" s="22" t="s">
        <v>240</v>
      </c>
      <c r="G7" s="23">
        <v>43.057302039599392</v>
      </c>
      <c r="H7" s="24">
        <v>24.996516202669312</v>
      </c>
    </row>
    <row r="8" spans="1:9" ht="13.7" customHeight="1" thickBot="1" x14ac:dyDescent="0.25">
      <c r="A8" s="211"/>
      <c r="B8" s="42" t="s">
        <v>241</v>
      </c>
      <c r="C8" s="43">
        <v>12597.658333333333</v>
      </c>
      <c r="D8" s="43">
        <v>14157.14</v>
      </c>
      <c r="E8" s="43">
        <v>17803.260000000002</v>
      </c>
      <c r="F8" s="44"/>
      <c r="G8" s="57">
        <v>41.321978489388584</v>
      </c>
      <c r="H8" s="46">
        <v>25.754636882873257</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60</v>
      </c>
      <c r="B35" s="19" t="s">
        <v>3</v>
      </c>
      <c r="C35" s="80">
        <v>790.99551165503715</v>
      </c>
      <c r="D35" s="80">
        <v>1120.2980383203794</v>
      </c>
      <c r="E35" s="81">
        <v>756.96394358934401</v>
      </c>
      <c r="F35" s="22" t="s">
        <v>240</v>
      </c>
      <c r="G35" s="23">
        <v>-4.3023718294541595</v>
      </c>
      <c r="H35" s="24">
        <v>-32.431913857116854</v>
      </c>
    </row>
    <row r="36" spans="1:9" ht="12.75" customHeight="1" thickBot="1" x14ac:dyDescent="0.25">
      <c r="A36" s="211"/>
      <c r="B36" s="42" t="s">
        <v>241</v>
      </c>
      <c r="C36" s="86">
        <v>401.42631068577145</v>
      </c>
      <c r="D36" s="86">
        <v>485.77042894766697</v>
      </c>
      <c r="E36" s="86">
        <v>344.9671839410957</v>
      </c>
      <c r="F36" s="44"/>
      <c r="G36" s="57">
        <v>-14.064630354752921</v>
      </c>
      <c r="H36" s="46">
        <v>-28.985552972336308</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20</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193</v>
      </c>
      <c r="B7" s="115" t="s">
        <v>3</v>
      </c>
      <c r="C7" s="20">
        <v>6379</v>
      </c>
      <c r="D7" s="20">
        <v>7894</v>
      </c>
      <c r="E7" s="79">
        <v>8702.2223267260888</v>
      </c>
      <c r="F7" s="22" t="s">
        <v>240</v>
      </c>
      <c r="G7" s="116">
        <v>36.419851492805918</v>
      </c>
      <c r="H7" s="117">
        <v>10.238438392780452</v>
      </c>
    </row>
    <row r="8" spans="1:8" ht="12.75" customHeight="1" x14ac:dyDescent="0.2">
      <c r="A8" s="217"/>
      <c r="B8" s="118" t="s">
        <v>241</v>
      </c>
      <c r="C8" s="26">
        <v>3211</v>
      </c>
      <c r="D8" s="26">
        <v>3490</v>
      </c>
      <c r="E8" s="26">
        <v>4010</v>
      </c>
      <c r="F8" s="27"/>
      <c r="G8" s="119">
        <v>24.883213952039867</v>
      </c>
      <c r="H8" s="120">
        <v>14.899713467048699</v>
      </c>
    </row>
    <row r="9" spans="1:8" x14ac:dyDescent="0.2">
      <c r="A9" s="121" t="s">
        <v>194</v>
      </c>
      <c r="B9" s="122" t="s">
        <v>3</v>
      </c>
      <c r="C9" s="20">
        <v>2198</v>
      </c>
      <c r="D9" s="20">
        <v>2696</v>
      </c>
      <c r="E9" s="20">
        <v>3067.9625689370346</v>
      </c>
      <c r="F9" s="22" t="s">
        <v>240</v>
      </c>
      <c r="G9" s="123">
        <v>39.579734710511133</v>
      </c>
      <c r="H9" s="124">
        <v>13.796831192026502</v>
      </c>
    </row>
    <row r="10" spans="1:8" x14ac:dyDescent="0.2">
      <c r="A10" s="125"/>
      <c r="B10" s="118" t="s">
        <v>241</v>
      </c>
      <c r="C10" s="26">
        <v>1089</v>
      </c>
      <c r="D10" s="26">
        <v>1093</v>
      </c>
      <c r="E10" s="26">
        <v>1324</v>
      </c>
      <c r="F10" s="27"/>
      <c r="G10" s="126">
        <v>21.579430670339761</v>
      </c>
      <c r="H10" s="120">
        <v>21.134492223238794</v>
      </c>
    </row>
    <row r="11" spans="1:8" x14ac:dyDescent="0.2">
      <c r="A11" s="121" t="s">
        <v>195</v>
      </c>
      <c r="B11" s="122" t="s">
        <v>3</v>
      </c>
      <c r="C11" s="20">
        <v>616</v>
      </c>
      <c r="D11" s="20">
        <v>770</v>
      </c>
      <c r="E11" s="20">
        <v>804.74091406048694</v>
      </c>
      <c r="F11" s="22" t="s">
        <v>240</v>
      </c>
      <c r="G11" s="127">
        <v>30.639758776053071</v>
      </c>
      <c r="H11" s="124">
        <v>4.5118070208424683</v>
      </c>
    </row>
    <row r="12" spans="1:8" x14ac:dyDescent="0.2">
      <c r="A12" s="125"/>
      <c r="B12" s="118" t="s">
        <v>241</v>
      </c>
      <c r="C12" s="26">
        <v>302</v>
      </c>
      <c r="D12" s="26">
        <v>317</v>
      </c>
      <c r="E12" s="26">
        <v>350</v>
      </c>
      <c r="F12" s="27"/>
      <c r="G12" s="119">
        <v>15.894039735099327</v>
      </c>
      <c r="H12" s="120">
        <v>10.410094637223978</v>
      </c>
    </row>
    <row r="13" spans="1:8" x14ac:dyDescent="0.2">
      <c r="A13" s="121" t="s">
        <v>228</v>
      </c>
      <c r="B13" s="122" t="s">
        <v>3</v>
      </c>
      <c r="C13" s="20">
        <v>153</v>
      </c>
      <c r="D13" s="20">
        <v>287</v>
      </c>
      <c r="E13" s="20">
        <v>274.69297263681591</v>
      </c>
      <c r="F13" s="22" t="s">
        <v>240</v>
      </c>
      <c r="G13" s="116">
        <v>79.537890612297986</v>
      </c>
      <c r="H13" s="117">
        <v>-4.2881628443150106</v>
      </c>
    </row>
    <row r="14" spans="1:8" x14ac:dyDescent="0.2">
      <c r="A14" s="125"/>
      <c r="B14" s="118" t="s">
        <v>241</v>
      </c>
      <c r="C14" s="26">
        <v>80</v>
      </c>
      <c r="D14" s="26">
        <v>134</v>
      </c>
      <c r="E14" s="26">
        <v>133</v>
      </c>
      <c r="F14" s="27"/>
      <c r="G14" s="128">
        <v>66.25</v>
      </c>
      <c r="H14" s="117">
        <v>-0.74626865671642406</v>
      </c>
    </row>
    <row r="15" spans="1:8" x14ac:dyDescent="0.2">
      <c r="A15" s="121" t="s">
        <v>196</v>
      </c>
      <c r="B15" s="122" t="s">
        <v>3</v>
      </c>
      <c r="C15" s="20">
        <v>2248</v>
      </c>
      <c r="D15" s="20">
        <v>3006</v>
      </c>
      <c r="E15" s="20">
        <v>3567.0745341614906</v>
      </c>
      <c r="F15" s="22" t="s">
        <v>240</v>
      </c>
      <c r="G15" s="127">
        <v>58.677692800778061</v>
      </c>
      <c r="H15" s="124">
        <v>18.665154163722249</v>
      </c>
    </row>
    <row r="16" spans="1:8" x14ac:dyDescent="0.2">
      <c r="A16" s="125"/>
      <c r="B16" s="118" t="s">
        <v>241</v>
      </c>
      <c r="C16" s="26">
        <v>1064</v>
      </c>
      <c r="D16" s="26">
        <v>1242</v>
      </c>
      <c r="E16" s="26">
        <v>1539</v>
      </c>
      <c r="F16" s="27"/>
      <c r="G16" s="119">
        <v>44.642857142857139</v>
      </c>
      <c r="H16" s="120">
        <v>23.91304347826086</v>
      </c>
    </row>
    <row r="17" spans="1:9" x14ac:dyDescent="0.2">
      <c r="A17" s="121" t="s">
        <v>197</v>
      </c>
      <c r="B17" s="122" t="s">
        <v>3</v>
      </c>
      <c r="C17" s="20">
        <v>489</v>
      </c>
      <c r="D17" s="20">
        <v>635</v>
      </c>
      <c r="E17" s="20">
        <v>838.23081819694301</v>
      </c>
      <c r="F17" s="22" t="s">
        <v>240</v>
      </c>
      <c r="G17" s="127">
        <v>71.417345234548691</v>
      </c>
      <c r="H17" s="124">
        <v>32.004853259361113</v>
      </c>
    </row>
    <row r="18" spans="1:9" x14ac:dyDescent="0.2">
      <c r="A18" s="121"/>
      <c r="B18" s="118" t="s">
        <v>241</v>
      </c>
      <c r="C18" s="26">
        <v>227</v>
      </c>
      <c r="D18" s="26">
        <v>203</v>
      </c>
      <c r="E18" s="26">
        <v>299</v>
      </c>
      <c r="F18" s="27"/>
      <c r="G18" s="119">
        <v>31.718061674008823</v>
      </c>
      <c r="H18" s="120">
        <v>47.290640394088683</v>
      </c>
    </row>
    <row r="19" spans="1:9" x14ac:dyDescent="0.2">
      <c r="A19" s="129" t="s">
        <v>198</v>
      </c>
      <c r="B19" s="122" t="s">
        <v>3</v>
      </c>
      <c r="C19" s="20">
        <v>20</v>
      </c>
      <c r="D19" s="20">
        <v>30</v>
      </c>
      <c r="E19" s="20">
        <v>53.613053613053616</v>
      </c>
      <c r="F19" s="22" t="s">
        <v>240</v>
      </c>
      <c r="G19" s="116">
        <v>168.06526806526807</v>
      </c>
      <c r="H19" s="117">
        <v>78.710178710178724</v>
      </c>
    </row>
    <row r="20" spans="1:9" x14ac:dyDescent="0.2">
      <c r="A20" s="125"/>
      <c r="B20" s="118" t="s">
        <v>241</v>
      </c>
      <c r="C20" s="26">
        <v>13</v>
      </c>
      <c r="D20" s="26">
        <v>11</v>
      </c>
      <c r="E20" s="26">
        <v>23</v>
      </c>
      <c r="F20" s="27"/>
      <c r="G20" s="128">
        <v>76.923076923076906</v>
      </c>
      <c r="H20" s="117">
        <v>109.09090909090909</v>
      </c>
    </row>
    <row r="21" spans="1:9" x14ac:dyDescent="0.2">
      <c r="A21" s="129" t="s">
        <v>199</v>
      </c>
      <c r="B21" s="122" t="s">
        <v>3</v>
      </c>
      <c r="C21" s="20">
        <v>13</v>
      </c>
      <c r="D21" s="20">
        <v>22</v>
      </c>
      <c r="E21" s="20">
        <v>15.299999999999999</v>
      </c>
      <c r="F21" s="22" t="s">
        <v>240</v>
      </c>
      <c r="G21" s="127">
        <v>17.692307692307679</v>
      </c>
      <c r="H21" s="124">
        <v>-30.454545454545453</v>
      </c>
    </row>
    <row r="22" spans="1:9" x14ac:dyDescent="0.2">
      <c r="A22" s="125"/>
      <c r="B22" s="118" t="s">
        <v>241</v>
      </c>
      <c r="C22" s="26">
        <v>4</v>
      </c>
      <c r="D22" s="26">
        <v>10</v>
      </c>
      <c r="E22" s="26">
        <v>6</v>
      </c>
      <c r="F22" s="27"/>
      <c r="G22" s="119">
        <v>50</v>
      </c>
      <c r="H22" s="120">
        <v>-40</v>
      </c>
    </row>
    <row r="23" spans="1:9" x14ac:dyDescent="0.2">
      <c r="A23" s="129" t="s">
        <v>200</v>
      </c>
      <c r="B23" s="122" t="s">
        <v>3</v>
      </c>
      <c r="C23" s="20">
        <v>454</v>
      </c>
      <c r="D23" s="20">
        <v>535</v>
      </c>
      <c r="E23" s="20">
        <v>557.54707569522373</v>
      </c>
      <c r="F23" s="22" t="s">
        <v>240</v>
      </c>
      <c r="G23" s="127">
        <v>22.80772592405809</v>
      </c>
      <c r="H23" s="124">
        <v>4.2144066720044293</v>
      </c>
    </row>
    <row r="24" spans="1:9" x14ac:dyDescent="0.2">
      <c r="A24" s="125"/>
      <c r="B24" s="118" t="s">
        <v>241</v>
      </c>
      <c r="C24" s="26">
        <v>243</v>
      </c>
      <c r="D24" s="26">
        <v>198</v>
      </c>
      <c r="E24" s="26">
        <v>230</v>
      </c>
      <c r="F24" s="27"/>
      <c r="G24" s="119">
        <v>-5.3497942386831312</v>
      </c>
      <c r="H24" s="120">
        <v>16.161616161616152</v>
      </c>
    </row>
    <row r="25" spans="1:9" x14ac:dyDescent="0.2">
      <c r="A25" s="121" t="s">
        <v>24</v>
      </c>
      <c r="B25" s="122" t="s">
        <v>3</v>
      </c>
      <c r="C25" s="20">
        <v>1553</v>
      </c>
      <c r="D25" s="20">
        <v>2497</v>
      </c>
      <c r="E25" s="20">
        <v>2400.1390884819907</v>
      </c>
      <c r="F25" s="22" t="s">
        <v>240</v>
      </c>
      <c r="G25" s="116">
        <v>54.548556888730872</v>
      </c>
      <c r="H25" s="117">
        <v>-3.8790913703648044</v>
      </c>
      <c r="I25" s="130"/>
    </row>
    <row r="26" spans="1:9" ht="13.5" thickBot="1" x14ac:dyDescent="0.25">
      <c r="A26" s="131"/>
      <c r="B26" s="132" t="s">
        <v>241</v>
      </c>
      <c r="C26" s="43">
        <v>926</v>
      </c>
      <c r="D26" s="43">
        <v>1279</v>
      </c>
      <c r="E26" s="43">
        <v>1290</v>
      </c>
      <c r="F26" s="44"/>
      <c r="G26" s="133">
        <v>39.308855291576691</v>
      </c>
      <c r="H26" s="134">
        <v>0.86004691164973224</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193</v>
      </c>
      <c r="B35" s="115" t="s">
        <v>3</v>
      </c>
      <c r="C35" s="80">
        <v>1443.9436886190492</v>
      </c>
      <c r="D35" s="80">
        <v>1934.5070014632761</v>
      </c>
      <c r="E35" s="81">
        <v>2145.4330909294981</v>
      </c>
      <c r="F35" s="22" t="s">
        <v>240</v>
      </c>
      <c r="G35" s="116">
        <v>48.581493020779448</v>
      </c>
      <c r="H35" s="117">
        <v>10.903351050509301</v>
      </c>
    </row>
    <row r="36" spans="1:8" ht="12.75" customHeight="1" x14ac:dyDescent="0.2">
      <c r="A36" s="217"/>
      <c r="B36" s="118" t="s">
        <v>241</v>
      </c>
      <c r="C36" s="82">
        <v>703.90225090201386</v>
      </c>
      <c r="D36" s="82">
        <v>924.04743928760456</v>
      </c>
      <c r="E36" s="82">
        <v>1031.7275860656703</v>
      </c>
      <c r="F36" s="27"/>
      <c r="G36" s="119">
        <v>46.572565259390132</v>
      </c>
      <c r="H36" s="120">
        <v>11.653097254517775</v>
      </c>
    </row>
    <row r="37" spans="1:8" x14ac:dyDescent="0.2">
      <c r="A37" s="121" t="s">
        <v>194</v>
      </c>
      <c r="B37" s="122" t="s">
        <v>3</v>
      </c>
      <c r="C37" s="80">
        <v>688.24224737866768</v>
      </c>
      <c r="D37" s="80">
        <v>863.05560912347437</v>
      </c>
      <c r="E37" s="80">
        <v>972.22212160900528</v>
      </c>
      <c r="F37" s="22" t="s">
        <v>240</v>
      </c>
      <c r="G37" s="123">
        <v>41.26161614052927</v>
      </c>
      <c r="H37" s="124">
        <v>12.648838769080157</v>
      </c>
    </row>
    <row r="38" spans="1:8" x14ac:dyDescent="0.2">
      <c r="A38" s="125"/>
      <c r="B38" s="118" t="s">
        <v>241</v>
      </c>
      <c r="C38" s="82">
        <v>355.60050230432785</v>
      </c>
      <c r="D38" s="82">
        <v>449.6057685826587</v>
      </c>
      <c r="E38" s="82">
        <v>505.08519725253524</v>
      </c>
      <c r="F38" s="27"/>
      <c r="G38" s="126">
        <v>42.037256409800108</v>
      </c>
      <c r="H38" s="120">
        <v>12.3395722534367</v>
      </c>
    </row>
    <row r="39" spans="1:8" x14ac:dyDescent="0.2">
      <c r="A39" s="121" t="s">
        <v>195</v>
      </c>
      <c r="B39" s="122" t="s">
        <v>3</v>
      </c>
      <c r="C39" s="80">
        <v>109.81435476733347</v>
      </c>
      <c r="D39" s="80">
        <v>121.5662117554343</v>
      </c>
      <c r="E39" s="80">
        <v>138.02277513033735</v>
      </c>
      <c r="F39" s="22" t="s">
        <v>240</v>
      </c>
      <c r="G39" s="127">
        <v>25.687370674598782</v>
      </c>
      <c r="H39" s="124">
        <v>13.537119514763035</v>
      </c>
    </row>
    <row r="40" spans="1:8" x14ac:dyDescent="0.2">
      <c r="A40" s="125"/>
      <c r="B40" s="118" t="s">
        <v>241</v>
      </c>
      <c r="C40" s="82">
        <v>51.38952586304098</v>
      </c>
      <c r="D40" s="82">
        <v>57.194126712832336</v>
      </c>
      <c r="E40" s="82">
        <v>64.820678474066909</v>
      </c>
      <c r="F40" s="27"/>
      <c r="G40" s="119">
        <v>26.135973012908309</v>
      </c>
      <c r="H40" s="120">
        <v>13.334501634279604</v>
      </c>
    </row>
    <row r="41" spans="1:8" x14ac:dyDescent="0.2">
      <c r="A41" s="121" t="s">
        <v>228</v>
      </c>
      <c r="B41" s="122" t="s">
        <v>3</v>
      </c>
      <c r="C41" s="80">
        <v>139.54863849828595</v>
      </c>
      <c r="D41" s="80">
        <v>259.88181809067311</v>
      </c>
      <c r="E41" s="80">
        <v>305.35379979217635</v>
      </c>
      <c r="F41" s="22" t="s">
        <v>240</v>
      </c>
      <c r="G41" s="116">
        <v>118.8153199330045</v>
      </c>
      <c r="H41" s="117">
        <v>17.49717699975379</v>
      </c>
    </row>
    <row r="42" spans="1:8" x14ac:dyDescent="0.2">
      <c r="A42" s="125"/>
      <c r="B42" s="118" t="s">
        <v>241</v>
      </c>
      <c r="C42" s="82">
        <v>67.132521616641682</v>
      </c>
      <c r="D42" s="82">
        <v>99.440138547712564</v>
      </c>
      <c r="E42" s="82">
        <v>125.39160823740042</v>
      </c>
      <c r="F42" s="27"/>
      <c r="G42" s="128">
        <v>86.782211092033094</v>
      </c>
      <c r="H42" s="117">
        <v>26.09757997997562</v>
      </c>
    </row>
    <row r="43" spans="1:8" x14ac:dyDescent="0.2">
      <c r="A43" s="121" t="s">
        <v>196</v>
      </c>
      <c r="B43" s="122" t="s">
        <v>3</v>
      </c>
      <c r="C43" s="80">
        <v>54.389097560952472</v>
      </c>
      <c r="D43" s="80">
        <v>71.710858376738784</v>
      </c>
      <c r="E43" s="80">
        <v>85.929096946474104</v>
      </c>
      <c r="F43" s="22" t="s">
        <v>240</v>
      </c>
      <c r="G43" s="127">
        <v>57.989561878969511</v>
      </c>
      <c r="H43" s="124">
        <v>19.827176652995362</v>
      </c>
    </row>
    <row r="44" spans="1:8" x14ac:dyDescent="0.2">
      <c r="A44" s="125"/>
      <c r="B44" s="118" t="s">
        <v>241</v>
      </c>
      <c r="C44" s="82">
        <v>28.0773152736007</v>
      </c>
      <c r="D44" s="82">
        <v>38.148978714880229</v>
      </c>
      <c r="E44" s="82">
        <v>45.252551974333514</v>
      </c>
      <c r="F44" s="27"/>
      <c r="G44" s="119">
        <v>61.171221441109765</v>
      </c>
      <c r="H44" s="120">
        <v>18.620611871537449</v>
      </c>
    </row>
    <row r="45" spans="1:8" x14ac:dyDescent="0.2">
      <c r="A45" s="121" t="s">
        <v>197</v>
      </c>
      <c r="B45" s="122" t="s">
        <v>3</v>
      </c>
      <c r="C45" s="80">
        <v>22.229165078190494</v>
      </c>
      <c r="D45" s="80">
        <v>27.703010589347752</v>
      </c>
      <c r="E45" s="80">
        <v>32.296170812342616</v>
      </c>
      <c r="F45" s="22" t="s">
        <v>240</v>
      </c>
      <c r="G45" s="127">
        <v>45.287376735661013</v>
      </c>
      <c r="H45" s="124">
        <v>16.580003852581314</v>
      </c>
    </row>
    <row r="46" spans="1:8" x14ac:dyDescent="0.2">
      <c r="A46" s="121"/>
      <c r="B46" s="118" t="s">
        <v>241</v>
      </c>
      <c r="C46" s="82">
        <v>8.7474045347201397</v>
      </c>
      <c r="D46" s="82">
        <v>11.068912568976046</v>
      </c>
      <c r="E46" s="82">
        <v>12.838387364866703</v>
      </c>
      <c r="F46" s="27"/>
      <c r="G46" s="119">
        <v>46.767962015574597</v>
      </c>
      <c r="H46" s="120">
        <v>15.985985839748551</v>
      </c>
    </row>
    <row r="47" spans="1:8" x14ac:dyDescent="0.2">
      <c r="A47" s="129" t="s">
        <v>198</v>
      </c>
      <c r="B47" s="122" t="s">
        <v>3</v>
      </c>
      <c r="C47" s="80">
        <v>10.160402538190496</v>
      </c>
      <c r="D47" s="80">
        <v>13.782414659347756</v>
      </c>
      <c r="E47" s="80">
        <v>17.264456274348479</v>
      </c>
      <c r="F47" s="22" t="s">
        <v>240</v>
      </c>
      <c r="G47" s="116">
        <v>69.919018557144398</v>
      </c>
      <c r="H47" s="117">
        <v>25.264380016596519</v>
      </c>
    </row>
    <row r="48" spans="1:8" x14ac:dyDescent="0.2">
      <c r="A48" s="125"/>
      <c r="B48" s="118" t="s">
        <v>241</v>
      </c>
      <c r="C48" s="82">
        <v>5.550877694720139</v>
      </c>
      <c r="D48" s="82">
        <v>7.3868712389760471</v>
      </c>
      <c r="E48" s="82">
        <v>9.3119859348667031</v>
      </c>
      <c r="F48" s="27"/>
      <c r="G48" s="128">
        <v>67.757000730245608</v>
      </c>
      <c r="H48" s="117">
        <v>26.061300293593746</v>
      </c>
    </row>
    <row r="49" spans="1:9" x14ac:dyDescent="0.2">
      <c r="A49" s="129" t="s">
        <v>199</v>
      </c>
      <c r="B49" s="122" t="s">
        <v>3</v>
      </c>
      <c r="C49" s="80">
        <v>9.1592425381904974</v>
      </c>
      <c r="D49" s="80">
        <v>13.016409659347755</v>
      </c>
      <c r="E49" s="80">
        <v>15.390618905878162</v>
      </c>
      <c r="F49" s="22" t="s">
        <v>240</v>
      </c>
      <c r="G49" s="127">
        <v>68.033752154779563</v>
      </c>
      <c r="H49" s="124">
        <v>18.240123879516702</v>
      </c>
    </row>
    <row r="50" spans="1:9" x14ac:dyDescent="0.2">
      <c r="A50" s="125"/>
      <c r="B50" s="118" t="s">
        <v>241</v>
      </c>
      <c r="C50" s="82">
        <v>4.6410406947201395</v>
      </c>
      <c r="D50" s="82">
        <v>6.4791162389760473</v>
      </c>
      <c r="E50" s="82">
        <v>7.7062389348667013</v>
      </c>
      <c r="F50" s="27"/>
      <c r="G50" s="119">
        <v>66.045493710789287</v>
      </c>
      <c r="H50" s="120">
        <v>18.939661685782426</v>
      </c>
    </row>
    <row r="51" spans="1:9" x14ac:dyDescent="0.2">
      <c r="A51" s="129" t="s">
        <v>200</v>
      </c>
      <c r="B51" s="122" t="s">
        <v>3</v>
      </c>
      <c r="C51" s="80">
        <v>158.7355576909525</v>
      </c>
      <c r="D51" s="80">
        <v>171.7361712967388</v>
      </c>
      <c r="E51" s="80">
        <v>201.14141891256889</v>
      </c>
      <c r="F51" s="22" t="s">
        <v>240</v>
      </c>
      <c r="G51" s="127">
        <v>26.714783907571473</v>
      </c>
      <c r="H51" s="124">
        <v>17.12233794069013</v>
      </c>
    </row>
    <row r="52" spans="1:9" x14ac:dyDescent="0.2">
      <c r="A52" s="125"/>
      <c r="B52" s="118" t="s">
        <v>241</v>
      </c>
      <c r="C52" s="82">
        <v>71.205104473600684</v>
      </c>
      <c r="D52" s="82">
        <v>70.838934194880238</v>
      </c>
      <c r="E52" s="82">
        <v>85.254580674333511</v>
      </c>
      <c r="F52" s="27"/>
      <c r="G52" s="119">
        <v>19.730995838847036</v>
      </c>
      <c r="H52" s="120">
        <v>20.349891826146546</v>
      </c>
    </row>
    <row r="53" spans="1:9" x14ac:dyDescent="0.2">
      <c r="A53" s="121" t="s">
        <v>24</v>
      </c>
      <c r="B53" s="122" t="s">
        <v>3</v>
      </c>
      <c r="C53" s="80">
        <v>251.66498256828595</v>
      </c>
      <c r="D53" s="80">
        <v>392.05449791217308</v>
      </c>
      <c r="E53" s="80">
        <v>382.65375115131258</v>
      </c>
      <c r="F53" s="22" t="s">
        <v>240</v>
      </c>
      <c r="G53" s="116">
        <v>52.048865617402527</v>
      </c>
      <c r="H53" s="117">
        <v>-2.3978163267919967</v>
      </c>
      <c r="I53" s="130"/>
    </row>
    <row r="54" spans="1:9" ht="13.5" thickBot="1" x14ac:dyDescent="0.25">
      <c r="A54" s="131"/>
      <c r="B54" s="132" t="s">
        <v>241</v>
      </c>
      <c r="C54" s="86">
        <v>111.55795844664166</v>
      </c>
      <c r="D54" s="86">
        <v>183.88459248771255</v>
      </c>
      <c r="E54" s="86">
        <v>176.06635721840041</v>
      </c>
      <c r="F54" s="44"/>
      <c r="G54" s="133">
        <v>57.825008336463242</v>
      </c>
      <c r="H54" s="134">
        <v>-4.2517076409403671</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21</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201</v>
      </c>
      <c r="B7" s="115" t="s">
        <v>3</v>
      </c>
      <c r="C7" s="20">
        <v>1472</v>
      </c>
      <c r="D7" s="20">
        <v>1922</v>
      </c>
      <c r="E7" s="79">
        <v>2107.1758745948059</v>
      </c>
      <c r="F7" s="22" t="s">
        <v>240</v>
      </c>
      <c r="G7" s="116">
        <v>43.150534958886283</v>
      </c>
      <c r="H7" s="117">
        <v>9.634540821790111</v>
      </c>
    </row>
    <row r="8" spans="1:8" ht="12.75" customHeight="1" x14ac:dyDescent="0.2">
      <c r="A8" s="217"/>
      <c r="B8" s="118" t="s">
        <v>241</v>
      </c>
      <c r="C8" s="26">
        <v>806</v>
      </c>
      <c r="D8" s="26">
        <v>914</v>
      </c>
      <c r="E8" s="26">
        <v>1048</v>
      </c>
      <c r="F8" s="27"/>
      <c r="G8" s="119">
        <v>30.024813895781648</v>
      </c>
      <c r="H8" s="120">
        <v>14.66083150984683</v>
      </c>
    </row>
    <row r="9" spans="1:8" x14ac:dyDescent="0.2">
      <c r="A9" s="121" t="s">
        <v>202</v>
      </c>
      <c r="B9" s="122" t="s">
        <v>3</v>
      </c>
      <c r="C9" s="20">
        <v>477</v>
      </c>
      <c r="D9" s="20">
        <v>584</v>
      </c>
      <c r="E9" s="20">
        <v>670.45507705195371</v>
      </c>
      <c r="F9" s="22" t="s">
        <v>240</v>
      </c>
      <c r="G9" s="123">
        <v>40.556619927034319</v>
      </c>
      <c r="H9" s="124">
        <v>14.803951549992078</v>
      </c>
    </row>
    <row r="10" spans="1:8" x14ac:dyDescent="0.2">
      <c r="A10" s="125"/>
      <c r="B10" s="118" t="s">
        <v>241</v>
      </c>
      <c r="C10" s="26">
        <v>233</v>
      </c>
      <c r="D10" s="26">
        <v>263</v>
      </c>
      <c r="E10" s="26">
        <v>310</v>
      </c>
      <c r="F10" s="27"/>
      <c r="G10" s="126">
        <v>33.047210300429185</v>
      </c>
      <c r="H10" s="120">
        <v>17.870722433460088</v>
      </c>
    </row>
    <row r="11" spans="1:8" x14ac:dyDescent="0.2">
      <c r="A11" s="121" t="s">
        <v>203</v>
      </c>
      <c r="B11" s="122" t="s">
        <v>3</v>
      </c>
      <c r="C11" s="20">
        <v>121</v>
      </c>
      <c r="D11" s="20">
        <v>174</v>
      </c>
      <c r="E11" s="20">
        <v>165.12658227848101</v>
      </c>
      <c r="F11" s="22" t="s">
        <v>240</v>
      </c>
      <c r="G11" s="127">
        <v>36.468249816926459</v>
      </c>
      <c r="H11" s="124">
        <v>-5.0996653571948229</v>
      </c>
    </row>
    <row r="12" spans="1:8" x14ac:dyDescent="0.2">
      <c r="A12" s="125"/>
      <c r="B12" s="118" t="s">
        <v>241</v>
      </c>
      <c r="C12" s="26">
        <v>55</v>
      </c>
      <c r="D12" s="26">
        <v>79</v>
      </c>
      <c r="E12" s="26">
        <v>75</v>
      </c>
      <c r="F12" s="27"/>
      <c r="G12" s="119">
        <v>36.363636363636346</v>
      </c>
      <c r="H12" s="120">
        <v>-5.0632911392405049</v>
      </c>
    </row>
    <row r="13" spans="1:8" x14ac:dyDescent="0.2">
      <c r="A13" s="121" t="s">
        <v>204</v>
      </c>
      <c r="B13" s="122" t="s">
        <v>3</v>
      </c>
      <c r="C13" s="20">
        <v>66</v>
      </c>
      <c r="D13" s="20">
        <v>91</v>
      </c>
      <c r="E13" s="20">
        <v>92.933333333333323</v>
      </c>
      <c r="F13" s="22" t="s">
        <v>240</v>
      </c>
      <c r="G13" s="116">
        <v>40.808080808080774</v>
      </c>
      <c r="H13" s="117">
        <v>2.124542124542117</v>
      </c>
    </row>
    <row r="14" spans="1:8" x14ac:dyDescent="0.2">
      <c r="A14" s="125"/>
      <c r="B14" s="118" t="s">
        <v>241</v>
      </c>
      <c r="C14" s="26">
        <v>30</v>
      </c>
      <c r="D14" s="26">
        <v>44</v>
      </c>
      <c r="E14" s="26">
        <v>44</v>
      </c>
      <c r="F14" s="27"/>
      <c r="G14" s="128">
        <v>46.666666666666657</v>
      </c>
      <c r="H14" s="117">
        <v>0</v>
      </c>
    </row>
    <row r="15" spans="1:8" x14ac:dyDescent="0.2">
      <c r="A15" s="121" t="s">
        <v>205</v>
      </c>
      <c r="B15" s="122" t="s">
        <v>3</v>
      </c>
      <c r="C15" s="20">
        <v>7</v>
      </c>
      <c r="D15" s="20">
        <v>9</v>
      </c>
      <c r="E15" s="20">
        <v>13.666666666666666</v>
      </c>
      <c r="F15" s="22" t="s">
        <v>240</v>
      </c>
      <c r="G15" s="127">
        <v>95.238095238095241</v>
      </c>
      <c r="H15" s="124">
        <v>51.851851851851848</v>
      </c>
    </row>
    <row r="16" spans="1:8" x14ac:dyDescent="0.2">
      <c r="A16" s="125"/>
      <c r="B16" s="118" t="s">
        <v>241</v>
      </c>
      <c r="C16" s="26">
        <v>3</v>
      </c>
      <c r="D16" s="26">
        <v>4</v>
      </c>
      <c r="E16" s="26">
        <v>6</v>
      </c>
      <c r="F16" s="27"/>
      <c r="G16" s="119">
        <v>100</v>
      </c>
      <c r="H16" s="120">
        <v>50</v>
      </c>
    </row>
    <row r="17" spans="1:9" x14ac:dyDescent="0.2">
      <c r="A17" s="121" t="s">
        <v>206</v>
      </c>
      <c r="B17" s="122" t="s">
        <v>3</v>
      </c>
      <c r="C17" s="20">
        <v>68</v>
      </c>
      <c r="D17" s="20">
        <v>86</v>
      </c>
      <c r="E17" s="20">
        <v>89.723243243243232</v>
      </c>
      <c r="F17" s="22" t="s">
        <v>240</v>
      </c>
      <c r="G17" s="127">
        <v>31.945945945945937</v>
      </c>
      <c r="H17" s="124">
        <v>4.3293526084223544</v>
      </c>
    </row>
    <row r="18" spans="1:9" x14ac:dyDescent="0.2">
      <c r="A18" s="125"/>
      <c r="B18" s="118" t="s">
        <v>241</v>
      </c>
      <c r="C18" s="26">
        <v>37</v>
      </c>
      <c r="D18" s="26">
        <v>50</v>
      </c>
      <c r="E18" s="26">
        <v>51</v>
      </c>
      <c r="F18" s="27"/>
      <c r="G18" s="119">
        <v>37.837837837837839</v>
      </c>
      <c r="H18" s="120">
        <v>2</v>
      </c>
    </row>
    <row r="19" spans="1:9" x14ac:dyDescent="0.2">
      <c r="A19" s="121" t="s">
        <v>207</v>
      </c>
      <c r="B19" s="122" t="s">
        <v>3</v>
      </c>
      <c r="C19" s="20">
        <v>775</v>
      </c>
      <c r="D19" s="20">
        <v>985</v>
      </c>
      <c r="E19" s="20">
        <v>1098.1977342548143</v>
      </c>
      <c r="F19" s="22" t="s">
        <v>240</v>
      </c>
      <c r="G19" s="116">
        <v>41.702933452234106</v>
      </c>
      <c r="H19" s="117">
        <v>11.492155761910098</v>
      </c>
    </row>
    <row r="20" spans="1:9" ht="13.5" thickBot="1" x14ac:dyDescent="0.25">
      <c r="A20" s="131"/>
      <c r="B20" s="132" t="s">
        <v>241</v>
      </c>
      <c r="C20" s="43">
        <v>451</v>
      </c>
      <c r="D20" s="43">
        <v>479</v>
      </c>
      <c r="E20" s="43">
        <v>565</v>
      </c>
      <c r="F20" s="44"/>
      <c r="G20" s="133">
        <v>25.277161862527706</v>
      </c>
      <c r="H20" s="134">
        <v>17.954070981210847</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201</v>
      </c>
      <c r="B35" s="115" t="s">
        <v>3</v>
      </c>
      <c r="C35" s="80">
        <v>590.18061211961322</v>
      </c>
      <c r="D35" s="80">
        <v>604.64367061974201</v>
      </c>
      <c r="E35" s="81">
        <v>688.96804847181716</v>
      </c>
      <c r="F35" s="22" t="s">
        <v>240</v>
      </c>
      <c r="G35" s="116">
        <v>16.738509250145015</v>
      </c>
      <c r="H35" s="117">
        <v>13.946127603658724</v>
      </c>
    </row>
    <row r="36" spans="1:8" ht="12.75" customHeight="1" x14ac:dyDescent="0.2">
      <c r="A36" s="217"/>
      <c r="B36" s="118" t="s">
        <v>241</v>
      </c>
      <c r="C36" s="82">
        <v>342.32815642409759</v>
      </c>
      <c r="D36" s="82">
        <v>306.68514386652657</v>
      </c>
      <c r="E36" s="82">
        <v>364.71920635729765</v>
      </c>
      <c r="F36" s="27"/>
      <c r="G36" s="119">
        <v>6.540814570175371</v>
      </c>
      <c r="H36" s="120">
        <v>18.923010667914284</v>
      </c>
    </row>
    <row r="37" spans="1:8" x14ac:dyDescent="0.2">
      <c r="A37" s="121" t="s">
        <v>202</v>
      </c>
      <c r="B37" s="122" t="s">
        <v>3</v>
      </c>
      <c r="C37" s="80">
        <v>292.01322818698333</v>
      </c>
      <c r="D37" s="80">
        <v>308.46656184659787</v>
      </c>
      <c r="E37" s="80">
        <v>359.3388000693821</v>
      </c>
      <c r="F37" s="22" t="s">
        <v>240</v>
      </c>
      <c r="G37" s="123">
        <v>23.05565823178685</v>
      </c>
      <c r="H37" s="124">
        <v>16.491978228772581</v>
      </c>
    </row>
    <row r="38" spans="1:8" x14ac:dyDescent="0.2">
      <c r="A38" s="125"/>
      <c r="B38" s="118" t="s">
        <v>241</v>
      </c>
      <c r="C38" s="82">
        <v>172.31999791749467</v>
      </c>
      <c r="D38" s="82">
        <v>147.8590782140549</v>
      </c>
      <c r="E38" s="82">
        <v>183.74114836742865</v>
      </c>
      <c r="F38" s="27"/>
      <c r="G38" s="126">
        <v>6.62787290387638</v>
      </c>
      <c r="H38" s="120">
        <v>24.267749120840193</v>
      </c>
    </row>
    <row r="39" spans="1:8" x14ac:dyDescent="0.2">
      <c r="A39" s="121" t="s">
        <v>203</v>
      </c>
      <c r="B39" s="122" t="s">
        <v>3</v>
      </c>
      <c r="C39" s="80">
        <v>76.889624110334239</v>
      </c>
      <c r="D39" s="80">
        <v>88.260294782787156</v>
      </c>
      <c r="E39" s="80">
        <v>71.309909775254198</v>
      </c>
      <c r="F39" s="22" t="s">
        <v>240</v>
      </c>
      <c r="G39" s="127">
        <v>-7.2567845136989035</v>
      </c>
      <c r="H39" s="124">
        <v>-19.204994781910344</v>
      </c>
    </row>
    <row r="40" spans="1:8" x14ac:dyDescent="0.2">
      <c r="A40" s="125"/>
      <c r="B40" s="118" t="s">
        <v>241</v>
      </c>
      <c r="C40" s="82">
        <v>44.242036332096589</v>
      </c>
      <c r="D40" s="82">
        <v>50.87426501140952</v>
      </c>
      <c r="E40" s="82">
        <v>41.07971072254059</v>
      </c>
      <c r="F40" s="27"/>
      <c r="G40" s="119">
        <v>-7.1477849387818679</v>
      </c>
      <c r="H40" s="120">
        <v>-19.252473301918599</v>
      </c>
    </row>
    <row r="41" spans="1:8" x14ac:dyDescent="0.2">
      <c r="A41" s="121" t="s">
        <v>204</v>
      </c>
      <c r="B41" s="122" t="s">
        <v>3</v>
      </c>
      <c r="C41" s="80">
        <v>39.094210398372915</v>
      </c>
      <c r="D41" s="80">
        <v>37.832628796081949</v>
      </c>
      <c r="E41" s="80">
        <v>40.724523094074407</v>
      </c>
      <c r="F41" s="22" t="s">
        <v>240</v>
      </c>
      <c r="G41" s="116">
        <v>4.1702151778702898</v>
      </c>
      <c r="H41" s="117">
        <v>7.6439158208640094</v>
      </c>
    </row>
    <row r="42" spans="1:8" x14ac:dyDescent="0.2">
      <c r="A42" s="125"/>
      <c r="B42" s="118" t="s">
        <v>241</v>
      </c>
      <c r="C42" s="82">
        <v>23.525103489686835</v>
      </c>
      <c r="D42" s="82">
        <v>20.76348665175686</v>
      </c>
      <c r="E42" s="82">
        <v>23.025731962810834</v>
      </c>
      <c r="F42" s="27"/>
      <c r="G42" s="128">
        <v>-2.1227176624107926</v>
      </c>
      <c r="H42" s="117">
        <v>10.895305538015492</v>
      </c>
    </row>
    <row r="43" spans="1:8" x14ac:dyDescent="0.2">
      <c r="A43" s="121" t="s">
        <v>205</v>
      </c>
      <c r="B43" s="122" t="s">
        <v>3</v>
      </c>
      <c r="C43" s="80">
        <v>4.1513737711961314</v>
      </c>
      <c r="D43" s="80">
        <v>5.5139225422974203</v>
      </c>
      <c r="E43" s="80">
        <v>6.5652913987476955</v>
      </c>
      <c r="F43" s="22" t="s">
        <v>240</v>
      </c>
      <c r="G43" s="127">
        <v>58.147441319311611</v>
      </c>
      <c r="H43" s="124">
        <v>19.067530390302039</v>
      </c>
    </row>
    <row r="44" spans="1:8" x14ac:dyDescent="0.2">
      <c r="A44" s="125"/>
      <c r="B44" s="118" t="s">
        <v>241</v>
      </c>
      <c r="C44" s="82">
        <v>2.9173187842409756</v>
      </c>
      <c r="D44" s="82">
        <v>3.0403692359652661</v>
      </c>
      <c r="E44" s="82">
        <v>3.9000572189729761</v>
      </c>
      <c r="F44" s="27"/>
      <c r="G44" s="119">
        <v>33.686357488274581</v>
      </c>
      <c r="H44" s="120">
        <v>28.275775614298823</v>
      </c>
    </row>
    <row r="45" spans="1:8" x14ac:dyDescent="0.2">
      <c r="A45" s="121" t="s">
        <v>206</v>
      </c>
      <c r="B45" s="122" t="s">
        <v>3</v>
      </c>
      <c r="C45" s="80">
        <v>31.627181855980655</v>
      </c>
      <c r="D45" s="80">
        <v>37.334640711487104</v>
      </c>
      <c r="E45" s="80">
        <v>53.487808100877011</v>
      </c>
      <c r="F45" s="22" t="s">
        <v>240</v>
      </c>
      <c r="G45" s="127">
        <v>69.11974119111261</v>
      </c>
      <c r="H45" s="124">
        <v>43.265897519190304</v>
      </c>
    </row>
    <row r="46" spans="1:8" x14ac:dyDescent="0.2">
      <c r="A46" s="125"/>
      <c r="B46" s="118" t="s">
        <v>241</v>
      </c>
      <c r="C46" s="82">
        <v>20.604187921204883</v>
      </c>
      <c r="D46" s="82">
        <v>19.322774179826329</v>
      </c>
      <c r="E46" s="82">
        <v>29.719286094864877</v>
      </c>
      <c r="F46" s="27"/>
      <c r="G46" s="119">
        <v>44.239055712936675</v>
      </c>
      <c r="H46" s="120">
        <v>53.804447634092213</v>
      </c>
    </row>
    <row r="47" spans="1:8" x14ac:dyDescent="0.2">
      <c r="A47" s="121" t="s">
        <v>207</v>
      </c>
      <c r="B47" s="122" t="s">
        <v>3</v>
      </c>
      <c r="C47" s="80">
        <v>146.40499379674586</v>
      </c>
      <c r="D47" s="80">
        <v>127.23562194049052</v>
      </c>
      <c r="E47" s="80">
        <v>160.54926265353777</v>
      </c>
      <c r="F47" s="22" t="s">
        <v>240</v>
      </c>
      <c r="G47" s="116">
        <v>9.6610562863917124</v>
      </c>
      <c r="H47" s="117">
        <v>26.182636752959326</v>
      </c>
    </row>
    <row r="48" spans="1:8" ht="13.5" thickBot="1" x14ac:dyDescent="0.25">
      <c r="A48" s="131"/>
      <c r="B48" s="132" t="s">
        <v>241</v>
      </c>
      <c r="C48" s="86">
        <v>78.719511979373664</v>
      </c>
      <c r="D48" s="86">
        <v>64.825170573513731</v>
      </c>
      <c r="E48" s="86">
        <v>83.25327199067965</v>
      </c>
      <c r="F48" s="44"/>
      <c r="G48" s="133">
        <v>5.7593853128738033</v>
      </c>
      <c r="H48" s="134">
        <v>28.427385927612619</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22</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208</v>
      </c>
      <c r="B7" s="115" t="s">
        <v>3</v>
      </c>
      <c r="C7" s="20">
        <v>343016</v>
      </c>
      <c r="D7" s="20">
        <v>430654</v>
      </c>
      <c r="E7" s="79">
        <v>537636.29538943106</v>
      </c>
      <c r="F7" s="22" t="s">
        <v>240</v>
      </c>
      <c r="G7" s="116">
        <v>56.737964231823298</v>
      </c>
      <c r="H7" s="117">
        <v>24.841820902495044</v>
      </c>
    </row>
    <row r="8" spans="1:8" ht="12.75" customHeight="1" x14ac:dyDescent="0.2">
      <c r="A8" s="217"/>
      <c r="B8" s="118" t="s">
        <v>241</v>
      </c>
      <c r="C8" s="26">
        <v>144310.89942857143</v>
      </c>
      <c r="D8" s="26">
        <v>183760</v>
      </c>
      <c r="E8" s="26">
        <v>228326.07428571431</v>
      </c>
      <c r="F8" s="27"/>
      <c r="G8" s="119">
        <v>58.21817699828506</v>
      </c>
      <c r="H8" s="120">
        <v>24.252326015299474</v>
      </c>
    </row>
    <row r="9" spans="1:8" x14ac:dyDescent="0.2">
      <c r="A9" s="121" t="s">
        <v>227</v>
      </c>
      <c r="B9" s="122" t="s">
        <v>3</v>
      </c>
      <c r="C9" s="20">
        <v>12932</v>
      </c>
      <c r="D9" s="20">
        <v>14329</v>
      </c>
      <c r="E9" s="20">
        <v>16786.779131440824</v>
      </c>
      <c r="F9" s="22" t="s">
        <v>240</v>
      </c>
      <c r="G9" s="123">
        <v>29.808066280860089</v>
      </c>
      <c r="H9" s="124">
        <v>17.152481899929001</v>
      </c>
    </row>
    <row r="10" spans="1:8" x14ac:dyDescent="0.2">
      <c r="A10" s="125"/>
      <c r="B10" s="118" t="s">
        <v>241</v>
      </c>
      <c r="C10" s="26">
        <v>6666.8639999999996</v>
      </c>
      <c r="D10" s="26">
        <v>6585</v>
      </c>
      <c r="E10" s="26">
        <v>8004.18</v>
      </c>
      <c r="F10" s="27"/>
      <c r="G10" s="126">
        <v>20.059146249271038</v>
      </c>
      <c r="H10" s="120">
        <v>21.551708428246002</v>
      </c>
    </row>
    <row r="11" spans="1:8" x14ac:dyDescent="0.2">
      <c r="A11" s="121" t="s">
        <v>230</v>
      </c>
      <c r="B11" s="122" t="s">
        <v>3</v>
      </c>
      <c r="C11" s="20">
        <v>166709</v>
      </c>
      <c r="D11" s="20">
        <v>242248</v>
      </c>
      <c r="E11" s="20">
        <v>340451.38267771574</v>
      </c>
      <c r="F11" s="22" t="s">
        <v>240</v>
      </c>
      <c r="G11" s="127">
        <v>104.21895799129965</v>
      </c>
      <c r="H11" s="124">
        <v>40.538366747182948</v>
      </c>
    </row>
    <row r="12" spans="1:8" x14ac:dyDescent="0.2">
      <c r="A12" s="125"/>
      <c r="B12" s="118" t="s">
        <v>241</v>
      </c>
      <c r="C12" s="26">
        <v>67901.547200000001</v>
      </c>
      <c r="D12" s="26">
        <v>90206</v>
      </c>
      <c r="E12" s="26">
        <v>130505.264</v>
      </c>
      <c r="F12" s="27"/>
      <c r="G12" s="119">
        <v>92.197776606775165</v>
      </c>
      <c r="H12" s="120">
        <v>44.674704565106538</v>
      </c>
    </row>
    <row r="13" spans="1:8" x14ac:dyDescent="0.2">
      <c r="A13" s="121" t="s">
        <v>209</v>
      </c>
      <c r="B13" s="122" t="s">
        <v>3</v>
      </c>
      <c r="C13" s="20">
        <v>135318</v>
      </c>
      <c r="D13" s="20">
        <v>135335</v>
      </c>
      <c r="E13" s="20">
        <v>132047.43311788121</v>
      </c>
      <c r="F13" s="22" t="s">
        <v>240</v>
      </c>
      <c r="G13" s="116">
        <v>-2.4169488775468153</v>
      </c>
      <c r="H13" s="117">
        <v>-2.4292066960644263</v>
      </c>
    </row>
    <row r="14" spans="1:8" x14ac:dyDescent="0.2">
      <c r="A14" s="125"/>
      <c r="B14" s="118" t="s">
        <v>241</v>
      </c>
      <c r="C14" s="26">
        <v>60727.547200000001</v>
      </c>
      <c r="D14" s="26">
        <v>70881</v>
      </c>
      <c r="E14" s="26">
        <v>65511.263999999996</v>
      </c>
      <c r="F14" s="27"/>
      <c r="G14" s="128">
        <v>7.8773423603711592</v>
      </c>
      <c r="H14" s="117">
        <v>-7.5757057603589146</v>
      </c>
    </row>
    <row r="15" spans="1:8" x14ac:dyDescent="0.2">
      <c r="A15" s="121" t="s">
        <v>210</v>
      </c>
      <c r="B15" s="122" t="s">
        <v>3</v>
      </c>
      <c r="C15" s="20">
        <v>18521</v>
      </c>
      <c r="D15" s="20">
        <v>26769</v>
      </c>
      <c r="E15" s="20">
        <v>44679.990510273223</v>
      </c>
      <c r="F15" s="22" t="s">
        <v>240</v>
      </c>
      <c r="G15" s="127">
        <v>141.23962264604083</v>
      </c>
      <c r="H15" s="124">
        <v>66.909449401446551</v>
      </c>
    </row>
    <row r="16" spans="1:8" x14ac:dyDescent="0.2">
      <c r="A16" s="125"/>
      <c r="B16" s="118" t="s">
        <v>241</v>
      </c>
      <c r="C16" s="26">
        <v>5777.0911999999998</v>
      </c>
      <c r="D16" s="26">
        <v>10285</v>
      </c>
      <c r="E16" s="26">
        <v>15935.544</v>
      </c>
      <c r="F16" s="27"/>
      <c r="G16" s="119">
        <v>175.84027061923484</v>
      </c>
      <c r="H16" s="120">
        <v>54.939659698590191</v>
      </c>
    </row>
    <row r="17" spans="1:9" x14ac:dyDescent="0.2">
      <c r="A17" s="121" t="s">
        <v>211</v>
      </c>
      <c r="B17" s="122" t="s">
        <v>3</v>
      </c>
      <c r="C17" s="20">
        <v>23038</v>
      </c>
      <c r="D17" s="20">
        <v>28312</v>
      </c>
      <c r="E17" s="20">
        <v>37353.246266683447</v>
      </c>
      <c r="F17" s="22" t="s">
        <v>240</v>
      </c>
      <c r="G17" s="116">
        <v>62.137539138308227</v>
      </c>
      <c r="H17" s="117">
        <v>31.934325609930227</v>
      </c>
    </row>
    <row r="18" spans="1:9" ht="13.5" thickBot="1" x14ac:dyDescent="0.25">
      <c r="A18" s="131"/>
      <c r="B18" s="132" t="s">
        <v>241</v>
      </c>
      <c r="C18" s="43">
        <v>11388.1824</v>
      </c>
      <c r="D18" s="43">
        <v>13086</v>
      </c>
      <c r="E18" s="43">
        <v>17647.088</v>
      </c>
      <c r="F18" s="44"/>
      <c r="G18" s="133">
        <v>54.95965361425894</v>
      </c>
      <c r="H18" s="134">
        <v>34.85471496255542</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208</v>
      </c>
      <c r="B35" s="115" t="s">
        <v>3</v>
      </c>
      <c r="C35" s="80">
        <v>1456.5722955892095</v>
      </c>
      <c r="D35" s="80">
        <v>1704.7751721129084</v>
      </c>
      <c r="E35" s="81">
        <v>2055.8091523337062</v>
      </c>
      <c r="F35" s="22" t="s">
        <v>240</v>
      </c>
      <c r="G35" s="116">
        <v>41.140206947441271</v>
      </c>
      <c r="H35" s="117">
        <v>20.59121847637681</v>
      </c>
    </row>
    <row r="36" spans="1:8" ht="12.75" customHeight="1" x14ac:dyDescent="0.2">
      <c r="A36" s="217"/>
      <c r="B36" s="118" t="s">
        <v>241</v>
      </c>
      <c r="C36" s="82">
        <v>689.49705569425032</v>
      </c>
      <c r="D36" s="82">
        <v>829.72777714408846</v>
      </c>
      <c r="E36" s="82">
        <v>991.26830893099464</v>
      </c>
      <c r="F36" s="27"/>
      <c r="G36" s="119">
        <v>43.766866115605467</v>
      </c>
      <c r="H36" s="120">
        <v>19.469100135821222</v>
      </c>
    </row>
    <row r="37" spans="1:8" x14ac:dyDescent="0.2">
      <c r="A37" s="121" t="s">
        <v>227</v>
      </c>
      <c r="B37" s="122" t="s">
        <v>3</v>
      </c>
      <c r="C37" s="80">
        <v>443.4755699491252</v>
      </c>
      <c r="D37" s="80">
        <v>526.16154959198388</v>
      </c>
      <c r="E37" s="80">
        <v>623.76623110864045</v>
      </c>
      <c r="F37" s="22" t="s">
        <v>240</v>
      </c>
      <c r="G37" s="123">
        <v>40.654023214897251</v>
      </c>
      <c r="H37" s="124">
        <v>18.550325768263548</v>
      </c>
    </row>
    <row r="38" spans="1:8" x14ac:dyDescent="0.2">
      <c r="A38" s="125"/>
      <c r="B38" s="118" t="s">
        <v>241</v>
      </c>
      <c r="C38" s="82">
        <v>210.46323038204517</v>
      </c>
      <c r="D38" s="82">
        <v>246.53901640078834</v>
      </c>
      <c r="E38" s="82">
        <v>293.51292462613821</v>
      </c>
      <c r="F38" s="27"/>
      <c r="G38" s="126">
        <v>39.460429307930127</v>
      </c>
      <c r="H38" s="120">
        <v>19.053336429713966</v>
      </c>
    </row>
    <row r="39" spans="1:8" x14ac:dyDescent="0.2">
      <c r="A39" s="121" t="s">
        <v>230</v>
      </c>
      <c r="B39" s="122" t="s">
        <v>3</v>
      </c>
      <c r="C39" s="80">
        <v>269.37084535231764</v>
      </c>
      <c r="D39" s="80">
        <v>333.48805947324132</v>
      </c>
      <c r="E39" s="80">
        <v>427.6766333242158</v>
      </c>
      <c r="F39" s="22" t="s">
        <v>240</v>
      </c>
      <c r="G39" s="127">
        <v>58.76871632668545</v>
      </c>
      <c r="H39" s="124">
        <v>28.243462149664168</v>
      </c>
    </row>
    <row r="40" spans="1:8" x14ac:dyDescent="0.2">
      <c r="A40" s="125"/>
      <c r="B40" s="118" t="s">
        <v>241</v>
      </c>
      <c r="C40" s="82">
        <v>130.56965664856261</v>
      </c>
      <c r="D40" s="82">
        <v>154.88452860852559</v>
      </c>
      <c r="E40" s="82">
        <v>201.43897436774867</v>
      </c>
      <c r="F40" s="27"/>
      <c r="G40" s="119">
        <v>54.277019284760627</v>
      </c>
      <c r="H40" s="120">
        <v>30.057518447753154</v>
      </c>
    </row>
    <row r="41" spans="1:8" x14ac:dyDescent="0.2">
      <c r="A41" s="121" t="s">
        <v>209</v>
      </c>
      <c r="B41" s="122" t="s">
        <v>3</v>
      </c>
      <c r="C41" s="80">
        <v>501.75703808684722</v>
      </c>
      <c r="D41" s="80">
        <v>565.42085865239414</v>
      </c>
      <c r="E41" s="80">
        <v>634.01977196524797</v>
      </c>
      <c r="F41" s="22" t="s">
        <v>240</v>
      </c>
      <c r="G41" s="116">
        <v>26.359916022843692</v>
      </c>
      <c r="H41" s="117">
        <v>12.132363400308634</v>
      </c>
    </row>
    <row r="42" spans="1:8" x14ac:dyDescent="0.2">
      <c r="A42" s="125"/>
      <c r="B42" s="118" t="s">
        <v>241</v>
      </c>
      <c r="C42" s="82">
        <v>241.7154263442176</v>
      </c>
      <c r="D42" s="82">
        <v>293.82469921336588</v>
      </c>
      <c r="E42" s="82">
        <v>321.04908908000834</v>
      </c>
      <c r="F42" s="27"/>
      <c r="G42" s="128">
        <v>32.821100388857559</v>
      </c>
      <c r="H42" s="117">
        <v>9.2655212238890101</v>
      </c>
    </row>
    <row r="43" spans="1:8" x14ac:dyDescent="0.2">
      <c r="A43" s="121" t="s">
        <v>210</v>
      </c>
      <c r="B43" s="122" t="s">
        <v>3</v>
      </c>
      <c r="C43" s="80">
        <v>98.631765388184178</v>
      </c>
      <c r="D43" s="80">
        <v>125.46354583305788</v>
      </c>
      <c r="E43" s="80">
        <v>168.01102797732526</v>
      </c>
      <c r="F43" s="22" t="s">
        <v>240</v>
      </c>
      <c r="G43" s="127">
        <v>70.341702103866567</v>
      </c>
      <c r="H43" s="124">
        <v>33.91222674423787</v>
      </c>
    </row>
    <row r="44" spans="1:8" x14ac:dyDescent="0.2">
      <c r="A44" s="125"/>
      <c r="B44" s="118" t="s">
        <v>241</v>
      </c>
      <c r="C44" s="82">
        <v>42.350273331885006</v>
      </c>
      <c r="D44" s="82">
        <v>57.210958488281875</v>
      </c>
      <c r="E44" s="82">
        <v>75.061339137419893</v>
      </c>
      <c r="F44" s="27"/>
      <c r="G44" s="119">
        <v>77.239326294754107</v>
      </c>
      <c r="H44" s="120">
        <v>31.200981631507176</v>
      </c>
    </row>
    <row r="45" spans="1:8" x14ac:dyDescent="0.2">
      <c r="A45" s="121" t="s">
        <v>211</v>
      </c>
      <c r="B45" s="122" t="s">
        <v>3</v>
      </c>
      <c r="C45" s="80">
        <v>143.33707681273535</v>
      </c>
      <c r="D45" s="80">
        <v>154.24115856223145</v>
      </c>
      <c r="E45" s="80">
        <v>207.69769265413669</v>
      </c>
      <c r="F45" s="22" t="s">
        <v>240</v>
      </c>
      <c r="G45" s="116">
        <v>44.901582530168469</v>
      </c>
      <c r="H45" s="117">
        <v>34.657762292635539</v>
      </c>
    </row>
    <row r="46" spans="1:8" ht="13.5" thickBot="1" x14ac:dyDescent="0.25">
      <c r="A46" s="131"/>
      <c r="B46" s="132" t="s">
        <v>241</v>
      </c>
      <c r="C46" s="86">
        <v>64.398468987540028</v>
      </c>
      <c r="D46" s="86">
        <v>77.268574433126673</v>
      </c>
      <c r="E46" s="86">
        <v>100.20598171967958</v>
      </c>
      <c r="F46" s="44"/>
      <c r="G46" s="133">
        <v>55.603049723228196</v>
      </c>
      <c r="H46" s="134">
        <v>29.685298913343445</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23</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2022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+'Tab2'!AE6&amp;"  ………………………………………………………………………………………………….."</f>
        <v>Figur 9. Brannskader pr. kvartal  …………………………………………………………………………………………………..</v>
      </c>
      <c r="C19" s="73"/>
      <c r="D19" s="73"/>
      <c r="E19" s="73"/>
      <c r="F19" s="73"/>
      <c r="G19" s="73"/>
      <c r="H19" s="76">
        <v>8</v>
      </c>
    </row>
    <row r="20" spans="1:14" ht="12.75" customHeight="1" x14ac:dyDescent="0.25">
      <c r="B20" s="73" t="str">
        <f>+'Tab2'!AE32&amp;"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2. kvartal 2022</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2. kvartal 2022"</f>
        <v>Skadestatistikk for landbasert forsikring 2. kvartal 2022</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1"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61</v>
      </c>
      <c r="B7" s="19" t="s">
        <v>3</v>
      </c>
      <c r="C7" s="20">
        <v>447542</v>
      </c>
      <c r="D7" s="20">
        <v>169642</v>
      </c>
      <c r="E7" s="79">
        <v>350171.26906799036</v>
      </c>
      <c r="F7" s="22" t="s">
        <v>240</v>
      </c>
      <c r="G7" s="23">
        <v>-21.756780577467509</v>
      </c>
      <c r="H7" s="24">
        <v>106.41779103523322</v>
      </c>
    </row>
    <row r="8" spans="1:8" x14ac:dyDescent="0.2">
      <c r="A8" s="206"/>
      <c r="B8" s="25" t="s">
        <v>241</v>
      </c>
      <c r="C8" s="26">
        <v>294870</v>
      </c>
      <c r="D8" s="26">
        <v>62196</v>
      </c>
      <c r="E8" s="26">
        <v>150658</v>
      </c>
      <c r="F8" s="27"/>
      <c r="G8" s="28">
        <v>-48.906975955505814</v>
      </c>
      <c r="H8" s="29">
        <v>142.23101164061998</v>
      </c>
    </row>
    <row r="9" spans="1:8" x14ac:dyDescent="0.2">
      <c r="A9" s="30" t="s">
        <v>62</v>
      </c>
      <c r="B9" s="31" t="s">
        <v>3</v>
      </c>
      <c r="C9" s="20">
        <v>68338</v>
      </c>
      <c r="D9" s="20">
        <v>68285.765704347825</v>
      </c>
      <c r="E9" s="21">
        <v>148769.27397826943</v>
      </c>
      <c r="F9" s="22" t="s">
        <v>240</v>
      </c>
      <c r="G9" s="32">
        <v>117.69626558908578</v>
      </c>
      <c r="H9" s="33">
        <v>117.86278947560683</v>
      </c>
    </row>
    <row r="10" spans="1:8" x14ac:dyDescent="0.2">
      <c r="A10" s="34"/>
      <c r="B10" s="25" t="s">
        <v>241</v>
      </c>
      <c r="C10" s="26">
        <v>32401</v>
      </c>
      <c r="D10" s="26">
        <v>23192</v>
      </c>
      <c r="E10" s="26">
        <v>55803.35650478398</v>
      </c>
      <c r="F10" s="27"/>
      <c r="G10" s="35">
        <v>72.227266148526212</v>
      </c>
      <c r="H10" s="29">
        <v>140.61467965153494</v>
      </c>
    </row>
    <row r="11" spans="1:8" x14ac:dyDescent="0.2">
      <c r="A11" s="30" t="s">
        <v>47</v>
      </c>
      <c r="B11" s="31" t="s">
        <v>3</v>
      </c>
      <c r="C11" s="20">
        <v>12266</v>
      </c>
      <c r="D11" s="20">
        <v>10166.449391304348</v>
      </c>
      <c r="E11" s="21">
        <v>16481.368445791944</v>
      </c>
      <c r="F11" s="22" t="s">
        <v>240</v>
      </c>
      <c r="G11" s="37">
        <v>34.3662844105001</v>
      </c>
      <c r="H11" s="33">
        <v>62.115285400318072</v>
      </c>
    </row>
    <row r="12" spans="1:8" x14ac:dyDescent="0.2">
      <c r="A12" s="34"/>
      <c r="B12" s="25" t="s">
        <v>241</v>
      </c>
      <c r="C12" s="26">
        <v>5605</v>
      </c>
      <c r="D12" s="26">
        <v>5114</v>
      </c>
      <c r="E12" s="26">
        <v>8021</v>
      </c>
      <c r="F12" s="27"/>
      <c r="G12" s="28">
        <v>43.104371097234605</v>
      </c>
      <c r="H12" s="29">
        <v>56.843957763003516</v>
      </c>
    </row>
    <row r="13" spans="1:8" x14ac:dyDescent="0.2">
      <c r="A13" s="30" t="s">
        <v>48</v>
      </c>
      <c r="B13" s="31" t="s">
        <v>3</v>
      </c>
      <c r="C13" s="20">
        <v>97572</v>
      </c>
      <c r="D13" s="20">
        <v>31090.407304347827</v>
      </c>
      <c r="E13" s="21">
        <v>79101.801125196347</v>
      </c>
      <c r="F13" s="22" t="s">
        <v>240</v>
      </c>
      <c r="G13" s="23">
        <v>-18.929814777603866</v>
      </c>
      <c r="H13" s="24">
        <v>154.42510402279089</v>
      </c>
    </row>
    <row r="14" spans="1:8" x14ac:dyDescent="0.2">
      <c r="A14" s="34"/>
      <c r="B14" s="25" t="s">
        <v>241</v>
      </c>
      <c r="C14" s="26">
        <v>65355</v>
      </c>
      <c r="D14" s="26">
        <v>11027</v>
      </c>
      <c r="E14" s="26">
        <v>33273.732644084703</v>
      </c>
      <c r="F14" s="27"/>
      <c r="G14" s="38">
        <v>-49.087701562107412</v>
      </c>
      <c r="H14" s="24">
        <v>201.74782483073096</v>
      </c>
    </row>
    <row r="15" spans="1:8" x14ac:dyDescent="0.2">
      <c r="A15" s="30" t="s">
        <v>49</v>
      </c>
      <c r="B15" s="31" t="s">
        <v>3</v>
      </c>
      <c r="C15" s="20">
        <v>292729</v>
      </c>
      <c r="D15" s="20">
        <v>59019.676591304349</v>
      </c>
      <c r="E15" s="21">
        <v>105721.59184998089</v>
      </c>
      <c r="F15" s="22" t="s">
        <v>240</v>
      </c>
      <c r="G15" s="37">
        <v>-63.88414135600474</v>
      </c>
      <c r="H15" s="33">
        <v>79.129398797074003</v>
      </c>
    </row>
    <row r="16" spans="1:8" x14ac:dyDescent="0.2">
      <c r="A16" s="34"/>
      <c r="B16" s="25" t="s">
        <v>241</v>
      </c>
      <c r="C16" s="26">
        <v>163719</v>
      </c>
      <c r="D16" s="26">
        <v>24616</v>
      </c>
      <c r="E16" s="26">
        <v>48177.71817893257</v>
      </c>
      <c r="F16" s="27"/>
      <c r="G16" s="28">
        <v>-70.572921787371911</v>
      </c>
      <c r="H16" s="29">
        <v>95.717087174734189</v>
      </c>
    </row>
    <row r="17" spans="1:9" x14ac:dyDescent="0.2">
      <c r="A17" s="30" t="s">
        <v>50</v>
      </c>
      <c r="B17" s="31" t="s">
        <v>3</v>
      </c>
      <c r="C17" s="20">
        <v>52061</v>
      </c>
      <c r="D17" s="20">
        <v>31031.005565217391</v>
      </c>
      <c r="E17" s="21">
        <v>81545.662622429387</v>
      </c>
      <c r="F17" s="22" t="s">
        <v>240</v>
      </c>
      <c r="G17" s="37">
        <v>56.634837253278619</v>
      </c>
      <c r="H17" s="33">
        <v>162.78768972228795</v>
      </c>
    </row>
    <row r="18" spans="1:9" ht="13.5" thickBot="1" x14ac:dyDescent="0.25">
      <c r="A18" s="56"/>
      <c r="B18" s="42" t="s">
        <v>241</v>
      </c>
      <c r="C18" s="43">
        <v>35713</v>
      </c>
      <c r="D18" s="43">
        <v>8161</v>
      </c>
      <c r="E18" s="43">
        <v>26994.524101029339</v>
      </c>
      <c r="F18" s="44"/>
      <c r="G18" s="57">
        <v>-24.412611371127213</v>
      </c>
      <c r="H18" s="46">
        <v>230.77471021969535</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61</v>
      </c>
      <c r="B35" s="19" t="s">
        <v>3</v>
      </c>
      <c r="C35" s="80">
        <v>2302.5662864483884</v>
      </c>
      <c r="D35" s="80">
        <v>773.78802688841324</v>
      </c>
      <c r="E35" s="81">
        <v>2256.1729313568339</v>
      </c>
      <c r="F35" s="22" t="s">
        <v>240</v>
      </c>
      <c r="G35" s="23">
        <v>-2.0148542678054326</v>
      </c>
      <c r="H35" s="24">
        <v>191.57506357774042</v>
      </c>
    </row>
    <row r="36" spans="1:9" ht="12.75" customHeight="1" x14ac:dyDescent="0.2">
      <c r="A36" s="206"/>
      <c r="B36" s="25" t="s">
        <v>241</v>
      </c>
      <c r="C36" s="82">
        <v>1893.5409275796744</v>
      </c>
      <c r="D36" s="82">
        <v>225.66951530811204</v>
      </c>
      <c r="E36" s="82">
        <v>838.33948099679321</v>
      </c>
      <c r="F36" s="27"/>
      <c r="G36" s="28">
        <v>-55.726360661854855</v>
      </c>
      <c r="H36" s="29">
        <v>271.48991074500606</v>
      </c>
    </row>
    <row r="37" spans="1:9" x14ac:dyDescent="0.2">
      <c r="A37" s="30" t="s">
        <v>62</v>
      </c>
      <c r="B37" s="31" t="s">
        <v>3</v>
      </c>
      <c r="C37" s="80">
        <v>163.35888456341635</v>
      </c>
      <c r="D37" s="80">
        <v>165.50438323851947</v>
      </c>
      <c r="E37" s="83">
        <v>467.31039774018524</v>
      </c>
      <c r="F37" s="22" t="s">
        <v>240</v>
      </c>
      <c r="G37" s="32">
        <v>186.06365609626459</v>
      </c>
      <c r="H37" s="33">
        <v>182.35529996006983</v>
      </c>
    </row>
    <row r="38" spans="1:9" x14ac:dyDescent="0.2">
      <c r="A38" s="34"/>
      <c r="B38" s="25" t="s">
        <v>241</v>
      </c>
      <c r="C38" s="82">
        <v>117.36803760315473</v>
      </c>
      <c r="D38" s="82">
        <v>45.296786116696488</v>
      </c>
      <c r="E38" s="82">
        <v>161.1525048415007</v>
      </c>
      <c r="F38" s="27"/>
      <c r="G38" s="35">
        <v>37.305273337184161</v>
      </c>
      <c r="H38" s="29">
        <v>255.77028451053741</v>
      </c>
    </row>
    <row r="39" spans="1:9" x14ac:dyDescent="0.2">
      <c r="A39" s="30" t="s">
        <v>47</v>
      </c>
      <c r="B39" s="31" t="s">
        <v>3</v>
      </c>
      <c r="C39" s="80">
        <v>175.90463846252987</v>
      </c>
      <c r="D39" s="80">
        <v>138.51362542790142</v>
      </c>
      <c r="E39" s="83">
        <v>224.1542271796518</v>
      </c>
      <c r="F39" s="22" t="s">
        <v>240</v>
      </c>
      <c r="G39" s="37">
        <v>27.429401031627563</v>
      </c>
      <c r="H39" s="33">
        <v>61.828286919201105</v>
      </c>
    </row>
    <row r="40" spans="1:9" x14ac:dyDescent="0.2">
      <c r="A40" s="34"/>
      <c r="B40" s="25" t="s">
        <v>241</v>
      </c>
      <c r="C40" s="82">
        <v>140.19645235877309</v>
      </c>
      <c r="D40" s="82">
        <v>65.066768348684334</v>
      </c>
      <c r="E40" s="82">
        <v>121.99344512332721</v>
      </c>
      <c r="F40" s="27"/>
      <c r="G40" s="28">
        <v>-12.983928572502705</v>
      </c>
      <c r="H40" s="29">
        <v>87.489632909967554</v>
      </c>
    </row>
    <row r="41" spans="1:9" x14ac:dyDescent="0.2">
      <c r="A41" s="30" t="s">
        <v>48</v>
      </c>
      <c r="B41" s="31" t="s">
        <v>3</v>
      </c>
      <c r="C41" s="80">
        <v>483.38381541670367</v>
      </c>
      <c r="D41" s="80">
        <v>213.24163166368561</v>
      </c>
      <c r="E41" s="83">
        <v>874.63117882582628</v>
      </c>
      <c r="F41" s="22" t="s">
        <v>240</v>
      </c>
      <c r="G41" s="23">
        <v>80.939276601937053</v>
      </c>
      <c r="H41" s="24">
        <v>310.15967285658945</v>
      </c>
    </row>
    <row r="42" spans="1:9" x14ac:dyDescent="0.2">
      <c r="A42" s="34"/>
      <c r="B42" s="25" t="s">
        <v>241</v>
      </c>
      <c r="C42" s="82">
        <v>460.68664661336896</v>
      </c>
      <c r="D42" s="82">
        <v>49.065626271450711</v>
      </c>
      <c r="E42" s="82">
        <v>269.35578951161176</v>
      </c>
      <c r="F42" s="27"/>
      <c r="G42" s="38">
        <v>-41.531669847233822</v>
      </c>
      <c r="H42" s="24">
        <v>448.97045035444489</v>
      </c>
    </row>
    <row r="43" spans="1:9" x14ac:dyDescent="0.2">
      <c r="A43" s="30" t="s">
        <v>49</v>
      </c>
      <c r="B43" s="31" t="s">
        <v>3</v>
      </c>
      <c r="C43" s="80">
        <v>1242.5624347699081</v>
      </c>
      <c r="D43" s="80">
        <v>169.9578574247042</v>
      </c>
      <c r="E43" s="83">
        <v>601.84400111114337</v>
      </c>
      <c r="F43" s="22" t="s">
        <v>240</v>
      </c>
      <c r="G43" s="37">
        <v>-51.564284878563058</v>
      </c>
      <c r="H43" s="33">
        <v>254.11366689991144</v>
      </c>
    </row>
    <row r="44" spans="1:9" x14ac:dyDescent="0.2">
      <c r="A44" s="34"/>
      <c r="B44" s="25" t="s">
        <v>241</v>
      </c>
      <c r="C44" s="82">
        <v>988.63143698499709</v>
      </c>
      <c r="D44" s="82">
        <v>45.55965418687861</v>
      </c>
      <c r="E44" s="82">
        <v>207.10999926553328</v>
      </c>
      <c r="F44" s="27"/>
      <c r="G44" s="28">
        <v>-79.050838207497108</v>
      </c>
      <c r="H44" s="29">
        <v>354.59080619005647</v>
      </c>
    </row>
    <row r="45" spans="1:9" x14ac:dyDescent="0.2">
      <c r="A45" s="30" t="s">
        <v>50</v>
      </c>
      <c r="B45" s="31" t="s">
        <v>3</v>
      </c>
      <c r="C45" s="80">
        <v>237.35651323583056</v>
      </c>
      <c r="D45" s="80">
        <v>86.570529133602676</v>
      </c>
      <c r="E45" s="83">
        <v>253.07624591981275</v>
      </c>
      <c r="F45" s="22" t="s">
        <v>240</v>
      </c>
      <c r="G45" s="37">
        <v>6.6228360324637663</v>
      </c>
      <c r="H45" s="33">
        <v>192.33533449846993</v>
      </c>
    </row>
    <row r="46" spans="1:9" ht="13.5" thickBot="1" x14ac:dyDescent="0.25">
      <c r="A46" s="56"/>
      <c r="B46" s="42" t="s">
        <v>241</v>
      </c>
      <c r="C46" s="86">
        <v>186.65835401938122</v>
      </c>
      <c r="D46" s="86">
        <v>20.680680384401981</v>
      </c>
      <c r="E46" s="86">
        <v>78.727742254820143</v>
      </c>
      <c r="F46" s="44"/>
      <c r="G46" s="57">
        <v>-57.822545544012655</v>
      </c>
      <c r="H46" s="46">
        <v>280.6825539173222</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24</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51</v>
      </c>
      <c r="B7" s="19" t="s">
        <v>3</v>
      </c>
      <c r="C7" s="20">
        <v>13466</v>
      </c>
      <c r="D7" s="20">
        <v>12717.945965835412</v>
      </c>
      <c r="E7" s="79">
        <v>10911.803866206237</v>
      </c>
      <c r="F7" s="22" t="s">
        <v>240</v>
      </c>
      <c r="G7" s="23">
        <v>-18.967741970843335</v>
      </c>
      <c r="H7" s="24">
        <v>-14.201523614592062</v>
      </c>
    </row>
    <row r="8" spans="1:8" x14ac:dyDescent="0.2">
      <c r="A8" s="206"/>
      <c r="B8" s="25" t="s">
        <v>241</v>
      </c>
      <c r="C8" s="26">
        <v>5589.2439507481295</v>
      </c>
      <c r="D8" s="26">
        <v>5363.9700748129671</v>
      </c>
      <c r="E8" s="26">
        <v>4577.5723748753117</v>
      </c>
      <c r="F8" s="27"/>
      <c r="G8" s="28">
        <v>-18.10032957565582</v>
      </c>
      <c r="H8" s="29">
        <v>-14.660739880527316</v>
      </c>
    </row>
    <row r="9" spans="1:8" x14ac:dyDescent="0.2">
      <c r="A9" s="30" t="s">
        <v>12</v>
      </c>
      <c r="B9" s="31" t="s">
        <v>3</v>
      </c>
      <c r="C9" s="20">
        <v>369.60399999999998</v>
      </c>
      <c r="D9" s="20">
        <v>291.84243322999998</v>
      </c>
      <c r="E9" s="21">
        <v>239.71869136736507</v>
      </c>
      <c r="F9" s="22" t="s">
        <v>240</v>
      </c>
      <c r="G9" s="32">
        <v>-35.141748637091297</v>
      </c>
      <c r="H9" s="33">
        <v>-17.860234128995344</v>
      </c>
    </row>
    <row r="10" spans="1:8" x14ac:dyDescent="0.2">
      <c r="A10" s="34"/>
      <c r="B10" s="25" t="s">
        <v>241</v>
      </c>
      <c r="C10" s="26">
        <v>136.77168242499999</v>
      </c>
      <c r="D10" s="26">
        <v>104.881</v>
      </c>
      <c r="E10" s="26">
        <v>86.985352232499991</v>
      </c>
      <c r="F10" s="27"/>
      <c r="G10" s="35">
        <v>-36.401051233540827</v>
      </c>
      <c r="H10" s="29">
        <v>-17.062811917792558</v>
      </c>
    </row>
    <row r="11" spans="1:8" x14ac:dyDescent="0.2">
      <c r="A11" s="30" t="s">
        <v>18</v>
      </c>
      <c r="B11" s="31" t="s">
        <v>3</v>
      </c>
      <c r="C11" s="20">
        <v>315.64160000000004</v>
      </c>
      <c r="D11" s="20">
        <v>282.73697329200002</v>
      </c>
      <c r="E11" s="21">
        <v>183.02893688672631</v>
      </c>
      <c r="F11" s="22" t="s">
        <v>240</v>
      </c>
      <c r="G11" s="37">
        <v>-42.013683593440696</v>
      </c>
      <c r="H11" s="33">
        <v>-35.265298076986568</v>
      </c>
    </row>
    <row r="12" spans="1:8" x14ac:dyDescent="0.2">
      <c r="A12" s="34"/>
      <c r="B12" s="25" t="s">
        <v>241</v>
      </c>
      <c r="C12" s="26">
        <v>139.30867297</v>
      </c>
      <c r="D12" s="26">
        <v>133.35239999999999</v>
      </c>
      <c r="E12" s="26">
        <v>84.394140892999999</v>
      </c>
      <c r="F12" s="27"/>
      <c r="G12" s="28">
        <v>-39.419320352599875</v>
      </c>
      <c r="H12" s="29">
        <v>-36.713444307713992</v>
      </c>
    </row>
    <row r="13" spans="1:8" x14ac:dyDescent="0.2">
      <c r="A13" s="30" t="s">
        <v>63</v>
      </c>
      <c r="B13" s="31" t="s">
        <v>3</v>
      </c>
      <c r="C13" s="20">
        <v>1446.0149999999999</v>
      </c>
      <c r="D13" s="20">
        <v>1106.9091246124999</v>
      </c>
      <c r="E13" s="21">
        <v>1033.5099177949962</v>
      </c>
      <c r="F13" s="22" t="s">
        <v>240</v>
      </c>
      <c r="G13" s="23">
        <v>-28.527026497304917</v>
      </c>
      <c r="H13" s="24">
        <v>-6.6310056702440505</v>
      </c>
    </row>
    <row r="14" spans="1:8" x14ac:dyDescent="0.2">
      <c r="A14" s="34"/>
      <c r="B14" s="25" t="s">
        <v>241</v>
      </c>
      <c r="C14" s="26">
        <v>592.89380909374995</v>
      </c>
      <c r="D14" s="26">
        <v>473.30375000000004</v>
      </c>
      <c r="E14" s="26">
        <v>435.69507087187498</v>
      </c>
      <c r="F14" s="27"/>
      <c r="G14" s="38">
        <v>-26.513810029852806</v>
      </c>
      <c r="H14" s="24">
        <v>-7.9459922149623878</v>
      </c>
    </row>
    <row r="15" spans="1:8" x14ac:dyDescent="0.2">
      <c r="A15" s="30" t="s">
        <v>52</v>
      </c>
      <c r="B15" s="31" t="s">
        <v>3</v>
      </c>
      <c r="C15" s="20">
        <v>7391.07</v>
      </c>
      <c r="D15" s="20">
        <v>7814.2425815249999</v>
      </c>
      <c r="E15" s="21">
        <v>7106.4216251491916</v>
      </c>
      <c r="F15" s="22" t="s">
        <v>240</v>
      </c>
      <c r="G15" s="37">
        <v>-3.8512471787008877</v>
      </c>
      <c r="H15" s="33">
        <v>-9.0580878311775166</v>
      </c>
    </row>
    <row r="16" spans="1:8" x14ac:dyDescent="0.2">
      <c r="A16" s="34"/>
      <c r="B16" s="25" t="s">
        <v>241</v>
      </c>
      <c r="C16" s="26">
        <v>3019.5044424375001</v>
      </c>
      <c r="D16" s="26">
        <v>3133.4175</v>
      </c>
      <c r="E16" s="26">
        <v>2867.2436640687501</v>
      </c>
      <c r="F16" s="27"/>
      <c r="G16" s="28">
        <v>-5.0425750738699691</v>
      </c>
      <c r="H16" s="29">
        <v>-8.4946814757768436</v>
      </c>
    </row>
    <row r="17" spans="1:9" x14ac:dyDescent="0.2">
      <c r="A17" s="30" t="s">
        <v>50</v>
      </c>
      <c r="B17" s="31" t="s">
        <v>3</v>
      </c>
      <c r="C17" s="20">
        <v>5109.0200000000004</v>
      </c>
      <c r="D17" s="20">
        <v>4350.2121661500005</v>
      </c>
      <c r="E17" s="21">
        <v>3632.511451441726</v>
      </c>
      <c r="F17" s="22" t="s">
        <v>240</v>
      </c>
      <c r="G17" s="37">
        <v>-28.900034616389718</v>
      </c>
      <c r="H17" s="33">
        <v>-16.498062331140275</v>
      </c>
    </row>
    <row r="18" spans="1:9" ht="13.5" thickBot="1" x14ac:dyDescent="0.25">
      <c r="A18" s="56"/>
      <c r="B18" s="42" t="s">
        <v>241</v>
      </c>
      <c r="C18" s="43">
        <v>1877.8584121250001</v>
      </c>
      <c r="D18" s="43">
        <v>1914.405</v>
      </c>
      <c r="E18" s="43">
        <v>1499.9267611625</v>
      </c>
      <c r="F18" s="44"/>
      <c r="G18" s="57">
        <v>-20.125673401267221</v>
      </c>
      <c r="H18" s="46">
        <v>-21.650499180554789</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51</v>
      </c>
      <c r="B35" s="19" t="s">
        <v>3</v>
      </c>
      <c r="C35" s="80">
        <v>607.81922434697947</v>
      </c>
      <c r="D35" s="80">
        <v>593.00593686028037</v>
      </c>
      <c r="E35" s="81">
        <v>527.09541207708799</v>
      </c>
      <c r="F35" s="22" t="s">
        <v>240</v>
      </c>
      <c r="G35" s="23">
        <v>-13.280891593486274</v>
      </c>
      <c r="H35" s="24">
        <v>-11.114648384830886</v>
      </c>
    </row>
    <row r="36" spans="1:9" ht="12.75" customHeight="1" x14ac:dyDescent="0.2">
      <c r="A36" s="206"/>
      <c r="B36" s="25" t="s">
        <v>241</v>
      </c>
      <c r="C36" s="82">
        <v>262.93120032699858</v>
      </c>
      <c r="D36" s="82">
        <v>246.51905838508475</v>
      </c>
      <c r="E36" s="82">
        <v>222.00533916257518</v>
      </c>
      <c r="F36" s="27"/>
      <c r="G36" s="28">
        <v>-15.565235739815321</v>
      </c>
      <c r="H36" s="29">
        <v>-9.943944854850514</v>
      </c>
    </row>
    <row r="37" spans="1:9" x14ac:dyDescent="0.2">
      <c r="A37" s="30" t="s">
        <v>12</v>
      </c>
      <c r="B37" s="31" t="s">
        <v>3</v>
      </c>
      <c r="C37" s="80">
        <v>5.9674288797066719</v>
      </c>
      <c r="D37" s="80">
        <v>4.3967812578006065</v>
      </c>
      <c r="E37" s="83">
        <v>7.1279763911477279</v>
      </c>
      <c r="F37" s="22" t="s">
        <v>240</v>
      </c>
      <c r="G37" s="32">
        <v>19.448032558673773</v>
      </c>
      <c r="H37" s="33">
        <v>62.118058033966008</v>
      </c>
    </row>
    <row r="38" spans="1:9" x14ac:dyDescent="0.2">
      <c r="A38" s="34"/>
      <c r="B38" s="25" t="s">
        <v>241</v>
      </c>
      <c r="C38" s="82">
        <v>2.0926259822389812</v>
      </c>
      <c r="D38" s="82">
        <v>1.8905072658898956</v>
      </c>
      <c r="E38" s="82">
        <v>2.8500215397366016</v>
      </c>
      <c r="F38" s="27"/>
      <c r="G38" s="35">
        <v>36.193546478250909</v>
      </c>
      <c r="H38" s="29">
        <v>50.754328806826635</v>
      </c>
    </row>
    <row r="39" spans="1:9" x14ac:dyDescent="0.2">
      <c r="A39" s="30" t="s">
        <v>18</v>
      </c>
      <c r="B39" s="31" t="s">
        <v>3</v>
      </c>
      <c r="C39" s="80">
        <v>26.560843062390408</v>
      </c>
      <c r="D39" s="80">
        <v>32.676635325528295</v>
      </c>
      <c r="E39" s="83">
        <v>37.936063503040067</v>
      </c>
      <c r="F39" s="22" t="s">
        <v>240</v>
      </c>
      <c r="G39" s="37">
        <v>42.827030805948823</v>
      </c>
      <c r="H39" s="33">
        <v>16.095378624869909</v>
      </c>
    </row>
    <row r="40" spans="1:9" x14ac:dyDescent="0.2">
      <c r="A40" s="34"/>
      <c r="B40" s="25" t="s">
        <v>241</v>
      </c>
      <c r="C40" s="82">
        <v>12.742622922121797</v>
      </c>
      <c r="D40" s="82">
        <v>14.287668002132875</v>
      </c>
      <c r="E40" s="82">
        <v>17.092133634853013</v>
      </c>
      <c r="F40" s="27"/>
      <c r="G40" s="28">
        <v>34.133558995772063</v>
      </c>
      <c r="H40" s="29">
        <v>19.628575022190347</v>
      </c>
    </row>
    <row r="41" spans="1:9" x14ac:dyDescent="0.2">
      <c r="A41" s="30" t="s">
        <v>63</v>
      </c>
      <c r="B41" s="31" t="s">
        <v>3</v>
      </c>
      <c r="C41" s="80">
        <v>71.392452973212698</v>
      </c>
      <c r="D41" s="80">
        <v>55.697563804012262</v>
      </c>
      <c r="E41" s="83">
        <v>57.161958476233899</v>
      </c>
      <c r="F41" s="22" t="s">
        <v>240</v>
      </c>
      <c r="G41" s="23">
        <v>-19.932771468600819</v>
      </c>
      <c r="H41" s="24">
        <v>2.6291898104817051</v>
      </c>
    </row>
    <row r="42" spans="1:9" x14ac:dyDescent="0.2">
      <c r="A42" s="34"/>
      <c r="B42" s="25" t="s">
        <v>241</v>
      </c>
      <c r="C42" s="82">
        <v>33.847786736143242</v>
      </c>
      <c r="D42" s="82">
        <v>21.456072476178001</v>
      </c>
      <c r="E42" s="82">
        <v>23.488008022757338</v>
      </c>
      <c r="F42" s="27"/>
      <c r="G42" s="38">
        <v>-30.606960490930874</v>
      </c>
      <c r="H42" s="24">
        <v>9.4702119823436135</v>
      </c>
    </row>
    <row r="43" spans="1:9" x14ac:dyDescent="0.2">
      <c r="A43" s="30" t="s">
        <v>52</v>
      </c>
      <c r="B43" s="31" t="s">
        <v>3</v>
      </c>
      <c r="C43" s="80">
        <v>339.77249401097203</v>
      </c>
      <c r="D43" s="80">
        <v>365.06667916418689</v>
      </c>
      <c r="E43" s="83">
        <v>317.8182535636646</v>
      </c>
      <c r="F43" s="22" t="s">
        <v>240</v>
      </c>
      <c r="G43" s="37">
        <v>-6.4614531294574107</v>
      </c>
      <c r="H43" s="33">
        <v>-12.94240978352137</v>
      </c>
    </row>
    <row r="44" spans="1:9" x14ac:dyDescent="0.2">
      <c r="A44" s="34"/>
      <c r="B44" s="25" t="s">
        <v>241</v>
      </c>
      <c r="C44" s="82">
        <v>146.89231790705142</v>
      </c>
      <c r="D44" s="82">
        <v>148.09125566942447</v>
      </c>
      <c r="E44" s="82">
        <v>131.63145917281929</v>
      </c>
      <c r="F44" s="27"/>
      <c r="G44" s="28">
        <v>-10.389146928628833</v>
      </c>
      <c r="H44" s="29">
        <v>-11.114630922805759</v>
      </c>
    </row>
    <row r="45" spans="1:9" x14ac:dyDescent="0.2">
      <c r="A45" s="30" t="s">
        <v>50</v>
      </c>
      <c r="B45" s="31" t="s">
        <v>3</v>
      </c>
      <c r="C45" s="80">
        <v>164.12600542069765</v>
      </c>
      <c r="D45" s="80">
        <v>135.16827730875235</v>
      </c>
      <c r="E45" s="83">
        <v>107.71230325773831</v>
      </c>
      <c r="F45" s="22" t="s">
        <v>240</v>
      </c>
      <c r="G45" s="37">
        <v>-34.372189841796455</v>
      </c>
      <c r="H45" s="33">
        <v>-20.312439129707116</v>
      </c>
    </row>
    <row r="46" spans="1:9" ht="13.5" thickBot="1" x14ac:dyDescent="0.25">
      <c r="A46" s="56"/>
      <c r="B46" s="42" t="s">
        <v>241</v>
      </c>
      <c r="C46" s="86">
        <v>67.355846779443169</v>
      </c>
      <c r="D46" s="86">
        <v>60.793554971459557</v>
      </c>
      <c r="E46" s="86">
        <v>46.943716792408907</v>
      </c>
      <c r="F46" s="44"/>
      <c r="G46" s="57">
        <v>-30.304911842135724</v>
      </c>
      <c r="H46" s="46">
        <v>-22.781754061845319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25</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64</v>
      </c>
      <c r="B7" s="19" t="s">
        <v>3</v>
      </c>
      <c r="C7" s="20">
        <v>11603.98</v>
      </c>
      <c r="D7" s="20">
        <v>11455.784425960001</v>
      </c>
      <c r="E7" s="79">
        <v>11679.290502885066</v>
      </c>
      <c r="F7" s="22" t="s">
        <v>240</v>
      </c>
      <c r="G7" s="23">
        <v>0.64900579702020877</v>
      </c>
      <c r="H7" s="24">
        <v>1.9510324968980512</v>
      </c>
    </row>
    <row r="8" spans="1:8" ht="12.75" customHeight="1" x14ac:dyDescent="0.2">
      <c r="A8" s="206"/>
      <c r="B8" s="25" t="s">
        <v>241</v>
      </c>
      <c r="C8" s="26">
        <v>5601.33677102</v>
      </c>
      <c r="D8" s="26">
        <v>6032.47</v>
      </c>
      <c r="E8" s="26">
        <v>5969.2924722400003</v>
      </c>
      <c r="F8" s="27"/>
      <c r="G8" s="28">
        <v>6.5690694250650381</v>
      </c>
      <c r="H8" s="29">
        <v>-1.0472912050950924</v>
      </c>
    </row>
    <row r="9" spans="1:8" x14ac:dyDescent="0.2">
      <c r="A9" s="30" t="s">
        <v>53</v>
      </c>
      <c r="B9" s="31" t="s">
        <v>3</v>
      </c>
      <c r="C9" s="20">
        <v>2.2198000000000002</v>
      </c>
      <c r="D9" s="20">
        <v>2.2378442596000001</v>
      </c>
      <c r="E9" s="21">
        <v>43.397852079514777</v>
      </c>
      <c r="F9" s="22" t="s">
        <v>240</v>
      </c>
      <c r="G9" s="32">
        <v>1855.0343309989537</v>
      </c>
      <c r="H9" s="33">
        <v>1839.2704337375051</v>
      </c>
    </row>
    <row r="10" spans="1:8" x14ac:dyDescent="0.2">
      <c r="A10" s="34"/>
      <c r="B10" s="25" t="s">
        <v>241</v>
      </c>
      <c r="C10" s="26">
        <v>1.1033677101999999</v>
      </c>
      <c r="D10" s="26">
        <v>0.11470000000000001</v>
      </c>
      <c r="E10" s="26">
        <v>3.1729247223999999</v>
      </c>
      <c r="F10" s="27"/>
      <c r="G10" s="35">
        <v>187.56729901266237</v>
      </c>
      <c r="H10" s="29">
        <v>2666.2813621621622</v>
      </c>
    </row>
    <row r="11" spans="1:8" x14ac:dyDescent="0.2">
      <c r="A11" s="30" t="s">
        <v>54</v>
      </c>
      <c r="B11" s="31" t="s">
        <v>3</v>
      </c>
      <c r="C11" s="20">
        <v>760.09899999999993</v>
      </c>
      <c r="D11" s="20">
        <v>691.18922129800001</v>
      </c>
      <c r="E11" s="21">
        <v>455.71129044514225</v>
      </c>
      <c r="F11" s="22" t="s">
        <v>240</v>
      </c>
      <c r="G11" s="37">
        <v>-40.045797923014995</v>
      </c>
      <c r="H11" s="33">
        <v>-34.06851895211102</v>
      </c>
    </row>
    <row r="12" spans="1:8" x14ac:dyDescent="0.2">
      <c r="A12" s="34"/>
      <c r="B12" s="25" t="s">
        <v>241</v>
      </c>
      <c r="C12" s="26">
        <v>347.51683855099998</v>
      </c>
      <c r="D12" s="26">
        <v>393.57350000000002</v>
      </c>
      <c r="E12" s="26">
        <v>239.86462361199997</v>
      </c>
      <c r="F12" s="27"/>
      <c r="G12" s="28">
        <v>-30.977553602255583</v>
      </c>
      <c r="H12" s="29">
        <v>-39.054681371586256</v>
      </c>
    </row>
    <row r="13" spans="1:8" x14ac:dyDescent="0.2">
      <c r="A13" s="30" t="s">
        <v>66</v>
      </c>
      <c r="B13" s="31" t="s">
        <v>3</v>
      </c>
      <c r="C13" s="20">
        <v>60.439599999999999</v>
      </c>
      <c r="D13" s="20">
        <v>33.475688519199998</v>
      </c>
      <c r="E13" s="21">
        <v>43.670743052144317</v>
      </c>
      <c r="F13" s="22" t="s">
        <v>240</v>
      </c>
      <c r="G13" s="23">
        <v>-27.744817880753146</v>
      </c>
      <c r="H13" s="24">
        <v>30.455100354685584</v>
      </c>
    </row>
    <row r="14" spans="1:8" x14ac:dyDescent="0.2">
      <c r="A14" s="34"/>
      <c r="B14" s="25" t="s">
        <v>241</v>
      </c>
      <c r="C14" s="26">
        <v>41.206735420400001</v>
      </c>
      <c r="D14" s="26">
        <v>15.2294</v>
      </c>
      <c r="E14" s="26">
        <v>22.345849444800002</v>
      </c>
      <c r="F14" s="27"/>
      <c r="G14" s="38">
        <v>-45.771366702984771</v>
      </c>
      <c r="H14" s="24">
        <v>46.728363854124268</v>
      </c>
    </row>
    <row r="15" spans="1:8" x14ac:dyDescent="0.2">
      <c r="A15" s="30" t="s">
        <v>55</v>
      </c>
      <c r="B15" s="31" t="s">
        <v>3</v>
      </c>
      <c r="C15" s="20">
        <v>8522.5839999999989</v>
      </c>
      <c r="D15" s="20">
        <v>8374.0275407680001</v>
      </c>
      <c r="E15" s="21">
        <v>7887.3765013067305</v>
      </c>
      <c r="F15" s="22" t="s">
        <v>240</v>
      </c>
      <c r="G15" s="37">
        <v>-7.4532266117091694</v>
      </c>
      <c r="H15" s="33">
        <v>-5.8114334720307994</v>
      </c>
    </row>
    <row r="16" spans="1:8" x14ac:dyDescent="0.2">
      <c r="A16" s="34"/>
      <c r="B16" s="25" t="s">
        <v>241</v>
      </c>
      <c r="C16" s="26">
        <v>4158.2694168159996</v>
      </c>
      <c r="D16" s="26">
        <v>4395.1760000000004</v>
      </c>
      <c r="E16" s="26">
        <v>4037.8339777919996</v>
      </c>
      <c r="F16" s="27"/>
      <c r="G16" s="28">
        <v>-2.896287540604277</v>
      </c>
      <c r="H16" s="29">
        <v>-8.1303233865492643</v>
      </c>
    </row>
    <row r="17" spans="1:9" x14ac:dyDescent="0.2">
      <c r="A17" s="30" t="s">
        <v>67</v>
      </c>
      <c r="B17" s="31" t="s">
        <v>3</v>
      </c>
      <c r="C17" s="20">
        <v>805.09899999999993</v>
      </c>
      <c r="D17" s="20">
        <v>770.18922129800001</v>
      </c>
      <c r="E17" s="21">
        <v>1226.741914031076</v>
      </c>
      <c r="F17" s="22" t="s">
        <v>240</v>
      </c>
      <c r="G17" s="37">
        <v>52.371561016853349</v>
      </c>
      <c r="H17" s="33">
        <v>59.277990409116285</v>
      </c>
    </row>
    <row r="18" spans="1:9" x14ac:dyDescent="0.2">
      <c r="A18" s="30"/>
      <c r="B18" s="25" t="s">
        <v>241</v>
      </c>
      <c r="C18" s="26">
        <v>416.51683855099998</v>
      </c>
      <c r="D18" s="26">
        <v>430.57350000000002</v>
      </c>
      <c r="E18" s="26">
        <v>667.86462361200006</v>
      </c>
      <c r="F18" s="27"/>
      <c r="G18" s="28">
        <v>60.34516778130785</v>
      </c>
      <c r="H18" s="29">
        <v>55.110480234385079</v>
      </c>
    </row>
    <row r="19" spans="1:9" x14ac:dyDescent="0.2">
      <c r="A19" s="39" t="s">
        <v>56</v>
      </c>
      <c r="B19" s="31" t="s">
        <v>3</v>
      </c>
      <c r="C19" s="20">
        <v>97.219800000000006</v>
      </c>
      <c r="D19" s="20">
        <v>80.237844259599996</v>
      </c>
      <c r="E19" s="21">
        <v>108.7696710860853</v>
      </c>
      <c r="F19" s="22" t="s">
        <v>240</v>
      </c>
      <c r="G19" s="23">
        <v>11.880163388615571</v>
      </c>
      <c r="H19" s="24">
        <v>35.559064540884179</v>
      </c>
    </row>
    <row r="20" spans="1:9" x14ac:dyDescent="0.2">
      <c r="A20" s="34"/>
      <c r="B20" s="25" t="s">
        <v>241</v>
      </c>
      <c r="C20" s="26">
        <v>45.103367710199997</v>
      </c>
      <c r="D20" s="26">
        <v>49.114699999999999</v>
      </c>
      <c r="E20" s="26">
        <v>60.172924722399998</v>
      </c>
      <c r="F20" s="27"/>
      <c r="G20" s="38">
        <v>33.411157031611339</v>
      </c>
      <c r="H20" s="24">
        <v>22.515101837942609</v>
      </c>
    </row>
    <row r="21" spans="1:9" x14ac:dyDescent="0.2">
      <c r="A21" s="39" t="s">
        <v>68</v>
      </c>
      <c r="B21" s="31" t="s">
        <v>3</v>
      </c>
      <c r="C21" s="20">
        <v>9.2197999999999993</v>
      </c>
      <c r="D21" s="20">
        <v>2.2378442596000001</v>
      </c>
      <c r="E21" s="21">
        <v>27.227188709403148</v>
      </c>
      <c r="F21" s="22" t="s">
        <v>240</v>
      </c>
      <c r="G21" s="37">
        <v>195.31214027856515</v>
      </c>
      <c r="H21" s="33">
        <v>1116.6704002122931</v>
      </c>
    </row>
    <row r="22" spans="1:9" x14ac:dyDescent="0.2">
      <c r="A22" s="34"/>
      <c r="B22" s="25" t="s">
        <v>241</v>
      </c>
      <c r="C22" s="26">
        <v>4.1033677101999997</v>
      </c>
      <c r="D22" s="26">
        <v>3.1147</v>
      </c>
      <c r="E22" s="26">
        <v>22.172924722400001</v>
      </c>
      <c r="F22" s="27"/>
      <c r="G22" s="28">
        <v>440.35919489455853</v>
      </c>
      <c r="H22" s="29">
        <v>611.87994742350793</v>
      </c>
    </row>
    <row r="23" spans="1:9" x14ac:dyDescent="0.2">
      <c r="A23" s="30" t="s">
        <v>69</v>
      </c>
      <c r="B23" s="31" t="s">
        <v>3</v>
      </c>
      <c r="C23" s="20">
        <v>1367.0990000000002</v>
      </c>
      <c r="D23" s="20">
        <v>1525.1892212980001</v>
      </c>
      <c r="E23" s="21">
        <v>1799.573830149232</v>
      </c>
      <c r="F23" s="22" t="s">
        <v>240</v>
      </c>
      <c r="G23" s="23">
        <v>31.634492465376098</v>
      </c>
      <c r="H23" s="24">
        <v>17.990201151416414</v>
      </c>
    </row>
    <row r="24" spans="1:9" ht="13.5" thickBot="1" x14ac:dyDescent="0.25">
      <c r="A24" s="56"/>
      <c r="B24" s="42" t="s">
        <v>241</v>
      </c>
      <c r="C24" s="43">
        <v>726.51683855099998</v>
      </c>
      <c r="D24" s="43">
        <v>762.57349999999997</v>
      </c>
      <c r="E24" s="43">
        <v>917.86462361199995</v>
      </c>
      <c r="F24" s="44"/>
      <c r="G24" s="57">
        <v>26.337694449399578</v>
      </c>
      <c r="H24" s="46">
        <v>20.364086033936402</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64</v>
      </c>
      <c r="B35" s="19" t="s">
        <v>3</v>
      </c>
      <c r="C35" s="80">
        <v>1394.3954936555808</v>
      </c>
      <c r="D35" s="80">
        <v>1493.657688654961</v>
      </c>
      <c r="E35" s="81">
        <v>1609.3962658531734</v>
      </c>
      <c r="F35" s="22" t="s">
        <v>240</v>
      </c>
      <c r="G35" s="23">
        <v>15.418923338165811</v>
      </c>
      <c r="H35" s="24">
        <v>7.7486681237141539</v>
      </c>
    </row>
    <row r="36" spans="1:8" ht="12.75" customHeight="1" x14ac:dyDescent="0.2">
      <c r="A36" s="206"/>
      <c r="B36" s="25" t="s">
        <v>241</v>
      </c>
      <c r="C36" s="82">
        <v>651.86936651844542</v>
      </c>
      <c r="D36" s="82">
        <v>780.01778428583316</v>
      </c>
      <c r="E36" s="82">
        <v>808.89411421755631</v>
      </c>
      <c r="F36" s="27"/>
      <c r="G36" s="28">
        <v>24.088376561972979</v>
      </c>
      <c r="H36" s="29">
        <v>3.702009173824365</v>
      </c>
    </row>
    <row r="37" spans="1:8" x14ac:dyDescent="0.2">
      <c r="A37" s="30" t="s">
        <v>53</v>
      </c>
      <c r="B37" s="31" t="s">
        <v>3</v>
      </c>
      <c r="C37" s="80">
        <v>7.6027626367869916E-2</v>
      </c>
      <c r="D37" s="80">
        <v>7.4554924604123884E-2</v>
      </c>
      <c r="E37" s="83">
        <v>0.74213300598909315</v>
      </c>
      <c r="F37" s="22" t="s">
        <v>240</v>
      </c>
      <c r="G37" s="32">
        <v>876.1359672051085</v>
      </c>
      <c r="H37" s="33">
        <v>895.41782106241067</v>
      </c>
    </row>
    <row r="38" spans="1:8" x14ac:dyDescent="0.2">
      <c r="A38" s="34"/>
      <c r="B38" s="25" t="s">
        <v>241</v>
      </c>
      <c r="C38" s="82">
        <v>9.3859808608034265E-2</v>
      </c>
      <c r="D38" s="82">
        <v>3.9471274213273469E-2</v>
      </c>
      <c r="E38" s="82">
        <v>0.48529819764501619</v>
      </c>
      <c r="F38" s="27"/>
      <c r="G38" s="35">
        <v>417.04579930655791</v>
      </c>
      <c r="H38" s="29">
        <v>1129.49716551542</v>
      </c>
    </row>
    <row r="39" spans="1:8" x14ac:dyDescent="0.2">
      <c r="A39" s="30" t="s">
        <v>54</v>
      </c>
      <c r="B39" s="31" t="s">
        <v>3</v>
      </c>
      <c r="C39" s="80">
        <v>71.708466618889048</v>
      </c>
      <c r="D39" s="80">
        <v>80.071126986024154</v>
      </c>
      <c r="E39" s="83">
        <v>80.355009252409857</v>
      </c>
      <c r="F39" s="22" t="s">
        <v>240</v>
      </c>
      <c r="G39" s="37">
        <v>12.057910371274332</v>
      </c>
      <c r="H39" s="33">
        <v>0.3545376180795472</v>
      </c>
    </row>
    <row r="40" spans="1:8" x14ac:dyDescent="0.2">
      <c r="A40" s="34"/>
      <c r="B40" s="25" t="s">
        <v>241</v>
      </c>
      <c r="C40" s="82">
        <v>28.860446835406279</v>
      </c>
      <c r="D40" s="82">
        <v>39.046400114620809</v>
      </c>
      <c r="E40" s="82">
        <v>36.602676871474728</v>
      </c>
      <c r="F40" s="27"/>
      <c r="G40" s="28">
        <v>26.826438551776704</v>
      </c>
      <c r="H40" s="29">
        <v>-6.258510991980117</v>
      </c>
    </row>
    <row r="41" spans="1:8" x14ac:dyDescent="0.2">
      <c r="A41" s="30" t="s">
        <v>66</v>
      </c>
      <c r="B41" s="31" t="s">
        <v>3</v>
      </c>
      <c r="C41" s="80">
        <v>16.64490997612884</v>
      </c>
      <c r="D41" s="80">
        <v>9.5388551292949231</v>
      </c>
      <c r="E41" s="83">
        <v>10.027303916377695</v>
      </c>
      <c r="F41" s="22" t="s">
        <v>240</v>
      </c>
      <c r="G41" s="23">
        <v>-39.757535902817921</v>
      </c>
      <c r="H41" s="24">
        <v>5.1206227630262475</v>
      </c>
    </row>
    <row r="42" spans="1:8" x14ac:dyDescent="0.2">
      <c r="A42" s="34"/>
      <c r="B42" s="25" t="s">
        <v>241</v>
      </c>
      <c r="C42" s="82">
        <v>6.0201752652114076</v>
      </c>
      <c r="D42" s="82">
        <v>5.8633258242886912</v>
      </c>
      <c r="E42" s="82">
        <v>4.9981659533526335</v>
      </c>
      <c r="F42" s="27"/>
      <c r="G42" s="38">
        <v>-16.976404620055277</v>
      </c>
      <c r="H42" s="24">
        <v>-14.755445916925737</v>
      </c>
    </row>
    <row r="43" spans="1:8" x14ac:dyDescent="0.2">
      <c r="A43" s="30" t="s">
        <v>55</v>
      </c>
      <c r="B43" s="31" t="s">
        <v>3</v>
      </c>
      <c r="C43" s="80">
        <v>931.02751570303542</v>
      </c>
      <c r="D43" s="80">
        <v>1016.3953384194397</v>
      </c>
      <c r="E43" s="83">
        <v>1043.8259537291706</v>
      </c>
      <c r="F43" s="22" t="s">
        <v>240</v>
      </c>
      <c r="G43" s="37">
        <v>12.115478449738305</v>
      </c>
      <c r="H43" s="33">
        <v>2.6988135691754707</v>
      </c>
    </row>
    <row r="44" spans="1:8" x14ac:dyDescent="0.2">
      <c r="A44" s="34"/>
      <c r="B44" s="25" t="s">
        <v>241</v>
      </c>
      <c r="C44" s="82">
        <v>433.30795108952168</v>
      </c>
      <c r="D44" s="82">
        <v>533.61240681593347</v>
      </c>
      <c r="E44" s="82">
        <v>525.57976755916127</v>
      </c>
      <c r="F44" s="27"/>
      <c r="G44" s="28">
        <v>21.294743435385556</v>
      </c>
      <c r="H44" s="29">
        <v>-1.5053321763455472</v>
      </c>
    </row>
    <row r="45" spans="1:8" x14ac:dyDescent="0.2">
      <c r="A45" s="30" t="s">
        <v>67</v>
      </c>
      <c r="B45" s="31" t="s">
        <v>3</v>
      </c>
      <c r="C45" s="80">
        <v>211.08535407145368</v>
      </c>
      <c r="D45" s="80">
        <v>210.54857297526399</v>
      </c>
      <c r="E45" s="83">
        <v>265.43911390398364</v>
      </c>
      <c r="F45" s="22" t="s">
        <v>240</v>
      </c>
      <c r="G45" s="37">
        <v>25.74965945488141</v>
      </c>
      <c r="H45" s="33">
        <v>26.070250751672575</v>
      </c>
    </row>
    <row r="46" spans="1:8" x14ac:dyDescent="0.2">
      <c r="A46" s="30"/>
      <c r="B46" s="25" t="s">
        <v>241</v>
      </c>
      <c r="C46" s="82">
        <v>100.09802788603623</v>
      </c>
      <c r="D46" s="82">
        <v>113.90666376221562</v>
      </c>
      <c r="E46" s="82">
        <v>137.16253209327994</v>
      </c>
      <c r="F46" s="27"/>
      <c r="G46" s="28">
        <v>37.028206239430034</v>
      </c>
      <c r="H46" s="29">
        <v>20.416600366429677</v>
      </c>
    </row>
    <row r="47" spans="1:8" x14ac:dyDescent="0.2">
      <c r="A47" s="39" t="s">
        <v>56</v>
      </c>
      <c r="B47" s="31" t="s">
        <v>3</v>
      </c>
      <c r="C47" s="80">
        <v>13.040535450521409</v>
      </c>
      <c r="D47" s="80">
        <v>11.505510489894391</v>
      </c>
      <c r="E47" s="83">
        <v>14.422010495735444</v>
      </c>
      <c r="F47" s="22" t="s">
        <v>240</v>
      </c>
      <c r="G47" s="23">
        <v>10.593698782198373</v>
      </c>
      <c r="H47" s="24">
        <v>25.34872319140203</v>
      </c>
    </row>
    <row r="48" spans="1:8" x14ac:dyDescent="0.2">
      <c r="A48" s="34"/>
      <c r="B48" s="25" t="s">
        <v>241</v>
      </c>
      <c r="C48" s="82">
        <v>7.1245277945487633</v>
      </c>
      <c r="D48" s="82">
        <v>6.8085556163189409</v>
      </c>
      <c r="E48" s="82">
        <v>8.3042719575253408</v>
      </c>
      <c r="F48" s="27"/>
      <c r="G48" s="38">
        <v>16.558910246363865</v>
      </c>
      <c r="H48" s="24">
        <v>21.968188636388959</v>
      </c>
    </row>
    <row r="49" spans="1:9" x14ac:dyDescent="0.2">
      <c r="A49" s="39" t="s">
        <v>68</v>
      </c>
      <c r="B49" s="31" t="s">
        <v>3</v>
      </c>
      <c r="C49" s="80">
        <v>3.8139490570951859</v>
      </c>
      <c r="D49" s="80">
        <v>2.3011466640619331</v>
      </c>
      <c r="E49" s="83">
        <v>2.4230397066603953</v>
      </c>
      <c r="F49" s="22" t="s">
        <v>240</v>
      </c>
      <c r="G49" s="37">
        <v>-36.469007047885107</v>
      </c>
      <c r="H49" s="33">
        <v>5.2970566588441272</v>
      </c>
    </row>
    <row r="50" spans="1:9" x14ac:dyDescent="0.2">
      <c r="A50" s="34"/>
      <c r="B50" s="25" t="s">
        <v>241</v>
      </c>
      <c r="C50" s="82">
        <v>2.6817687531559082</v>
      </c>
      <c r="D50" s="82">
        <v>1.9742077950144776</v>
      </c>
      <c r="E50" s="82">
        <v>1.9366826064608551</v>
      </c>
      <c r="F50" s="27"/>
      <c r="G50" s="28">
        <v>-27.783385342909781</v>
      </c>
      <c r="H50" s="29">
        <v>-1.9007719779237959</v>
      </c>
    </row>
    <row r="51" spans="1:9" x14ac:dyDescent="0.2">
      <c r="A51" s="30" t="s">
        <v>69</v>
      </c>
      <c r="B51" s="31" t="s">
        <v>3</v>
      </c>
      <c r="C51" s="80">
        <v>146.99873515208913</v>
      </c>
      <c r="D51" s="80">
        <v>163.22258306637772</v>
      </c>
      <c r="E51" s="83">
        <v>192.01166050711728</v>
      </c>
      <c r="F51" s="22" t="s">
        <v>240</v>
      </c>
      <c r="G51" s="23">
        <v>30.621301134636639</v>
      </c>
      <c r="H51" s="24">
        <v>17.637925402168108</v>
      </c>
    </row>
    <row r="52" spans="1:9" ht="13.5" thickBot="1" x14ac:dyDescent="0.25">
      <c r="A52" s="56"/>
      <c r="B52" s="42" t="s">
        <v>241</v>
      </c>
      <c r="C52" s="86">
        <v>73.682609085957267</v>
      </c>
      <c r="D52" s="86">
        <v>78.76675308322784</v>
      </c>
      <c r="E52" s="86">
        <v>93.82471897865679</v>
      </c>
      <c r="F52" s="44"/>
      <c r="G52" s="57">
        <v>27.336314691573932</v>
      </c>
      <c r="H52" s="46">
        <v>19.11715959589975</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08">
        <v>26</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2. kvartal 2022</v>
      </c>
      <c r="G53" s="201"/>
      <c r="H53" s="54" t="str">
        <f>+Innhold!B124</f>
        <v>Skadestatistikk for landbasert forsikring 2. kvartal 2022</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232</v>
      </c>
      <c r="B48" s="73"/>
      <c r="C48" s="73"/>
      <c r="D48" s="73"/>
      <c r="E48" s="73"/>
      <c r="F48" s="73"/>
      <c r="G48" s="73"/>
      <c r="M48" s="77"/>
    </row>
    <row r="49" spans="1:13" ht="15.6" customHeight="1" x14ac:dyDescent="0.25">
      <c r="A49" s="148" t="s">
        <v>233</v>
      </c>
      <c r="B49" s="73"/>
      <c r="C49" s="73"/>
      <c r="D49" s="73"/>
      <c r="E49" s="73"/>
      <c r="F49" s="73"/>
      <c r="G49" s="73"/>
      <c r="M49" s="77"/>
    </row>
    <row r="50" spans="1:13" ht="15.6" customHeight="1" x14ac:dyDescent="0.2">
      <c r="A50" s="149" t="s">
        <v>234</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2. kvartal 2022</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2"/>
  <sheetViews>
    <sheetView showGridLines="0" showRowColHeaders="0" zoomScaleNormal="100" workbookViewId="0"/>
  </sheetViews>
  <sheetFormatPr defaultColWidth="11.42578125" defaultRowHeight="12.75" x14ac:dyDescent="0.2"/>
  <cols>
    <col min="1" max="1" width="26.42578125" style="168" customWidth="1"/>
    <col min="2" max="2" width="8.140625" style="168" customWidth="1"/>
    <col min="3" max="4" width="10.42578125" style="168" customWidth="1"/>
    <col min="5" max="5" width="9.85546875" style="168" customWidth="1"/>
    <col min="6" max="6" width="1.5703125" style="168" customWidth="1"/>
    <col min="7" max="7" width="7.5703125" style="168" customWidth="1"/>
    <col min="8" max="8" width="2.140625" style="168" customWidth="1"/>
    <col min="9" max="21" width="11.42578125" style="168" customWidth="1"/>
    <col min="22" max="22" width="12.5703125" style="168" customWidth="1"/>
    <col min="23" max="29" width="11.42578125" style="168"/>
    <col min="30" max="30" width="5.42578125" style="168" customWidth="1"/>
    <col min="31" max="36" width="11.42578125" style="168"/>
    <col min="37" max="16384" width="11.42578125" style="1"/>
  </cols>
  <sheetData>
    <row r="1" spans="1:36" ht="5.2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2">
      <c r="A2" s="146" t="s">
        <v>0</v>
      </c>
      <c r="B2" s="2"/>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6" customHeight="1" x14ac:dyDescent="0.25">
      <c r="A3" s="147"/>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2.75" customHeight="1" x14ac:dyDescent="0.2">
      <c r="A4" s="202" t="s">
        <v>90</v>
      </c>
      <c r="B4" s="2"/>
      <c r="C4" s="2"/>
      <c r="D4" s="2"/>
      <c r="E4" s="2"/>
      <c r="F4" s="2"/>
      <c r="G4" s="2"/>
      <c r="H4" s="67"/>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2.75" customHeight="1" x14ac:dyDescent="0.2">
      <c r="A5" s="202"/>
      <c r="B5" s="2"/>
      <c r="C5" s="2"/>
      <c r="D5" s="2"/>
      <c r="E5" s="2"/>
      <c r="F5" s="2"/>
      <c r="G5" s="2"/>
      <c r="H5" s="67"/>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J6" s="1"/>
      <c r="K6" s="1"/>
      <c r="L6" s="1"/>
      <c r="M6" s="1"/>
      <c r="N6" s="1"/>
      <c r="O6" s="1"/>
      <c r="P6" s="4" t="s">
        <v>182</v>
      </c>
      <c r="Q6" s="1"/>
      <c r="R6" s="1"/>
      <c r="S6" s="1"/>
      <c r="T6" s="1"/>
      <c r="U6" s="1"/>
      <c r="V6" s="1"/>
      <c r="W6" s="4" t="str">
        <f>"Figur 7. Antall meldte skader i de Brann-kombinerte bransjer etter skadetype "&amp;'Tab3'!H63</f>
        <v xml:space="preserve">Figur 7. Antall meldte skader i de Brann-kombinerte bransjer etter skadetype </v>
      </c>
      <c r="X6" s="4"/>
      <c r="Y6" s="1"/>
      <c r="Z6" s="1"/>
      <c r="AA6" s="1"/>
      <c r="AB6" s="1"/>
      <c r="AC6" s="1"/>
      <c r="AD6" s="1"/>
      <c r="AE6" s="4" t="str">
        <f>"Figur 9. Brannskader pr. kvartal"</f>
        <v>Figur 9. Brannskader pr. kvartal</v>
      </c>
      <c r="AF6" s="1"/>
      <c r="AG6" s="1"/>
      <c r="AH6" s="1"/>
      <c r="AI6" s="1"/>
      <c r="AJ6" s="1"/>
    </row>
    <row r="7" spans="1:36" ht="15.75" x14ac:dyDescent="0.25">
      <c r="A7" s="147"/>
      <c r="B7" s="2"/>
      <c r="C7" s="2"/>
      <c r="D7" s="2"/>
      <c r="E7" s="2"/>
      <c r="F7" s="2"/>
      <c r="G7" s="2"/>
      <c r="H7" s="67"/>
      <c r="I7" s="1"/>
      <c r="J7" s="1"/>
      <c r="K7" s="1"/>
      <c r="L7" s="1"/>
      <c r="M7" s="1"/>
      <c r="N7" s="1"/>
      <c r="O7" s="1"/>
      <c r="P7" s="1"/>
      <c r="Q7" s="1"/>
      <c r="R7" s="1"/>
      <c r="S7" s="1"/>
      <c r="T7" s="1"/>
      <c r="U7" s="1"/>
      <c r="V7" s="88"/>
      <c r="W7" s="1"/>
      <c r="X7" s="1"/>
      <c r="Y7" s="1"/>
      <c r="Z7" s="1"/>
      <c r="AA7" s="1"/>
      <c r="AB7" s="1"/>
      <c r="AC7" s="1"/>
      <c r="AD7" s="1"/>
      <c r="AE7" s="1"/>
      <c r="AF7" s="1"/>
      <c r="AG7" s="1"/>
      <c r="AH7" s="1"/>
      <c r="AI7" s="1"/>
      <c r="AJ7" s="88"/>
    </row>
    <row r="8" spans="1:36" ht="15.75" x14ac:dyDescent="0.25">
      <c r="A8" s="147"/>
      <c r="B8" s="2"/>
      <c r="C8" s="2"/>
      <c r="D8" s="2"/>
      <c r="E8" s="2"/>
      <c r="F8" s="2"/>
      <c r="G8" s="2"/>
      <c r="H8" s="67"/>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5.75" x14ac:dyDescent="0.25">
      <c r="A9" s="147"/>
      <c r="B9" s="2"/>
      <c r="C9" s="2"/>
      <c r="D9" s="2"/>
      <c r="E9" s="2"/>
      <c r="F9" s="2"/>
      <c r="G9" s="2"/>
      <c r="H9" s="67"/>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15.75" x14ac:dyDescent="0.25">
      <c r="A10" s="147"/>
      <c r="B10" s="2"/>
      <c r="C10" s="2"/>
      <c r="D10" s="2"/>
      <c r="E10" s="2"/>
      <c r="F10" s="2"/>
      <c r="G10" s="2"/>
      <c r="H10" s="67"/>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5.75" x14ac:dyDescent="0.25">
      <c r="A11" s="147"/>
      <c r="B11" s="2"/>
      <c r="C11" s="2"/>
      <c r="D11" s="2"/>
      <c r="E11" s="2"/>
      <c r="F11" s="2"/>
      <c r="G11" s="2"/>
      <c r="H11" s="6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ht="15.75" x14ac:dyDescent="0.25">
      <c r="A12" s="147"/>
      <c r="B12" s="2"/>
      <c r="C12" s="2"/>
      <c r="D12" s="2"/>
      <c r="E12" s="2"/>
      <c r="F12" s="2"/>
      <c r="G12" s="2"/>
      <c r="H12" s="6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5.75" x14ac:dyDescent="0.25">
      <c r="A13" s="147"/>
      <c r="B13" s="2"/>
      <c r="C13" s="2"/>
      <c r="D13" s="2"/>
      <c r="E13" s="2"/>
      <c r="F13" s="2"/>
      <c r="G13" s="2"/>
      <c r="H13" s="67"/>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5.75" x14ac:dyDescent="0.25">
      <c r="A14" s="147"/>
      <c r="B14" s="2"/>
      <c r="C14" s="2"/>
      <c r="D14" s="2"/>
      <c r="E14" s="2"/>
      <c r="F14" s="2"/>
      <c r="G14" s="2"/>
      <c r="H14" s="67"/>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5.75" x14ac:dyDescent="0.25">
      <c r="A15" s="147"/>
      <c r="B15" s="2"/>
      <c r="C15" s="2"/>
      <c r="D15" s="2"/>
      <c r="E15" s="2"/>
      <c r="F15" s="2"/>
      <c r="G15" s="2"/>
      <c r="H15" s="67"/>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5.75" x14ac:dyDescent="0.25">
      <c r="A16" s="147"/>
      <c r="B16" s="2"/>
      <c r="C16" s="2"/>
      <c r="D16" s="2"/>
      <c r="E16" s="2"/>
      <c r="F16" s="2"/>
      <c r="G16" s="2"/>
      <c r="H16" s="6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1" s="1" customFormat="1" ht="15.75" x14ac:dyDescent="0.25">
      <c r="A17" s="147"/>
      <c r="B17" s="2"/>
      <c r="C17" s="2"/>
      <c r="D17" s="2"/>
      <c r="E17" s="2"/>
      <c r="F17" s="2"/>
      <c r="G17" s="2"/>
      <c r="H17" s="67"/>
    </row>
    <row r="18" spans="1:31" s="1" customFormat="1" ht="15.75" x14ac:dyDescent="0.25">
      <c r="A18" s="147"/>
      <c r="B18" s="2"/>
      <c r="C18" s="2"/>
      <c r="D18" s="2"/>
      <c r="E18" s="2"/>
      <c r="F18" s="2"/>
      <c r="G18" s="2"/>
      <c r="H18" s="67"/>
    </row>
    <row r="19" spans="1:31" s="1" customFormat="1" ht="15.75" x14ac:dyDescent="0.25">
      <c r="A19" s="147"/>
      <c r="B19" s="2"/>
      <c r="C19" s="2"/>
      <c r="D19" s="2"/>
      <c r="E19" s="2"/>
      <c r="F19" s="2"/>
      <c r="G19" s="2"/>
      <c r="H19" s="67"/>
    </row>
    <row r="20" spans="1:31" s="1" customFormat="1" ht="15.75" x14ac:dyDescent="0.25">
      <c r="A20" s="147"/>
      <c r="B20" s="2"/>
      <c r="C20" s="2"/>
      <c r="D20" s="2"/>
      <c r="E20" s="2"/>
      <c r="F20" s="2"/>
      <c r="G20" s="2"/>
      <c r="H20" s="67"/>
    </row>
    <row r="21" spans="1:31" s="1" customFormat="1" ht="15.75" x14ac:dyDescent="0.25">
      <c r="A21" s="147"/>
      <c r="B21" s="2"/>
      <c r="C21" s="2"/>
      <c r="D21" s="2"/>
      <c r="E21" s="2"/>
      <c r="F21" s="2"/>
      <c r="G21" s="2"/>
      <c r="H21" s="67"/>
    </row>
    <row r="22" spans="1:31" s="1" customFormat="1" ht="15.75" x14ac:dyDescent="0.25">
      <c r="A22" s="147"/>
      <c r="B22" s="2"/>
      <c r="C22" s="2"/>
      <c r="D22" s="2"/>
      <c r="E22" s="2"/>
      <c r="F22" s="2"/>
      <c r="G22" s="2"/>
      <c r="H22" s="67"/>
    </row>
    <row r="23" spans="1:31" s="1" customFormat="1" ht="15.75" x14ac:dyDescent="0.25">
      <c r="A23" s="147"/>
      <c r="B23" s="2"/>
      <c r="C23" s="2"/>
      <c r="D23" s="2"/>
      <c r="E23" s="2"/>
      <c r="F23" s="2"/>
      <c r="G23" s="2"/>
      <c r="H23" s="67"/>
    </row>
    <row r="24" spans="1:31" s="1" customFormat="1" ht="15.75" x14ac:dyDescent="0.25">
      <c r="A24" s="147"/>
      <c r="B24" s="2"/>
      <c r="C24" s="2"/>
      <c r="D24" s="2"/>
      <c r="E24" s="2"/>
      <c r="F24" s="2"/>
      <c r="G24" s="2"/>
      <c r="H24" s="67"/>
    </row>
    <row r="25" spans="1:31" s="1" customFormat="1" ht="15.75" x14ac:dyDescent="0.25">
      <c r="A25" s="147"/>
      <c r="B25" s="2"/>
      <c r="C25" s="2"/>
      <c r="D25" s="2"/>
      <c r="E25" s="2"/>
      <c r="F25" s="2"/>
      <c r="G25" s="2"/>
      <c r="H25" s="67"/>
    </row>
    <row r="26" spans="1:31" s="1" customFormat="1" ht="15.75" x14ac:dyDescent="0.25">
      <c r="A26" s="147"/>
      <c r="B26" s="2"/>
      <c r="C26" s="2"/>
      <c r="D26" s="2"/>
      <c r="E26" s="2"/>
      <c r="F26" s="2"/>
      <c r="G26" s="2"/>
      <c r="H26" s="67"/>
    </row>
    <row r="27" spans="1:31" s="1" customFormat="1" ht="15.75" x14ac:dyDescent="0.25">
      <c r="A27" s="147"/>
      <c r="B27" s="2"/>
      <c r="C27" s="2"/>
      <c r="D27" s="2"/>
      <c r="E27" s="2"/>
      <c r="F27" s="2"/>
      <c r="G27" s="2"/>
      <c r="H27" s="67"/>
    </row>
    <row r="28" spans="1:31" s="1" customFormat="1" ht="15.75" x14ac:dyDescent="0.25">
      <c r="A28" s="147"/>
      <c r="B28" s="2"/>
      <c r="C28" s="2"/>
      <c r="D28" s="2"/>
      <c r="E28" s="2"/>
      <c r="F28" s="2"/>
      <c r="G28" s="2"/>
      <c r="H28" s="67"/>
    </row>
    <row r="29" spans="1:31" s="1" customFormat="1" ht="15.75" x14ac:dyDescent="0.25">
      <c r="A29" s="147"/>
      <c r="B29" s="2"/>
      <c r="C29" s="2"/>
      <c r="D29" s="2"/>
      <c r="E29" s="2"/>
      <c r="F29" s="2"/>
      <c r="G29" s="2"/>
      <c r="H29" s="67"/>
    </row>
    <row r="30" spans="1:31" s="1" customFormat="1" ht="15.75" x14ac:dyDescent="0.25">
      <c r="A30" s="147"/>
      <c r="B30" s="2"/>
      <c r="C30" s="2"/>
      <c r="D30" s="2"/>
      <c r="E30" s="2"/>
      <c r="F30" s="2"/>
      <c r="G30" s="2"/>
      <c r="H30" s="67"/>
    </row>
    <row r="31" spans="1:31" s="1" customFormat="1" ht="15.75" x14ac:dyDescent="0.25">
      <c r="A31" s="147"/>
      <c r="B31" s="2"/>
      <c r="C31" s="2"/>
      <c r="D31" s="2"/>
      <c r="E31" s="2"/>
      <c r="F31" s="2"/>
      <c r="G31" s="2"/>
      <c r="H31" s="67"/>
    </row>
    <row r="32" spans="1:31"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2022</v>
      </c>
      <c r="W32" s="4" t="str">
        <f>"Figur 8. Anslått erstatning i de Brann-kombinerte bransjer etter skadetype "&amp;'Tab3'!H63</f>
        <v xml:space="preserve">Figur 8. Anslått erstatning i de Brann-kombinerte bransjer etter skadetype </v>
      </c>
      <c r="AE32" s="4" t="str">
        <f>"Figur 10. Innbrudd, tyverier og ran pr. kvartal"</f>
        <v>Figur 10. Innbrudd, tyverier og ran pr. kvartal</v>
      </c>
    </row>
    <row r="33" spans="1:8" s="1" customFormat="1" ht="15.75" x14ac:dyDescent="0.25">
      <c r="A33" s="147"/>
      <c r="B33" s="2"/>
      <c r="C33" s="2"/>
      <c r="D33" s="2"/>
      <c r="E33" s="2"/>
      <c r="F33" s="2"/>
      <c r="G33" s="2"/>
      <c r="H33" s="67"/>
    </row>
    <row r="34" spans="1:8" s="1" customFormat="1" ht="15.75" x14ac:dyDescent="0.25">
      <c r="A34" s="147"/>
      <c r="B34" s="2"/>
      <c r="C34" s="2"/>
      <c r="D34" s="2"/>
      <c r="E34" s="2"/>
      <c r="F34" s="2"/>
      <c r="G34" s="2"/>
      <c r="H34" s="67"/>
    </row>
    <row r="35" spans="1:8" s="1" customFormat="1" ht="15.75" x14ac:dyDescent="0.25">
      <c r="A35" s="147"/>
      <c r="B35" s="2"/>
      <c r="C35" s="2"/>
      <c r="D35" s="2"/>
      <c r="E35" s="2"/>
      <c r="F35" s="2"/>
      <c r="G35" s="2"/>
      <c r="H35" s="67"/>
    </row>
    <row r="36" spans="1:8" s="1" customFormat="1" ht="15.75" x14ac:dyDescent="0.25">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x14ac:dyDescent="0.2">
      <c r="A49" s="47"/>
      <c r="B49" s="48"/>
      <c r="C49" s="49"/>
      <c r="D49" s="49"/>
      <c r="E49" s="97"/>
      <c r="F49" s="49"/>
      <c r="G49" s="50"/>
      <c r="H49" s="5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2">
      <c r="A50" s="47"/>
      <c r="B50" s="48"/>
      <c r="C50" s="49"/>
      <c r="D50" s="49"/>
      <c r="E50" s="49"/>
      <c r="F50" s="49"/>
      <c r="G50" s="50"/>
      <c r="H50" s="5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
      <c r="A51" s="47"/>
      <c r="B51" s="48"/>
      <c r="C51" s="49"/>
      <c r="D51" s="49"/>
      <c r="E51" s="49"/>
      <c r="F51" s="49"/>
      <c r="G51" s="50"/>
      <c r="H51" s="5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2">
      <c r="A52" s="47"/>
      <c r="B52" s="48"/>
      <c r="C52" s="49"/>
      <c r="D52" s="49"/>
      <c r="E52" s="49"/>
      <c r="F52" s="49"/>
      <c r="G52" s="50"/>
      <c r="H52" s="5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2">
      <c r="A53" s="47"/>
      <c r="B53" s="48"/>
      <c r="C53" s="49"/>
      <c r="D53" s="49"/>
      <c r="E53" s="49"/>
      <c r="F53" s="49"/>
      <c r="G53" s="50"/>
      <c r="H53" s="5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2">
      <c r="A54" s="47"/>
      <c r="B54" s="48"/>
      <c r="C54" s="49"/>
      <c r="D54" s="49"/>
      <c r="E54" s="49"/>
      <c r="F54" s="49"/>
      <c r="G54" s="50"/>
      <c r="H54" s="5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2">
      <c r="A55" s="47"/>
      <c r="B55" s="48"/>
      <c r="C55" s="49"/>
      <c r="D55" s="49"/>
      <c r="E55" s="49"/>
      <c r="F55" s="49"/>
      <c r="G55" s="50"/>
      <c r="H55" s="5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2">
      <c r="A56" s="47"/>
      <c r="B56" s="48"/>
      <c r="C56" s="49"/>
      <c r="D56" s="49"/>
      <c r="E56" s="49"/>
      <c r="F56" s="49"/>
      <c r="G56" s="50"/>
      <c r="H56" s="5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
      <c r="A57" s="47"/>
      <c r="B57" s="48"/>
      <c r="C57" s="49"/>
      <c r="D57" s="49"/>
      <c r="E57" s="49"/>
      <c r="F57" s="49"/>
      <c r="G57" s="50"/>
      <c r="H57" s="5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2">
      <c r="A58" s="47"/>
      <c r="B58" s="48"/>
      <c r="C58" s="49"/>
      <c r="D58" s="49"/>
      <c r="E58" s="49"/>
      <c r="F58" s="49"/>
      <c r="G58" s="50"/>
      <c r="H58" s="5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2">
      <c r="A59" s="47"/>
      <c r="B59" s="48"/>
      <c r="C59" s="49"/>
      <c r="D59" s="49"/>
      <c r="E59" s="49"/>
      <c r="F59" s="49"/>
      <c r="G59" s="50"/>
      <c r="H59" s="5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Skadeforsikringsstatistikk</v>
      </c>
      <c r="B61" s="1"/>
      <c r="C61" s="1"/>
      <c r="D61" s="1"/>
      <c r="E61" s="1"/>
      <c r="F61" s="1"/>
      <c r="G61" s="1"/>
      <c r="H61" s="200">
        <v>4</v>
      </c>
      <c r="I61" s="54" t="str">
        <f>+Innhold!B123</f>
        <v>Finans Norge / Skadeforsikringsstatistikk</v>
      </c>
      <c r="J61" s="1"/>
      <c r="K61" s="1"/>
      <c r="L61" s="1"/>
      <c r="M61" s="1"/>
      <c r="N61" s="1"/>
      <c r="O61" s="200">
        <v>5</v>
      </c>
      <c r="P61" s="54" t="str">
        <f>+Innhold!B123</f>
        <v>Finans Norge / Skadeforsikringsstatistikk</v>
      </c>
      <c r="Q61" s="1"/>
      <c r="R61" s="1"/>
      <c r="S61" s="1"/>
      <c r="T61" s="1"/>
      <c r="U61" s="1"/>
      <c r="V61" s="200">
        <v>6</v>
      </c>
      <c r="W61" s="54" t="str">
        <f>+Innhold!B123</f>
        <v>Finans Norge / Skadeforsikringsstatistikk</v>
      </c>
      <c r="X61" s="1"/>
      <c r="Y61" s="1"/>
      <c r="Z61" s="1"/>
      <c r="AA61" s="1"/>
      <c r="AB61" s="1"/>
      <c r="AC61" s="200">
        <v>7</v>
      </c>
      <c r="AD61" s="54" t="str">
        <f>+Innhold!B123</f>
        <v>Finans Norge / Skadeforsikringsstatistikk</v>
      </c>
      <c r="AE61" s="1"/>
      <c r="AF61" s="1"/>
      <c r="AG61" s="1"/>
      <c r="AH61" s="1"/>
      <c r="AI61" s="1"/>
      <c r="AJ61" s="200">
        <v>8</v>
      </c>
    </row>
    <row r="62" spans="1:36" x14ac:dyDescent="0.2">
      <c r="A62" s="54" t="str">
        <f>+Innhold!B124</f>
        <v>Skadestatistikk for landbasert forsikring 2. kvartal 2022</v>
      </c>
      <c r="B62" s="1"/>
      <c r="C62" s="1"/>
      <c r="D62" s="1"/>
      <c r="E62" s="1"/>
      <c r="F62" s="1"/>
      <c r="G62" s="1"/>
      <c r="H62" s="201"/>
      <c r="I62" s="54" t="str">
        <f>+Innhold!B124</f>
        <v>Skadestatistikk for landbasert forsikring 2. kvartal 2022</v>
      </c>
      <c r="J62" s="1"/>
      <c r="K62" s="1"/>
      <c r="L62" s="1"/>
      <c r="M62" s="1"/>
      <c r="N62" s="1"/>
      <c r="O62" s="201"/>
      <c r="P62" s="54" t="str">
        <f>+Innhold!B124</f>
        <v>Skadestatistikk for landbasert forsikring 2. kvartal 2022</v>
      </c>
      <c r="Q62" s="1"/>
      <c r="R62" s="1"/>
      <c r="S62" s="1"/>
      <c r="T62" s="1"/>
      <c r="U62" s="1"/>
      <c r="V62" s="201"/>
      <c r="W62" s="54" t="str">
        <f>+Innhold!B124</f>
        <v>Skadestatistikk for landbasert forsikring 2. kvartal 2022</v>
      </c>
      <c r="X62" s="1"/>
      <c r="Y62" s="1"/>
      <c r="Z62" s="1"/>
      <c r="AA62" s="1"/>
      <c r="AB62" s="1"/>
      <c r="AC62" s="201"/>
      <c r="AD62" s="54" t="str">
        <f>+Innhold!B124</f>
        <v>Skadestatistikk for landbasert forsikring 2. kvartal 2022</v>
      </c>
      <c r="AE62" s="1"/>
      <c r="AF62" s="1"/>
      <c r="AG62" s="1"/>
      <c r="AH62" s="1"/>
      <c r="AI62" s="1"/>
      <c r="AJ62" s="201"/>
    </row>
    <row r="67" spans="1:26" ht="12.75" customHeight="1" x14ac:dyDescent="0.2"/>
    <row r="68" spans="1:26" ht="12.75" customHeight="1" x14ac:dyDescent="0.2">
      <c r="M68" s="169" t="s">
        <v>177</v>
      </c>
      <c r="P68" s="169" t="s">
        <v>179</v>
      </c>
      <c r="S68" s="169" t="s">
        <v>178</v>
      </c>
    </row>
    <row r="69" spans="1:26" x14ac:dyDescent="0.2">
      <c r="A69" s="170" t="s">
        <v>183</v>
      </c>
      <c r="B69" s="171"/>
      <c r="C69" s="171"/>
      <c r="D69" s="171" t="s">
        <v>74</v>
      </c>
      <c r="E69" s="171"/>
      <c r="F69" s="171"/>
      <c r="G69" s="171"/>
      <c r="H69" s="170"/>
      <c r="I69" s="172">
        <v>154.90750000000003</v>
      </c>
      <c r="J69" s="173" t="s">
        <v>231</v>
      </c>
      <c r="M69" s="169" t="s">
        <v>161</v>
      </c>
      <c r="P69" s="169" t="s">
        <v>175</v>
      </c>
      <c r="S69" s="169" t="s">
        <v>176</v>
      </c>
      <c r="V69" s="170" t="s">
        <v>184</v>
      </c>
      <c r="W69" s="171"/>
      <c r="X69" s="171"/>
      <c r="Y69" s="171"/>
      <c r="Z69" s="171"/>
    </row>
    <row r="70" spans="1:26" x14ac:dyDescent="0.2">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75" t="str">
        <f>+'Tab3'!C6</f>
        <v>2020</v>
      </c>
      <c r="Y70" s="175" t="str">
        <f>+'Tab3'!D6</f>
        <v>2021</v>
      </c>
      <c r="Z70" s="175" t="str">
        <f>+'Tab3'!E6</f>
        <v>2022</v>
      </c>
    </row>
    <row r="71" spans="1:26" x14ac:dyDescent="0.2">
      <c r="A71" s="171">
        <v>1</v>
      </c>
      <c r="B71" s="171">
        <v>1983</v>
      </c>
      <c r="C71" s="171">
        <v>97</v>
      </c>
      <c r="D71" s="171">
        <v>78.3</v>
      </c>
      <c r="E71" s="171"/>
      <c r="F71" s="171"/>
      <c r="G71" s="171"/>
      <c r="I71" s="176">
        <v>53.8</v>
      </c>
      <c r="J71" s="168">
        <v>1</v>
      </c>
      <c r="K71" s="168">
        <v>1983</v>
      </c>
      <c r="L71" s="177">
        <v>11621</v>
      </c>
      <c r="M71" s="176">
        <v>80.900000000000006</v>
      </c>
      <c r="N71" s="176">
        <f t="shared" ref="N71:N102" si="0">M71/I71*$I$69</f>
        <v>232.93711431226771</v>
      </c>
      <c r="V71" s="171"/>
      <c r="W71" s="171"/>
      <c r="X71" s="171"/>
      <c r="Y71" s="171"/>
      <c r="Z71" s="171"/>
    </row>
    <row r="72" spans="1:26" x14ac:dyDescent="0.2">
      <c r="A72" s="171">
        <v>2</v>
      </c>
      <c r="B72" s="171"/>
      <c r="C72" s="171">
        <v>78.8</v>
      </c>
      <c r="D72" s="171">
        <v>61.3</v>
      </c>
      <c r="E72" s="171"/>
      <c r="F72" s="171"/>
      <c r="G72" s="171"/>
      <c r="I72" s="176">
        <v>54.7</v>
      </c>
      <c r="J72" s="168">
        <v>2</v>
      </c>
      <c r="L72" s="177">
        <v>11120</v>
      </c>
      <c r="M72" s="176">
        <v>68.900000000000006</v>
      </c>
      <c r="N72" s="176">
        <f t="shared" si="0"/>
        <v>195.12114716636202</v>
      </c>
      <c r="V72" s="171" t="s">
        <v>26</v>
      </c>
      <c r="W72" s="171"/>
      <c r="X72" s="178">
        <f>IF('Tab6'!C36="",'Tab6'!C35,'Tab6'!C36)</f>
        <v>7792.8489512579672</v>
      </c>
      <c r="Y72" s="178">
        <f>IF('Tab6'!D36="",'Tab6'!D35,'Tab6'!D36)</f>
        <v>8200.8739952118849</v>
      </c>
      <c r="Z72" s="178">
        <f>IF('Tab6'!E36="",'Tab6'!E35,'Tab6'!E36)</f>
        <v>9083.0625456222715</v>
      </c>
    </row>
    <row r="73" spans="1:26" x14ac:dyDescent="0.2">
      <c r="A73" s="171">
        <v>3</v>
      </c>
      <c r="B73" s="171"/>
      <c r="C73" s="171">
        <v>84.8</v>
      </c>
      <c r="D73" s="171">
        <v>63</v>
      </c>
      <c r="E73" s="171"/>
      <c r="F73" s="171"/>
      <c r="G73" s="171"/>
      <c r="I73" s="176">
        <v>55.3</v>
      </c>
      <c r="J73" s="168">
        <v>3</v>
      </c>
      <c r="L73" s="177">
        <v>11918</v>
      </c>
      <c r="M73" s="176">
        <v>63.7</v>
      </c>
      <c r="N73" s="176">
        <f t="shared" si="0"/>
        <v>178.43775316455702</v>
      </c>
      <c r="V73" s="171"/>
      <c r="W73" s="171"/>
      <c r="X73" s="178"/>
      <c r="Y73" s="178"/>
      <c r="Z73" s="178"/>
    </row>
    <row r="74" spans="1:26" x14ac:dyDescent="0.2">
      <c r="A74" s="171">
        <v>4</v>
      </c>
      <c r="B74" s="171"/>
      <c r="C74" s="171">
        <v>91.2</v>
      </c>
      <c r="D74" s="171">
        <v>70.8</v>
      </c>
      <c r="E74" s="171"/>
      <c r="F74" s="171"/>
      <c r="G74" s="171"/>
      <c r="I74" s="176">
        <v>56.2</v>
      </c>
      <c r="J74" s="168">
        <v>4</v>
      </c>
      <c r="L74" s="177">
        <v>11905</v>
      </c>
      <c r="M74" s="176">
        <v>79.3</v>
      </c>
      <c r="N74" s="176">
        <f t="shared" si="0"/>
        <v>218.57944395017796</v>
      </c>
      <c r="V74" s="171" t="s">
        <v>63</v>
      </c>
      <c r="W74" s="171"/>
      <c r="X74" s="178">
        <f>IF('Tab6'!C36="",'Tab6'!C45+'Tab6'!C47,'Tab6'!C46+'Tab6'!C48)</f>
        <v>101.86577125228786</v>
      </c>
      <c r="Y74" s="178">
        <f>IF('Tab6'!D36="",'Tab6'!D45+'Tab6'!D47,'Tab6'!D46+'Tab6'!D48)</f>
        <v>71.758625561753647</v>
      </c>
      <c r="Z74" s="178">
        <f>IF('Tab6'!E36="",'Tab6'!E45+'Tab6'!E47,'Tab6'!E46+'Tab6'!E48)</f>
        <v>95.154536782633059</v>
      </c>
    </row>
    <row r="75" spans="1:26" x14ac:dyDescent="0.2">
      <c r="A75" s="171">
        <v>1</v>
      </c>
      <c r="B75" s="171">
        <v>1984</v>
      </c>
      <c r="C75" s="171">
        <v>112.2</v>
      </c>
      <c r="D75" s="171">
        <v>90.4</v>
      </c>
      <c r="E75" s="171"/>
      <c r="F75" s="171"/>
      <c r="G75" s="171"/>
      <c r="I75" s="176">
        <v>57.3</v>
      </c>
      <c r="J75" s="168">
        <v>1</v>
      </c>
      <c r="K75" s="168">
        <v>1984</v>
      </c>
      <c r="L75" s="177">
        <v>13205</v>
      </c>
      <c r="M75" s="176">
        <v>86.7</v>
      </c>
      <c r="N75" s="176">
        <f t="shared" si="0"/>
        <v>234.3888350785341</v>
      </c>
      <c r="V75" s="171" t="s">
        <v>39</v>
      </c>
      <c r="W75" s="171"/>
      <c r="X75" s="178">
        <f>IF('Tab6'!C36="",'Tab6'!C49,'Tab6'!C50)</f>
        <v>892.47476714259221</v>
      </c>
      <c r="Y75" s="178">
        <f>IF('Tab6'!D36="",'Tab6'!D49,'Tab6'!D50)</f>
        <v>715.64034266029489</v>
      </c>
      <c r="Z75" s="178">
        <f>IF('Tab6'!E36="",'Tab6'!E49,'Tab6'!E50)</f>
        <v>837.08931377556712</v>
      </c>
    </row>
    <row r="76" spans="1:26" x14ac:dyDescent="0.2">
      <c r="A76" s="171">
        <v>2</v>
      </c>
      <c r="B76" s="171"/>
      <c r="C76" s="171">
        <v>81.8</v>
      </c>
      <c r="D76" s="171">
        <v>64.400000000000006</v>
      </c>
      <c r="E76" s="171"/>
      <c r="F76" s="171"/>
      <c r="G76" s="171"/>
      <c r="I76" s="176">
        <v>58.2</v>
      </c>
      <c r="J76" s="168">
        <v>2</v>
      </c>
      <c r="L76" s="177">
        <v>12453</v>
      </c>
      <c r="M76" s="176">
        <v>83.3</v>
      </c>
      <c r="N76" s="176">
        <f t="shared" si="0"/>
        <v>221.71468642611686</v>
      </c>
      <c r="V76" s="171" t="s">
        <v>18</v>
      </c>
      <c r="W76" s="171"/>
      <c r="X76" s="178">
        <f>IF('Tab6'!C36="",'Tab6'!C43,'Tab6'!C44)</f>
        <v>264.16874485668865</v>
      </c>
      <c r="Y76" s="178">
        <f>IF('Tab6'!D36="",'Tab6'!D43,'Tab6'!D44)</f>
        <v>151.6872075126567</v>
      </c>
      <c r="Z76" s="178">
        <f>IF('Tab6'!E36="",'Tab6'!E43,'Tab6'!E44)</f>
        <v>141.44494198822775</v>
      </c>
    </row>
    <row r="77" spans="1:26" x14ac:dyDescent="0.2">
      <c r="A77" s="171">
        <v>3</v>
      </c>
      <c r="B77" s="171"/>
      <c r="C77" s="171">
        <v>90.4</v>
      </c>
      <c r="D77" s="171">
        <v>71.099999999999994</v>
      </c>
      <c r="E77" s="171"/>
      <c r="F77" s="171"/>
      <c r="G77" s="171"/>
      <c r="I77" s="176">
        <v>58.7</v>
      </c>
      <c r="J77" s="168">
        <v>3</v>
      </c>
      <c r="L77" s="177">
        <v>12278</v>
      </c>
      <c r="M77" s="176">
        <v>83.3</v>
      </c>
      <c r="N77" s="176">
        <f t="shared" si="0"/>
        <v>219.82614565587735</v>
      </c>
      <c r="V77" s="171" t="s">
        <v>82</v>
      </c>
      <c r="W77" s="171"/>
      <c r="X77" s="178">
        <f>IF('Tab6'!C36="",'Tab6'!C37+'Tab6'!C39,'Tab6'!C38+'Tab6'!C40)</f>
        <v>670.14627801227562</v>
      </c>
      <c r="Y77" s="178">
        <f>IF('Tab6'!D36="",'Tab6'!D37+'Tab6'!D39,'Tab6'!D38+'Tab6'!D40)</f>
        <v>678.80503555767586</v>
      </c>
      <c r="Z77" s="178">
        <f>IF('Tab6'!E36="",'Tab6'!E37+'Tab6'!E39,'Tab6'!E38+'Tab6'!E40)</f>
        <v>813.88718165593161</v>
      </c>
    </row>
    <row r="78" spans="1:26" x14ac:dyDescent="0.2">
      <c r="A78" s="171">
        <v>4</v>
      </c>
      <c r="B78" s="171"/>
      <c r="C78" s="171">
        <v>92.9</v>
      </c>
      <c r="D78" s="171">
        <v>73.900000000000006</v>
      </c>
      <c r="E78" s="171"/>
      <c r="F78" s="171"/>
      <c r="G78" s="171"/>
      <c r="I78" s="176">
        <v>59.6</v>
      </c>
      <c r="J78" s="168">
        <v>4</v>
      </c>
      <c r="L78" s="177">
        <v>11449</v>
      </c>
      <c r="M78" s="176">
        <v>94.6</v>
      </c>
      <c r="N78" s="176">
        <f t="shared" si="0"/>
        <v>245.87666946308727</v>
      </c>
      <c r="V78" s="171" t="s">
        <v>83</v>
      </c>
      <c r="W78" s="171"/>
      <c r="X78" s="179">
        <f>X72-X77-X76-X75-X74</f>
        <v>5864.1933899941223</v>
      </c>
      <c r="Y78" s="179">
        <f>Y72-Y77-Y76-Y75-Y74</f>
        <v>6582.9827839195041</v>
      </c>
      <c r="Z78" s="179">
        <f>Z72-Z77-Z76-Z75-Z74</f>
        <v>7195.4865714199123</v>
      </c>
    </row>
    <row r="79" spans="1:26" x14ac:dyDescent="0.2">
      <c r="A79" s="171">
        <v>1</v>
      </c>
      <c r="B79" s="171">
        <v>1985</v>
      </c>
      <c r="C79" s="171">
        <v>123.4</v>
      </c>
      <c r="D79" s="171">
        <v>100.8</v>
      </c>
      <c r="E79" s="171"/>
      <c r="F79" s="171"/>
      <c r="G79" s="171"/>
      <c r="I79" s="176">
        <v>60.4</v>
      </c>
      <c r="J79" s="168">
        <v>1</v>
      </c>
      <c r="K79" s="168">
        <v>1985</v>
      </c>
      <c r="L79" s="177">
        <v>16918</v>
      </c>
      <c r="M79" s="176">
        <v>103.6</v>
      </c>
      <c r="N79" s="176">
        <f t="shared" si="0"/>
        <v>265.70226821192057</v>
      </c>
      <c r="V79" s="171"/>
      <c r="W79" s="171"/>
      <c r="X79" s="171"/>
      <c r="Y79" s="171"/>
      <c r="Z79" s="171"/>
    </row>
    <row r="80" spans="1:26" x14ac:dyDescent="0.2">
      <c r="A80" s="171">
        <v>2</v>
      </c>
      <c r="B80" s="171"/>
      <c r="C80" s="171">
        <v>102</v>
      </c>
      <c r="D80" s="171">
        <v>81.099999999999994</v>
      </c>
      <c r="E80" s="171"/>
      <c r="F80" s="171"/>
      <c r="G80" s="171"/>
      <c r="I80" s="176">
        <v>61.5</v>
      </c>
      <c r="J80" s="168">
        <v>2</v>
      </c>
      <c r="L80" s="177">
        <v>14237</v>
      </c>
      <c r="M80" s="176">
        <v>115.3</v>
      </c>
      <c r="N80" s="176">
        <f t="shared" si="0"/>
        <v>290.4200772357724</v>
      </c>
      <c r="V80" s="170" t="s">
        <v>162</v>
      </c>
      <c r="W80" s="171"/>
      <c r="X80" s="171"/>
      <c r="Y80" s="171"/>
    </row>
    <row r="81" spans="1:25" x14ac:dyDescent="0.2">
      <c r="A81" s="171">
        <v>3</v>
      </c>
      <c r="B81" s="171"/>
      <c r="C81" s="171">
        <v>108.4</v>
      </c>
      <c r="D81" s="171">
        <v>86</v>
      </c>
      <c r="E81" s="171"/>
      <c r="F81" s="171"/>
      <c r="G81" s="171"/>
      <c r="I81" s="176">
        <v>62</v>
      </c>
      <c r="J81" s="168">
        <v>3</v>
      </c>
      <c r="L81" s="177">
        <v>14329</v>
      </c>
      <c r="M81" s="176">
        <v>103</v>
      </c>
      <c r="N81" s="176">
        <f t="shared" si="0"/>
        <v>257.34633064516134</v>
      </c>
      <c r="V81" s="171"/>
      <c r="W81" s="171"/>
      <c r="X81" s="171"/>
      <c r="Y81" s="171"/>
    </row>
    <row r="82" spans="1:25" x14ac:dyDescent="0.2">
      <c r="A82" s="171">
        <v>4</v>
      </c>
      <c r="B82" s="171"/>
      <c r="C82" s="171">
        <v>109.6</v>
      </c>
      <c r="D82" s="171">
        <v>87.1</v>
      </c>
      <c r="E82" s="171"/>
      <c r="F82" s="171"/>
      <c r="G82" s="171"/>
      <c r="I82" s="176">
        <v>63</v>
      </c>
      <c r="J82" s="168">
        <v>4</v>
      </c>
      <c r="L82" s="177">
        <v>13060</v>
      </c>
      <c r="M82" s="176">
        <v>118.7</v>
      </c>
      <c r="N82" s="176">
        <f t="shared" si="0"/>
        <v>291.86540079365085</v>
      </c>
      <c r="V82" s="171"/>
      <c r="W82" s="175" t="str">
        <f>+'Tab4'!C6</f>
        <v>2020</v>
      </c>
      <c r="X82" s="175" t="str">
        <f>+'Tab4'!D6</f>
        <v>2021</v>
      </c>
      <c r="Y82" s="175" t="str">
        <f>+'Tab4'!E6</f>
        <v>2022</v>
      </c>
    </row>
    <row r="83" spans="1:25" x14ac:dyDescent="0.2">
      <c r="A83" s="171">
        <v>1</v>
      </c>
      <c r="B83" s="171">
        <v>1986</v>
      </c>
      <c r="C83" s="171">
        <v>141</v>
      </c>
      <c r="D83" s="171">
        <v>115.2</v>
      </c>
      <c r="E83" s="171"/>
      <c r="F83" s="171"/>
      <c r="G83" s="171"/>
      <c r="I83" s="176">
        <v>64</v>
      </c>
      <c r="J83" s="168">
        <v>1</v>
      </c>
      <c r="K83" s="168">
        <v>1986</v>
      </c>
      <c r="L83" s="177">
        <v>14314</v>
      </c>
      <c r="M83" s="176">
        <v>111.8</v>
      </c>
      <c r="N83" s="176">
        <f t="shared" si="0"/>
        <v>270.60403906250002</v>
      </c>
      <c r="V83" s="171" t="s">
        <v>84</v>
      </c>
      <c r="W83" s="178">
        <f>IF('Tab4'!C14="",'Tab4'!C13,'Tab4'!C14)</f>
        <v>4291.2065040304733</v>
      </c>
      <c r="X83" s="178">
        <f>IF('Tab4'!D14="",'Tab4'!D13,'Tab4'!D14)</f>
        <v>4964.3175105394348</v>
      </c>
      <c r="Y83" s="178">
        <f>IF('Tab4'!E14="",'Tab4'!E13,'Tab4'!E14)</f>
        <v>4717.4220546755651</v>
      </c>
    </row>
    <row r="84" spans="1:25" x14ac:dyDescent="0.2">
      <c r="A84" s="171">
        <v>2</v>
      </c>
      <c r="B84" s="171"/>
      <c r="C84" s="171">
        <v>120.5</v>
      </c>
      <c r="D84" s="171">
        <v>93.2</v>
      </c>
      <c r="E84" s="171"/>
      <c r="F84" s="171"/>
      <c r="G84" s="171"/>
      <c r="I84" s="176">
        <v>65</v>
      </c>
      <c r="J84" s="168">
        <v>2</v>
      </c>
      <c r="L84" s="177">
        <v>13505</v>
      </c>
      <c r="M84" s="176">
        <v>121.5</v>
      </c>
      <c r="N84" s="176">
        <f t="shared" si="0"/>
        <v>289.55786538461541</v>
      </c>
      <c r="V84" s="171" t="s">
        <v>169</v>
      </c>
      <c r="W84" s="178">
        <f>IF('Tab4'!C16="",'Tab4'!C15,'Tab4'!C16)</f>
        <v>3215.9968028142866</v>
      </c>
      <c r="X84" s="178">
        <f>IF('Tab4'!D16="",'Tab4'!D15,'Tab4'!D16)</f>
        <v>3185.2108121119513</v>
      </c>
      <c r="Y84" s="178">
        <f>IF('Tab4'!E16="",'Tab4'!E15,'Tab4'!E16)</f>
        <v>2973.6566209012212</v>
      </c>
    </row>
    <row r="85" spans="1:25" x14ac:dyDescent="0.2">
      <c r="A85" s="171">
        <v>3</v>
      </c>
      <c r="B85" s="171"/>
      <c r="C85" s="171">
        <v>115.7</v>
      </c>
      <c r="D85" s="171">
        <v>91.1</v>
      </c>
      <c r="E85" s="171"/>
      <c r="F85" s="171"/>
      <c r="G85" s="171"/>
      <c r="I85" s="176">
        <v>67</v>
      </c>
      <c r="J85" s="168">
        <v>3</v>
      </c>
      <c r="L85" s="177">
        <v>12132</v>
      </c>
      <c r="M85" s="176">
        <v>100.8</v>
      </c>
      <c r="N85" s="176">
        <f t="shared" si="0"/>
        <v>233.05486567164183</v>
      </c>
      <c r="V85" s="171" t="s">
        <v>7</v>
      </c>
      <c r="W85" s="178">
        <f>IF('Tab4'!C18="",'Tab4'!C17,'Tab4'!C18)</f>
        <v>917.48112890574225</v>
      </c>
      <c r="X85" s="178">
        <f>IF('Tab4'!D18="",'Tab4'!D17,'Tab4'!D18)</f>
        <v>934.05641670497062</v>
      </c>
      <c r="Y85" s="178">
        <f>IF('Tab4'!E18="",'Tab4'!E17,'Tab4'!E18)</f>
        <v>948.3790556304416</v>
      </c>
    </row>
    <row r="86" spans="1:25" x14ac:dyDescent="0.2">
      <c r="A86" s="171">
        <v>4</v>
      </c>
      <c r="B86" s="171"/>
      <c r="C86" s="171">
        <v>114.4</v>
      </c>
      <c r="D86" s="171">
        <v>90.8</v>
      </c>
      <c r="E86" s="171"/>
      <c r="F86" s="171"/>
      <c r="G86" s="171"/>
      <c r="I86" s="176">
        <v>68.5</v>
      </c>
      <c r="J86" s="168">
        <v>4</v>
      </c>
      <c r="L86" s="177">
        <v>11763</v>
      </c>
      <c r="M86" s="176">
        <v>120.6</v>
      </c>
      <c r="N86" s="176">
        <f t="shared" si="0"/>
        <v>272.72765693430659</v>
      </c>
      <c r="V86" s="168" t="s">
        <v>8</v>
      </c>
      <c r="W86" s="178">
        <f>IF('Tab4'!C20="",'Tab4'!C19,'Tab4'!C20)</f>
        <v>966.10268894516707</v>
      </c>
      <c r="X86" s="178">
        <f>IF('Tab4'!D20="",'Tab4'!D19,'Tab4'!D20)</f>
        <v>1230.7896372137748</v>
      </c>
      <c r="Y86" s="178">
        <f>IF('Tab4'!E20="",'Tab4'!E19,'Tab4'!E20)</f>
        <v>1543.8984577252118</v>
      </c>
    </row>
    <row r="87" spans="1:25" x14ac:dyDescent="0.2">
      <c r="A87" s="171">
        <v>1</v>
      </c>
      <c r="B87" s="171">
        <v>1987</v>
      </c>
      <c r="C87" s="171">
        <v>152.19999999999999</v>
      </c>
      <c r="D87" s="171">
        <v>121.3</v>
      </c>
      <c r="E87" s="171"/>
      <c r="F87" s="171"/>
      <c r="G87" s="171"/>
      <c r="I87" s="176">
        <v>70.5</v>
      </c>
      <c r="J87" s="168">
        <v>1</v>
      </c>
      <c r="K87" s="168">
        <v>1987</v>
      </c>
      <c r="L87" s="177">
        <v>17280</v>
      </c>
      <c r="M87" s="176">
        <v>135.6</v>
      </c>
      <c r="N87" s="176">
        <f t="shared" si="0"/>
        <v>297.9497446808511</v>
      </c>
      <c r="V87" s="171" t="s">
        <v>9</v>
      </c>
      <c r="W87" s="178">
        <f>IF('Tab4'!C20="",'Tab4'!C21,'Tab4'!C22)</f>
        <v>401.42631068577151</v>
      </c>
      <c r="X87" s="178">
        <f>IF('Tab4'!D20="",'Tab4'!D21,'Tab4'!D22)</f>
        <v>485.77042894766703</v>
      </c>
      <c r="Y87" s="178">
        <f>IF('Tab4'!E20="",'Tab4'!E21,'Tab4'!E22)</f>
        <v>344.9671839410957</v>
      </c>
    </row>
    <row r="88" spans="1:25" x14ac:dyDescent="0.2">
      <c r="A88" s="171">
        <v>2</v>
      </c>
      <c r="B88" s="171"/>
      <c r="C88" s="171">
        <v>109.2</v>
      </c>
      <c r="D88" s="171">
        <v>86.1</v>
      </c>
      <c r="E88" s="171"/>
      <c r="F88" s="171"/>
      <c r="G88" s="171"/>
      <c r="I88" s="176">
        <v>71.599999999999994</v>
      </c>
      <c r="J88" s="168">
        <v>2</v>
      </c>
      <c r="L88" s="177">
        <v>12241</v>
      </c>
      <c r="M88" s="176">
        <v>135.9</v>
      </c>
      <c r="N88" s="176">
        <f t="shared" si="0"/>
        <v>294.02135824022355</v>
      </c>
      <c r="V88" s="171" t="s">
        <v>10</v>
      </c>
      <c r="W88" s="178">
        <f>IF('Tab4'!C22="",'Tab4'!C29,'Tab4'!C30)</f>
        <v>1893.5409275796746</v>
      </c>
      <c r="X88" s="178">
        <f>IF('Tab4'!D22="",'Tab4'!D29,'Tab4'!D30)</f>
        <v>225.66951530811212</v>
      </c>
      <c r="Y88" s="178">
        <f>IF('Tab4'!E22="",'Tab4'!E29,'Tab4'!E30)</f>
        <v>838.3394809967931</v>
      </c>
    </row>
    <row r="89" spans="1:25" x14ac:dyDescent="0.2">
      <c r="A89" s="171">
        <v>3</v>
      </c>
      <c r="B89" s="171"/>
      <c r="C89" s="171">
        <v>110.1</v>
      </c>
      <c r="D89" s="171">
        <v>87.3</v>
      </c>
      <c r="E89" s="171"/>
      <c r="F89" s="171"/>
      <c r="G89" s="171"/>
      <c r="I89" s="176">
        <v>72.3</v>
      </c>
      <c r="J89" s="168">
        <v>3</v>
      </c>
      <c r="L89" s="177">
        <v>11506</v>
      </c>
      <c r="M89" s="176">
        <v>112.3</v>
      </c>
      <c r="N89" s="176">
        <f t="shared" si="0"/>
        <v>240.6101279391425</v>
      </c>
      <c r="V89" s="171" t="s">
        <v>11</v>
      </c>
      <c r="W89" s="178">
        <f>IF('Tab4'!C30="",'Tab4'!C31,'Tab4'!C32)</f>
        <v>262.93120032699858</v>
      </c>
      <c r="X89" s="178">
        <f>IF('Tab4'!D30="",'Tab4'!D31,'Tab4'!D32)</f>
        <v>246.51905838508478</v>
      </c>
      <c r="Y89" s="178">
        <f>IF('Tab4'!E30="",'Tab4'!E31,'Tab4'!E32)</f>
        <v>222.00533916257521</v>
      </c>
    </row>
    <row r="90" spans="1:25" x14ac:dyDescent="0.2">
      <c r="A90" s="171">
        <v>4</v>
      </c>
      <c r="B90" s="171"/>
      <c r="C90" s="171">
        <v>112</v>
      </c>
      <c r="D90" s="171">
        <v>89.8</v>
      </c>
      <c r="E90" s="171"/>
      <c r="F90" s="171"/>
      <c r="G90" s="171"/>
      <c r="I90" s="176">
        <v>73.599999999999994</v>
      </c>
      <c r="J90" s="168">
        <v>4</v>
      </c>
      <c r="L90" s="177">
        <v>12860</v>
      </c>
      <c r="M90" s="176">
        <v>134.5</v>
      </c>
      <c r="N90" s="176">
        <f t="shared" si="0"/>
        <v>283.08503736413047</v>
      </c>
      <c r="V90" s="171" t="s">
        <v>12</v>
      </c>
      <c r="W90" s="178">
        <f>IF('Tab4'!C32="",'Tab4'!C33,'Tab4'!C34)</f>
        <v>651.86936651844553</v>
      </c>
      <c r="X90" s="178">
        <f>IF('Tab4'!D32="",'Tab4'!D33,'Tab4'!D34)</f>
        <v>780.01778428583316</v>
      </c>
      <c r="Y90" s="178">
        <f>IF('Tab4'!E32="",'Tab4'!E33,'Tab4'!E34)</f>
        <v>808.89411421755653</v>
      </c>
    </row>
    <row r="91" spans="1:25" x14ac:dyDescent="0.2">
      <c r="A91" s="171">
        <v>1</v>
      </c>
      <c r="B91" s="171">
        <v>1988</v>
      </c>
      <c r="C91" s="171">
        <v>134.1</v>
      </c>
      <c r="D91" s="171">
        <v>107.5</v>
      </c>
      <c r="E91" s="171"/>
      <c r="F91" s="171"/>
      <c r="G91" s="171"/>
      <c r="I91" s="176">
        <v>75.2</v>
      </c>
      <c r="J91" s="168">
        <v>1</v>
      </c>
      <c r="K91" s="168">
        <v>1988</v>
      </c>
      <c r="L91" s="177">
        <v>10180</v>
      </c>
      <c r="M91" s="176">
        <v>130.80000000000001</v>
      </c>
      <c r="N91" s="176">
        <f t="shared" si="0"/>
        <v>269.4401728723405</v>
      </c>
      <c r="V91" s="171" t="s">
        <v>13</v>
      </c>
      <c r="W91" s="178">
        <f>IF('Tab4'!C34="",'Tab4'!C35,'Tab4'!C36)</f>
        <v>94.89232920539061</v>
      </c>
      <c r="X91" s="178">
        <f>IF('Tab4'!D34="",'Tab4'!D35,'Tab4'!D36)</f>
        <v>113.79724607921291</v>
      </c>
      <c r="Y91" s="178">
        <f>IF('Tab4'!E34="",'Tab4'!E35,'Tab4'!E36)</f>
        <v>87.347711370995484</v>
      </c>
    </row>
    <row r="92" spans="1:25" x14ac:dyDescent="0.2">
      <c r="A92" s="171">
        <v>2</v>
      </c>
      <c r="B92" s="171"/>
      <c r="C92" s="171">
        <v>113.7</v>
      </c>
      <c r="D92" s="171">
        <v>90</v>
      </c>
      <c r="E92" s="171"/>
      <c r="F92" s="171"/>
      <c r="G92" s="171"/>
      <c r="I92" s="176">
        <v>76.7</v>
      </c>
      <c r="J92" s="168">
        <v>2</v>
      </c>
      <c r="L92" s="177">
        <v>11081</v>
      </c>
      <c r="M92" s="176">
        <v>95.1</v>
      </c>
      <c r="N92" s="176">
        <f t="shared" si="0"/>
        <v>192.06914276401568</v>
      </c>
      <c r="V92" s="171" t="s">
        <v>14</v>
      </c>
      <c r="W92" s="178">
        <f>IF('Tab4'!C38="",'Tab4'!C37,'Tab4'!C38)</f>
        <v>662.49776396796972</v>
      </c>
      <c r="X92" s="178">
        <f>IF('Tab4'!D38="",'Tab4'!D37,'Tab4'!D38)</f>
        <v>628.90855637301138</v>
      </c>
      <c r="Y92" s="178">
        <f>IF('Tab4'!E38="",'Tab4'!E37,'Tab4'!E38)</f>
        <v>695.60712276695779</v>
      </c>
    </row>
    <row r="93" spans="1:25" x14ac:dyDescent="0.2">
      <c r="A93" s="171">
        <v>3</v>
      </c>
      <c r="B93" s="171"/>
      <c r="C93" s="171">
        <v>116.3</v>
      </c>
      <c r="D93" s="171">
        <v>93.1</v>
      </c>
      <c r="E93" s="171"/>
      <c r="F93" s="171"/>
      <c r="G93" s="171"/>
      <c r="I93" s="176">
        <v>77</v>
      </c>
      <c r="J93" s="168">
        <v>3</v>
      </c>
      <c r="L93" s="177">
        <v>15987</v>
      </c>
      <c r="M93" s="176">
        <v>148.69999999999999</v>
      </c>
      <c r="N93" s="176">
        <f t="shared" si="0"/>
        <v>299.15253571428576</v>
      </c>
      <c r="V93" s="171" t="s">
        <v>85</v>
      </c>
      <c r="W93" s="179">
        <f>SUM(W83:W92)</f>
        <v>13357.945022979919</v>
      </c>
      <c r="X93" s="179">
        <f>SUM(X83:X92)</f>
        <v>12795.056965949056</v>
      </c>
      <c r="Y93" s="179">
        <f>SUM(Y83:Y92)</f>
        <v>13180.517141388413</v>
      </c>
    </row>
    <row r="94" spans="1:25" x14ac:dyDescent="0.2">
      <c r="A94" s="171">
        <v>4</v>
      </c>
      <c r="B94" s="171"/>
      <c r="C94" s="171">
        <v>115.2</v>
      </c>
      <c r="D94" s="171">
        <v>93.4</v>
      </c>
      <c r="E94" s="171"/>
      <c r="F94" s="171"/>
      <c r="G94" s="171"/>
      <c r="I94" s="176">
        <v>78.099999999999994</v>
      </c>
      <c r="J94" s="168">
        <v>4</v>
      </c>
      <c r="L94" s="177">
        <v>12493</v>
      </c>
      <c r="M94" s="176">
        <v>199.8</v>
      </c>
      <c r="N94" s="176">
        <f t="shared" si="0"/>
        <v>396.29345070422551</v>
      </c>
      <c r="V94" s="171"/>
      <c r="W94" s="171"/>
      <c r="X94" s="171"/>
      <c r="Y94" s="171"/>
    </row>
    <row r="95" spans="1:25" x14ac:dyDescent="0.2">
      <c r="A95" s="171">
        <v>1</v>
      </c>
      <c r="B95" s="171">
        <v>1989</v>
      </c>
      <c r="C95" s="171">
        <v>106.6</v>
      </c>
      <c r="D95" s="171">
        <v>86.4</v>
      </c>
      <c r="E95" s="171"/>
      <c r="F95" s="171"/>
      <c r="G95" s="171"/>
      <c r="I95" s="176">
        <v>78.900000000000006</v>
      </c>
      <c r="J95" s="168">
        <v>1</v>
      </c>
      <c r="K95" s="168">
        <v>1989</v>
      </c>
      <c r="L95" s="177">
        <v>10988</v>
      </c>
      <c r="M95" s="176">
        <v>142.6</v>
      </c>
      <c r="N95" s="176">
        <f t="shared" si="0"/>
        <v>279.97223700887201</v>
      </c>
      <c r="V95" s="171" t="s">
        <v>170</v>
      </c>
      <c r="W95" s="180">
        <f>+W93+X72</f>
        <v>21150.793974237888</v>
      </c>
      <c r="X95" s="180">
        <f>+X93+Y72</f>
        <v>20995.930961160942</v>
      </c>
      <c r="Y95" s="180">
        <f>+Y93+Z72</f>
        <v>22263.579687010686</v>
      </c>
    </row>
    <row r="96" spans="1:25" x14ac:dyDescent="0.2">
      <c r="A96" s="171">
        <v>2</v>
      </c>
      <c r="B96" s="171"/>
      <c r="C96" s="171">
        <v>98</v>
      </c>
      <c r="D96" s="171">
        <v>79.599999999999994</v>
      </c>
      <c r="E96" s="171"/>
      <c r="F96" s="171"/>
      <c r="G96" s="171"/>
      <c r="I96" s="176">
        <v>80.3</v>
      </c>
      <c r="J96" s="168">
        <v>2</v>
      </c>
      <c r="L96" s="177">
        <v>10292</v>
      </c>
      <c r="M96" s="176">
        <v>117.3</v>
      </c>
      <c r="N96" s="176">
        <f t="shared" si="0"/>
        <v>226.2845547945206</v>
      </c>
    </row>
    <row r="97" spans="1:25" x14ac:dyDescent="0.2">
      <c r="A97" s="171">
        <v>3</v>
      </c>
      <c r="B97" s="171"/>
      <c r="C97" s="171">
        <v>96.9</v>
      </c>
      <c r="D97" s="171">
        <v>79</v>
      </c>
      <c r="E97" s="171"/>
      <c r="F97" s="171"/>
      <c r="G97" s="171"/>
      <c r="I97" s="176">
        <v>80.599999999999994</v>
      </c>
      <c r="J97" s="168">
        <v>3</v>
      </c>
      <c r="L97" s="177">
        <v>11352</v>
      </c>
      <c r="M97" s="176">
        <v>103.6</v>
      </c>
      <c r="N97" s="176">
        <f t="shared" si="0"/>
        <v>199.11187344913154</v>
      </c>
      <c r="Y97" s="171"/>
    </row>
    <row r="98" spans="1:25" x14ac:dyDescent="0.2">
      <c r="A98" s="171">
        <v>4</v>
      </c>
      <c r="B98" s="171"/>
      <c r="C98" s="171">
        <v>93.4</v>
      </c>
      <c r="D98" s="171">
        <v>76.8</v>
      </c>
      <c r="E98" s="171"/>
      <c r="F98" s="171"/>
      <c r="G98" s="171"/>
      <c r="I98" s="176">
        <v>81.400000000000006</v>
      </c>
      <c r="J98" s="168">
        <v>4</v>
      </c>
      <c r="L98" s="177">
        <v>11958</v>
      </c>
      <c r="M98" s="176">
        <v>132</v>
      </c>
      <c r="N98" s="176">
        <f t="shared" si="0"/>
        <v>251.20135135135138</v>
      </c>
      <c r="V98" s="170" t="s">
        <v>185</v>
      </c>
      <c r="W98" s="171"/>
      <c r="X98" s="171"/>
      <c r="Y98" s="171"/>
    </row>
    <row r="99" spans="1:25" x14ac:dyDescent="0.2">
      <c r="A99" s="171">
        <v>1</v>
      </c>
      <c r="B99" s="171">
        <v>1990</v>
      </c>
      <c r="C99" s="171">
        <v>99.4</v>
      </c>
      <c r="D99" s="171">
        <v>81.3</v>
      </c>
      <c r="E99" s="171"/>
      <c r="F99" s="171"/>
      <c r="G99" s="171"/>
      <c r="I99" s="176">
        <v>82.3</v>
      </c>
      <c r="J99" s="168">
        <v>1</v>
      </c>
      <c r="K99" s="168">
        <v>1990</v>
      </c>
      <c r="L99" s="177">
        <v>13741</v>
      </c>
      <c r="M99" s="176">
        <v>142.9</v>
      </c>
      <c r="N99" s="176">
        <f t="shared" si="0"/>
        <v>268.97061664641564</v>
      </c>
      <c r="V99" s="171"/>
      <c r="X99" s="171"/>
      <c r="Y99" s="171"/>
    </row>
    <row r="100" spans="1:25" x14ac:dyDescent="0.2">
      <c r="A100" s="171">
        <v>2</v>
      </c>
      <c r="B100" s="171"/>
      <c r="C100" s="171">
        <v>88.6</v>
      </c>
      <c r="D100" s="171">
        <v>73.099999999999994</v>
      </c>
      <c r="E100" s="171"/>
      <c r="F100" s="171"/>
      <c r="G100" s="171"/>
      <c r="I100" s="176">
        <v>83.4</v>
      </c>
      <c r="J100" s="168">
        <v>2</v>
      </c>
      <c r="L100" s="177">
        <v>10045</v>
      </c>
      <c r="M100" s="176">
        <v>116.5</v>
      </c>
      <c r="N100" s="176">
        <f t="shared" si="0"/>
        <v>216.38757494004798</v>
      </c>
      <c r="V100" s="171"/>
      <c r="W100" s="175" t="str">
        <f>+W82</f>
        <v>2020</v>
      </c>
      <c r="X100" s="175" t="str">
        <f>+X82</f>
        <v>2021</v>
      </c>
      <c r="Y100" s="175" t="str">
        <f>+Y82</f>
        <v>2022</v>
      </c>
    </row>
    <row r="101" spans="1:25" x14ac:dyDescent="0.2">
      <c r="A101" s="171">
        <v>3</v>
      </c>
      <c r="B101" s="171"/>
      <c r="C101" s="171">
        <v>88.2</v>
      </c>
      <c r="D101" s="171">
        <v>72.5</v>
      </c>
      <c r="E101" s="171"/>
      <c r="F101" s="171"/>
      <c r="G101" s="171"/>
      <c r="I101" s="176">
        <v>83.7</v>
      </c>
      <c r="J101" s="168">
        <v>3</v>
      </c>
      <c r="L101" s="177">
        <v>10870</v>
      </c>
      <c r="M101" s="176">
        <v>101.4</v>
      </c>
      <c r="N101" s="176">
        <f t="shared" si="0"/>
        <v>187.66571684587819</v>
      </c>
      <c r="V101" s="171" t="s">
        <v>18</v>
      </c>
      <c r="W101" s="181">
        <f>IF('Tab7'!C10="",+'Tab7'!C9+'Tab11'!C9,+'Tab7'!C10+'Tab11'!C10)</f>
        <v>14515.715485746958</v>
      </c>
      <c r="X101" s="181">
        <f>IF('Tab7'!D10="",+'Tab7'!D9+'Tab11'!D9,+'Tab7'!D10+'Tab11'!D10)</f>
        <v>15152.744923188406</v>
      </c>
      <c r="Y101" s="181">
        <f>IF('Tab7'!E10="",+'Tab7'!E9+'Tab11'!E9,+'Tab7'!E10+'Tab11'!E10)</f>
        <v>13298.617970801812</v>
      </c>
    </row>
    <row r="102" spans="1:25" x14ac:dyDescent="0.2">
      <c r="A102" s="171">
        <v>4</v>
      </c>
      <c r="B102" s="171"/>
      <c r="C102" s="171">
        <v>84.8</v>
      </c>
      <c r="D102" s="171">
        <v>70.2</v>
      </c>
      <c r="E102" s="171"/>
      <c r="F102" s="171"/>
      <c r="G102" s="171"/>
      <c r="I102" s="176">
        <v>85.1</v>
      </c>
      <c r="J102" s="168">
        <v>4</v>
      </c>
      <c r="L102" s="177">
        <v>11076</v>
      </c>
      <c r="M102" s="176">
        <v>120</v>
      </c>
      <c r="N102" s="176">
        <f t="shared" si="0"/>
        <v>218.43595769682733</v>
      </c>
      <c r="V102" s="171" t="s">
        <v>86</v>
      </c>
      <c r="W102" s="181">
        <f>IF('Tab7'!C12="",+'Tab7'!C11+'Tab11'!C11,+'Tab7'!C12+'Tab11'!C12)</f>
        <v>42736.006414462456</v>
      </c>
      <c r="X102" s="181">
        <f>IF('Tab7'!D12="",+'Tab7'!D11+'Tab11'!D11,+'Tab7'!D12+'Tab11'!D12)</f>
        <v>55420.008292490114</v>
      </c>
      <c r="Y102" s="181">
        <f>IF('Tab7'!E12="",+'Tab7'!E11+'Tab11'!E11,+'Tab7'!E12+'Tab11'!E12)</f>
        <v>42614.572911556912</v>
      </c>
    </row>
    <row r="103" spans="1:25" x14ac:dyDescent="0.2">
      <c r="A103" s="171">
        <v>1</v>
      </c>
      <c r="B103" s="171">
        <v>1991</v>
      </c>
      <c r="C103" s="171">
        <v>97.5</v>
      </c>
      <c r="D103" s="171">
        <v>82.4</v>
      </c>
      <c r="E103" s="171"/>
      <c r="F103" s="171"/>
      <c r="G103" s="171"/>
      <c r="I103" s="176">
        <v>85.5</v>
      </c>
      <c r="J103" s="168">
        <v>1</v>
      </c>
      <c r="K103" s="168">
        <v>1991</v>
      </c>
      <c r="L103" s="177">
        <v>10172</v>
      </c>
      <c r="M103" s="176">
        <v>130.10000000000002</v>
      </c>
      <c r="N103" s="176">
        <f t="shared" ref="N103:N106" si="1">M103/I103*$I$69</f>
        <v>235.71304970760241</v>
      </c>
      <c r="O103" s="177">
        <v>6727</v>
      </c>
      <c r="P103" s="176">
        <v>376.9</v>
      </c>
      <c r="Q103" s="176">
        <f>P103/I103*$I$69</f>
        <v>682.86124853801175</v>
      </c>
      <c r="R103" s="177">
        <v>9077</v>
      </c>
      <c r="S103" s="176">
        <v>139.9</v>
      </c>
      <c r="T103" s="176">
        <f>S103/I103*$I$69</f>
        <v>253.46852923976613</v>
      </c>
      <c r="V103" s="171" t="s">
        <v>63</v>
      </c>
      <c r="W103" s="181">
        <f>IF('Tab7'!C14="",+'Tab7'!C13+'Tab11'!C13,+'Tab7'!C14+'Tab11'!C14)</f>
        <v>17552.031031701117</v>
      </c>
      <c r="X103" s="181">
        <f>IF('Tab7'!D14="",+'Tab7'!D13+'Tab11'!D13,+'Tab7'!D14+'Tab11'!D14)</f>
        <v>14942.033661490683</v>
      </c>
      <c r="Y103" s="181">
        <f>IF('Tab7'!E14="",+'Tab7'!E13+'Tab11'!E13,+'Tab7'!E14+'Tab11'!E14)</f>
        <v>18156.399969810282</v>
      </c>
    </row>
    <row r="104" spans="1:25" x14ac:dyDescent="0.2">
      <c r="A104" s="171">
        <v>2</v>
      </c>
      <c r="B104" s="171"/>
      <c r="C104" s="171">
        <v>93.9</v>
      </c>
      <c r="D104" s="171">
        <v>78</v>
      </c>
      <c r="E104" s="171"/>
      <c r="F104" s="171"/>
      <c r="G104" s="171"/>
      <c r="I104" s="176">
        <v>86.6</v>
      </c>
      <c r="J104" s="168">
        <v>2</v>
      </c>
      <c r="L104" s="177">
        <v>10188</v>
      </c>
      <c r="M104" s="176">
        <v>126.69999999999993</v>
      </c>
      <c r="N104" s="176">
        <f t="shared" si="1"/>
        <v>226.63718533487292</v>
      </c>
      <c r="O104" s="177">
        <v>5864</v>
      </c>
      <c r="P104" s="176">
        <v>369.29999999999995</v>
      </c>
      <c r="Q104" s="176">
        <f t="shared" ref="Q104:Q167" si="2">P104/I104*$I$69</f>
        <v>660.59283775981532</v>
      </c>
      <c r="R104" s="177">
        <v>12525</v>
      </c>
      <c r="S104" s="176">
        <v>176.29999999999998</v>
      </c>
      <c r="T104" s="176">
        <f t="shared" ref="T104:T167" si="3">S104/I104*$I$69</f>
        <v>315.36018764434186</v>
      </c>
      <c r="V104" s="171" t="s">
        <v>14</v>
      </c>
      <c r="W104" s="182">
        <f>+W106-SUM(W101:W103)</f>
        <v>162737.46653599822</v>
      </c>
      <c r="X104" s="182">
        <f>+X106-SUM(X101:X103)</f>
        <v>170017.65894677088</v>
      </c>
      <c r="Y104" s="182">
        <f>+Y106-SUM(Y101:Y103)</f>
        <v>139810.9075909876</v>
      </c>
    </row>
    <row r="105" spans="1:25" x14ac:dyDescent="0.2">
      <c r="A105" s="171">
        <v>3</v>
      </c>
      <c r="B105" s="171"/>
      <c r="C105" s="171">
        <v>90.2</v>
      </c>
      <c r="D105" s="171">
        <v>76.099999999999994</v>
      </c>
      <c r="E105" s="171"/>
      <c r="F105" s="171"/>
      <c r="G105" s="171"/>
      <c r="I105" s="176">
        <v>86.6</v>
      </c>
      <c r="J105" s="168">
        <v>3</v>
      </c>
      <c r="L105" s="177">
        <v>10621</v>
      </c>
      <c r="M105" s="176">
        <v>132.60000000000002</v>
      </c>
      <c r="N105" s="176">
        <f t="shared" si="1"/>
        <v>237.19092956120102</v>
      </c>
      <c r="O105" s="177">
        <v>7951</v>
      </c>
      <c r="P105" s="176">
        <v>430.9</v>
      </c>
      <c r="Q105" s="176">
        <f t="shared" si="2"/>
        <v>770.78108256351049</v>
      </c>
      <c r="R105" s="177">
        <v>14126</v>
      </c>
      <c r="S105" s="176">
        <v>204.90000000000003</v>
      </c>
      <c r="T105" s="176">
        <f t="shared" si="3"/>
        <v>366.51901558891467</v>
      </c>
      <c r="V105" s="171"/>
      <c r="W105" s="171"/>
      <c r="X105" s="171"/>
      <c r="Y105" s="171"/>
    </row>
    <row r="106" spans="1:25" x14ac:dyDescent="0.2">
      <c r="A106" s="171">
        <v>4</v>
      </c>
      <c r="B106" s="171"/>
      <c r="C106" s="171">
        <v>92.6</v>
      </c>
      <c r="D106" s="171">
        <v>78.099999999999994</v>
      </c>
      <c r="E106" s="171"/>
      <c r="F106" s="171"/>
      <c r="G106" s="171"/>
      <c r="I106" s="176">
        <v>87.3</v>
      </c>
      <c r="J106" s="168">
        <v>4</v>
      </c>
      <c r="L106" s="177">
        <v>11640</v>
      </c>
      <c r="M106" s="176">
        <v>138.20000000000005</v>
      </c>
      <c r="N106" s="176">
        <f t="shared" si="1"/>
        <v>245.22584765177561</v>
      </c>
      <c r="O106" s="177">
        <v>13048</v>
      </c>
      <c r="P106" s="176">
        <v>427.00000000000023</v>
      </c>
      <c r="Q106" s="176">
        <f t="shared" si="2"/>
        <v>757.68044100801899</v>
      </c>
      <c r="R106" s="177">
        <v>13048</v>
      </c>
      <c r="S106" s="176">
        <v>185</v>
      </c>
      <c r="T106" s="176">
        <f t="shared" si="3"/>
        <v>328.26904352806423</v>
      </c>
      <c r="V106" s="171" t="s">
        <v>87</v>
      </c>
      <c r="W106" s="181">
        <f>IF('Tab7'!C8="",+'Tab7'!C7+'Tab11'!C7,+'Tab7'!C8+'Tab11'!C8)</f>
        <v>237541.21946790876</v>
      </c>
      <c r="X106" s="181">
        <f>IF('Tab7'!D8="",+'Tab7'!D7+'Tab11'!D7,+'Tab7'!D8+'Tab11'!D8)</f>
        <v>255532.4458239401</v>
      </c>
      <c r="Y106" s="181">
        <f>IF('Tab7'!E8="",+'Tab7'!E7+'Tab11'!E7,+'Tab7'!E8+'Tab11'!E8)</f>
        <v>213880.4984431566</v>
      </c>
    </row>
    <row r="107" spans="1:25" x14ac:dyDescent="0.2">
      <c r="A107" s="171">
        <v>1</v>
      </c>
      <c r="B107" s="171">
        <v>1992</v>
      </c>
      <c r="C107" s="171">
        <v>102</v>
      </c>
      <c r="D107" s="171">
        <v>87.1</v>
      </c>
      <c r="E107" s="171"/>
      <c r="F107" s="171"/>
      <c r="G107" s="171"/>
      <c r="I107" s="176">
        <v>87.5</v>
      </c>
      <c r="J107" s="168">
        <v>1</v>
      </c>
      <c r="K107" s="168">
        <v>1992</v>
      </c>
      <c r="L107" s="177">
        <v>10520</v>
      </c>
      <c r="M107" s="176">
        <v>129.4</v>
      </c>
      <c r="N107" s="176">
        <f>M107/I107*$I$69</f>
        <v>229.08606285714291</v>
      </c>
      <c r="O107" s="177">
        <v>6509</v>
      </c>
      <c r="P107" s="176">
        <v>409.5</v>
      </c>
      <c r="Q107" s="176">
        <f t="shared" si="2"/>
        <v>724.96710000000007</v>
      </c>
      <c r="R107" s="177">
        <v>11030</v>
      </c>
      <c r="S107" s="176">
        <v>180.5</v>
      </c>
      <c r="T107" s="176">
        <f t="shared" si="3"/>
        <v>319.55204285714291</v>
      </c>
    </row>
    <row r="108" spans="1:25" x14ac:dyDescent="0.2">
      <c r="A108" s="171">
        <v>2</v>
      </c>
      <c r="B108" s="171"/>
      <c r="C108" s="171">
        <v>92.2</v>
      </c>
      <c r="D108" s="171">
        <v>78.900000000000006</v>
      </c>
      <c r="E108" s="171"/>
      <c r="F108" s="171"/>
      <c r="G108" s="171"/>
      <c r="I108" s="176">
        <v>88.6</v>
      </c>
      <c r="J108" s="168">
        <v>2</v>
      </c>
      <c r="L108" s="177">
        <v>10661</v>
      </c>
      <c r="M108" s="176">
        <v>112.9</v>
      </c>
      <c r="N108" s="176">
        <f t="shared" ref="N108:N171" si="4">M108/I108*$I$69</f>
        <v>197.39341704288947</v>
      </c>
      <c r="O108" s="177">
        <v>5632</v>
      </c>
      <c r="P108" s="176">
        <v>412</v>
      </c>
      <c r="Q108" s="176">
        <f t="shared" si="2"/>
        <v>720.33735891647871</v>
      </c>
      <c r="R108" s="177">
        <v>13252</v>
      </c>
      <c r="S108" s="176">
        <v>167</v>
      </c>
      <c r="T108" s="176">
        <f t="shared" si="3"/>
        <v>291.98140519187365</v>
      </c>
    </row>
    <row r="109" spans="1:25" x14ac:dyDescent="0.2">
      <c r="A109" s="171">
        <v>3</v>
      </c>
      <c r="B109" s="171"/>
      <c r="C109" s="171">
        <v>93.3</v>
      </c>
      <c r="D109" s="171">
        <v>79.900000000000006</v>
      </c>
      <c r="E109" s="171"/>
      <c r="F109" s="171"/>
      <c r="G109" s="171"/>
      <c r="I109" s="176">
        <v>88.7</v>
      </c>
      <c r="J109" s="168">
        <v>3</v>
      </c>
      <c r="L109" s="177">
        <v>11590</v>
      </c>
      <c r="M109" s="176">
        <v>130.59999999999997</v>
      </c>
      <c r="N109" s="176">
        <f t="shared" si="4"/>
        <v>228.082519729425</v>
      </c>
      <c r="O109" s="177">
        <v>8642</v>
      </c>
      <c r="P109" s="176">
        <v>440.40000000000009</v>
      </c>
      <c r="Q109" s="176">
        <f t="shared" si="2"/>
        <v>769.12359639233398</v>
      </c>
      <c r="R109" s="177">
        <v>15450</v>
      </c>
      <c r="S109" s="176">
        <v>219.10000000000002</v>
      </c>
      <c r="T109" s="176">
        <f t="shared" si="3"/>
        <v>382.64073562570468</v>
      </c>
      <c r="V109" s="170" t="s">
        <v>186</v>
      </c>
      <c r="W109" s="171"/>
      <c r="X109" s="171"/>
      <c r="Y109" s="171"/>
    </row>
    <row r="110" spans="1:25" x14ac:dyDescent="0.2">
      <c r="A110" s="171">
        <v>4</v>
      </c>
      <c r="B110" s="171"/>
      <c r="C110" s="171">
        <v>90.8</v>
      </c>
      <c r="D110" s="171">
        <v>77.599999999999994</v>
      </c>
      <c r="E110" s="171"/>
      <c r="F110" s="171"/>
      <c r="G110" s="171"/>
      <c r="I110" s="176">
        <v>89.3</v>
      </c>
      <c r="J110" s="168">
        <v>4</v>
      </c>
      <c r="L110" s="177">
        <v>11917</v>
      </c>
      <c r="M110" s="176">
        <v>108.50000000000006</v>
      </c>
      <c r="N110" s="176">
        <f t="shared" si="4"/>
        <v>188.2134798432252</v>
      </c>
      <c r="O110" s="177">
        <v>7139</v>
      </c>
      <c r="P110" s="176">
        <v>425.59999999999991</v>
      </c>
      <c r="Q110" s="176">
        <f t="shared" si="2"/>
        <v>738.28255319148934</v>
      </c>
      <c r="R110" s="177">
        <v>12309</v>
      </c>
      <c r="S110" s="176">
        <v>109.39999999999998</v>
      </c>
      <c r="T110" s="176">
        <f t="shared" si="3"/>
        <v>189.77469764837628</v>
      </c>
      <c r="V110" s="171"/>
      <c r="W110" s="171"/>
      <c r="X110" s="171"/>
      <c r="Y110" s="171"/>
    </row>
    <row r="111" spans="1:25" x14ac:dyDescent="0.2">
      <c r="A111" s="171">
        <v>1</v>
      </c>
      <c r="B111" s="171">
        <v>1993</v>
      </c>
      <c r="C111" s="171">
        <v>112.6</v>
      </c>
      <c r="D111" s="171">
        <v>96.5</v>
      </c>
      <c r="E111" s="171"/>
      <c r="F111" s="171"/>
      <c r="G111" s="171"/>
      <c r="I111" s="176">
        <v>89.8</v>
      </c>
      <c r="J111" s="168">
        <v>1</v>
      </c>
      <c r="K111" s="168">
        <v>1993</v>
      </c>
      <c r="L111" s="177">
        <v>11275</v>
      </c>
      <c r="M111" s="176">
        <v>136.89999999999998</v>
      </c>
      <c r="N111" s="176">
        <f t="shared" si="4"/>
        <v>236.15631124721605</v>
      </c>
      <c r="O111" s="177">
        <v>6982</v>
      </c>
      <c r="P111" s="176">
        <v>449.4</v>
      </c>
      <c r="Q111" s="176">
        <f t="shared" si="2"/>
        <v>775.22751113585764</v>
      </c>
      <c r="R111" s="177">
        <v>10571</v>
      </c>
      <c r="S111" s="176">
        <v>175.5</v>
      </c>
      <c r="T111" s="176">
        <f t="shared" si="3"/>
        <v>302.7423858574611</v>
      </c>
      <c r="V111" s="171"/>
      <c r="W111" s="175" t="str">
        <f>+W100</f>
        <v>2020</v>
      </c>
      <c r="X111" s="175" t="str">
        <f>+X100</f>
        <v>2021</v>
      </c>
      <c r="Y111" s="175" t="str">
        <f>+Y100</f>
        <v>2022</v>
      </c>
    </row>
    <row r="112" spans="1:25" x14ac:dyDescent="0.2">
      <c r="A112" s="171">
        <v>2</v>
      </c>
      <c r="B112" s="171"/>
      <c r="C112" s="171">
        <f>205.6-C111</f>
        <v>93</v>
      </c>
      <c r="D112" s="171">
        <f>176.6-D111</f>
        <v>80.099999999999994</v>
      </c>
      <c r="E112" s="171"/>
      <c r="F112" s="171"/>
      <c r="G112" s="171"/>
      <c r="I112" s="176">
        <v>90.8</v>
      </c>
      <c r="J112" s="168">
        <v>2</v>
      </c>
      <c r="L112" s="177">
        <v>10076</v>
      </c>
      <c r="M112" s="176">
        <v>115.20000000000002</v>
      </c>
      <c r="N112" s="176">
        <f t="shared" si="4"/>
        <v>196.53462555066088</v>
      </c>
      <c r="O112" s="177">
        <v>6332</v>
      </c>
      <c r="P112" s="176">
        <v>352.9</v>
      </c>
      <c r="Q112" s="176">
        <f t="shared" si="2"/>
        <v>602.05789372246704</v>
      </c>
      <c r="R112" s="177">
        <v>12919</v>
      </c>
      <c r="S112" s="176">
        <v>191.20000000000005</v>
      </c>
      <c r="T112" s="176">
        <f t="shared" si="3"/>
        <v>326.19288546255518</v>
      </c>
      <c r="V112" s="171" t="s">
        <v>171</v>
      </c>
      <c r="W112" s="180">
        <f>IF('Tab7'!C38="",+'Tab7'!C37+'Tab11'!C37,+'Tab7'!C38+'Tab11'!C38)</f>
        <v>2968.7342736953419</v>
      </c>
      <c r="X112" s="180">
        <f>IF('Tab7'!D38="",+'Tab7'!D37+'Tab11'!D37,+'Tab7'!D38+'Tab11'!D38)</f>
        <v>2936.311272962223</v>
      </c>
      <c r="Y112" s="180">
        <f>IF('Tab7'!E38="",+'Tab7'!E37+'Tab11'!E37,+'Tab7'!E38+'Tab11'!E38)</f>
        <v>2966.0919424227777</v>
      </c>
    </row>
    <row r="113" spans="1:25" x14ac:dyDescent="0.2">
      <c r="A113" s="171">
        <v>3</v>
      </c>
      <c r="B113" s="171"/>
      <c r="C113" s="171">
        <f>293.1-C112-C111</f>
        <v>87.500000000000028</v>
      </c>
      <c r="D113" s="171">
        <f>250.2-D112-D111</f>
        <v>73.599999999999994</v>
      </c>
      <c r="E113" s="171"/>
      <c r="F113" s="171"/>
      <c r="G113" s="171"/>
      <c r="I113" s="176">
        <v>90.6</v>
      </c>
      <c r="J113" s="168">
        <v>3</v>
      </c>
      <c r="L113" s="177">
        <v>11766</v>
      </c>
      <c r="M113" s="176">
        <v>132.79999999999998</v>
      </c>
      <c r="N113" s="176">
        <f t="shared" si="4"/>
        <v>227.06088300220753</v>
      </c>
      <c r="O113" s="177">
        <v>6675</v>
      </c>
      <c r="P113" s="176">
        <v>388.50000000000023</v>
      </c>
      <c r="Q113" s="176">
        <f t="shared" si="2"/>
        <v>664.25567052980182</v>
      </c>
      <c r="R113" s="177">
        <v>14800</v>
      </c>
      <c r="S113" s="176">
        <v>216.89999999999998</v>
      </c>
      <c r="T113" s="176">
        <f t="shared" si="3"/>
        <v>370.85471026490069</v>
      </c>
      <c r="V113" s="171" t="s">
        <v>86</v>
      </c>
      <c r="W113" s="180">
        <f>IF('Tab7'!C40="",+'Tab7'!C39+'Tab11'!C39,+'Tab7'!C40+'Tab11'!C40)</f>
        <v>2190.3725613026804</v>
      </c>
      <c r="X113" s="180">
        <f>IF('Tab7'!D40="",+'Tab7'!D39+'Tab11'!D39,+'Tab7'!D40+'Tab11'!D40)</f>
        <v>2885.078195775337</v>
      </c>
      <c r="Y113" s="180">
        <f>IF('Tab7'!E40="",+'Tab7'!E39+'Tab11'!E39,+'Tab7'!E40+'Tab11'!E40)</f>
        <v>2436.6976467575741</v>
      </c>
    </row>
    <row r="114" spans="1:25" x14ac:dyDescent="0.2">
      <c r="A114" s="171">
        <v>4</v>
      </c>
      <c r="B114" s="171"/>
      <c r="C114" s="171">
        <f>413.2-C113-C112-C111</f>
        <v>120.09999999999994</v>
      </c>
      <c r="D114" s="171">
        <f>356.8-D113-D112-D111</f>
        <v>106.60000000000005</v>
      </c>
      <c r="E114" s="171"/>
      <c r="F114" s="171"/>
      <c r="G114" s="171"/>
      <c r="I114" s="176">
        <v>91</v>
      </c>
      <c r="J114" s="168">
        <v>4</v>
      </c>
      <c r="L114" s="177">
        <v>12707</v>
      </c>
      <c r="M114" s="176">
        <v>157.79999999999995</v>
      </c>
      <c r="N114" s="176">
        <f t="shared" si="4"/>
        <v>268.61981868131863</v>
      </c>
      <c r="O114" s="177">
        <v>6319</v>
      </c>
      <c r="P114" s="176">
        <v>466.99999999999977</v>
      </c>
      <c r="Q114" s="176">
        <f t="shared" si="2"/>
        <v>794.96486263736244</v>
      </c>
      <c r="R114" s="177">
        <v>11391</v>
      </c>
      <c r="S114" s="176">
        <v>164.5</v>
      </c>
      <c r="T114" s="176">
        <f t="shared" si="3"/>
        <v>280.02509615384622</v>
      </c>
      <c r="V114" s="171" t="s">
        <v>63</v>
      </c>
      <c r="W114" s="180">
        <f>IF('Tab7'!C42="",+'Tab7'!C41+'Tab11'!C41,+'Tab7'!C42+'Tab11'!C42)</f>
        <v>271.4427038278331</v>
      </c>
      <c r="X114" s="180">
        <f>IF('Tab7'!D42="",+'Tab7'!D41+'Tab11'!D41,+'Tab7'!D42+'Tab11'!D42)</f>
        <v>228.67941788130076</v>
      </c>
      <c r="Y114" s="180">
        <f>IF('Tab7'!E42="",+'Tab7'!E41+'Tab11'!E41,+'Tab7'!E42+'Tab11'!E42)</f>
        <v>293.93898534601152</v>
      </c>
    </row>
    <row r="115" spans="1:25" x14ac:dyDescent="0.2">
      <c r="A115" s="171">
        <v>1</v>
      </c>
      <c r="B115" s="171">
        <v>1994</v>
      </c>
      <c r="C115" s="171">
        <v>138.4</v>
      </c>
      <c r="D115" s="171">
        <v>120</v>
      </c>
      <c r="E115" s="171"/>
      <c r="F115" s="171"/>
      <c r="G115" s="171"/>
      <c r="I115" s="176">
        <v>91</v>
      </c>
      <c r="J115" s="168">
        <v>1</v>
      </c>
      <c r="K115" s="168">
        <v>1994</v>
      </c>
      <c r="L115" s="177">
        <v>15224</v>
      </c>
      <c r="M115" s="176">
        <v>189</v>
      </c>
      <c r="N115" s="176">
        <f t="shared" si="4"/>
        <v>321.7309615384616</v>
      </c>
      <c r="O115" s="177">
        <v>6291</v>
      </c>
      <c r="P115" s="176">
        <v>427.6</v>
      </c>
      <c r="Q115" s="176">
        <f t="shared" si="2"/>
        <v>727.8950219780221</v>
      </c>
      <c r="R115" s="177">
        <v>8795</v>
      </c>
      <c r="S115" s="176">
        <v>161.69999999999999</v>
      </c>
      <c r="T115" s="176">
        <f t="shared" si="3"/>
        <v>275.25871153846157</v>
      </c>
      <c r="V115" s="171" t="s">
        <v>14</v>
      </c>
      <c r="W115" s="183">
        <f>+W117-SUM(W112:W114)</f>
        <v>2076.6537680189049</v>
      </c>
      <c r="X115" s="183">
        <f>+X117-SUM(X112:X114)</f>
        <v>2099.4594360325264</v>
      </c>
      <c r="Y115" s="183">
        <f>+Y117-SUM(Y112:Y114)</f>
        <v>1994.3501010504233</v>
      </c>
    </row>
    <row r="116" spans="1:25" x14ac:dyDescent="0.2">
      <c r="A116" s="171">
        <v>2</v>
      </c>
      <c r="B116" s="171"/>
      <c r="C116" s="171">
        <f>252.9-C115</f>
        <v>114.5</v>
      </c>
      <c r="D116" s="171">
        <f>218.1-D115</f>
        <v>98.1</v>
      </c>
      <c r="E116" s="171"/>
      <c r="F116" s="171"/>
      <c r="G116" s="171"/>
      <c r="I116" s="176">
        <v>91.7</v>
      </c>
      <c r="J116" s="168">
        <v>2</v>
      </c>
      <c r="L116" s="177">
        <v>13585</v>
      </c>
      <c r="M116" s="176">
        <v>166.5</v>
      </c>
      <c r="N116" s="176">
        <f t="shared" si="4"/>
        <v>281.26607142857148</v>
      </c>
      <c r="O116" s="177">
        <v>5517</v>
      </c>
      <c r="P116" s="176">
        <v>494.30000000000007</v>
      </c>
      <c r="Q116" s="176">
        <f t="shared" si="2"/>
        <v>835.01392857142878</v>
      </c>
      <c r="R116" s="177">
        <v>13449</v>
      </c>
      <c r="S116" s="176">
        <v>196.2</v>
      </c>
      <c r="T116" s="176">
        <f t="shared" si="3"/>
        <v>331.43785714285718</v>
      </c>
      <c r="V116" s="171"/>
      <c r="W116" s="180"/>
      <c r="X116" s="180"/>
      <c r="Y116" s="180"/>
    </row>
    <row r="117" spans="1:25" x14ac:dyDescent="0.2">
      <c r="A117" s="171">
        <v>3</v>
      </c>
      <c r="B117" s="171"/>
      <c r="C117" s="171">
        <f>365.7-C115-C116</f>
        <v>112.79999999999998</v>
      </c>
      <c r="D117" s="171">
        <f>316.9-D115-D116</f>
        <v>98.799999999999983</v>
      </c>
      <c r="E117" s="171"/>
      <c r="F117" s="171"/>
      <c r="G117" s="171"/>
      <c r="I117" s="176">
        <v>92.1</v>
      </c>
      <c r="J117" s="168">
        <v>3</v>
      </c>
      <c r="L117" s="177">
        <v>13956</v>
      </c>
      <c r="M117" s="176">
        <v>169.89999999999998</v>
      </c>
      <c r="N117" s="176">
        <f t="shared" si="4"/>
        <v>285.7631297502715</v>
      </c>
      <c r="O117" s="177">
        <v>8952</v>
      </c>
      <c r="P117" s="176">
        <v>425.5</v>
      </c>
      <c r="Q117" s="176">
        <f t="shared" si="2"/>
        <v>715.66928610206321</v>
      </c>
      <c r="R117" s="177">
        <v>15669</v>
      </c>
      <c r="S117" s="176">
        <v>219.80000000000007</v>
      </c>
      <c r="T117" s="176">
        <f t="shared" si="3"/>
        <v>369.69238327904475</v>
      </c>
      <c r="V117" s="171" t="s">
        <v>87</v>
      </c>
      <c r="W117" s="180">
        <f>IF('Tab7'!C36="",+'Tab7'!C35+'Tab11'!C35,+'Tab7'!C36+'Tab11'!C36)</f>
        <v>7507.2033068447599</v>
      </c>
      <c r="X117" s="180">
        <f>IF('Tab7'!D36="",+'Tab7'!D35+'Tab11'!D35,+'Tab7'!D36+'Tab11'!D36)</f>
        <v>8149.5283226513866</v>
      </c>
      <c r="Y117" s="180">
        <f>IF('Tab7'!E36="",+'Tab7'!E35+'Tab11'!E35,+'Tab7'!E36+'Tab11'!E36)</f>
        <v>7691.0786755767867</v>
      </c>
    </row>
    <row r="118" spans="1:25" x14ac:dyDescent="0.2">
      <c r="A118" s="171">
        <v>4</v>
      </c>
      <c r="B118" s="171"/>
      <c r="C118" s="171">
        <f>480.2-C115-C116-C117</f>
        <v>114.49999999999997</v>
      </c>
      <c r="D118" s="171">
        <f>417.1-D115-D116-D117</f>
        <v>100.20000000000005</v>
      </c>
      <c r="E118" s="171"/>
      <c r="F118" s="171"/>
      <c r="G118" s="171"/>
      <c r="I118" s="176">
        <v>92.6</v>
      </c>
      <c r="J118" s="168">
        <v>4</v>
      </c>
      <c r="L118" s="177">
        <v>14006</v>
      </c>
      <c r="M118" s="176">
        <v>140.80000000000007</v>
      </c>
      <c r="N118" s="176">
        <f t="shared" si="4"/>
        <v>235.53969762419021</v>
      </c>
      <c r="O118" s="177">
        <v>8189</v>
      </c>
      <c r="P118" s="176">
        <v>390.59999999999991</v>
      </c>
      <c r="Q118" s="176">
        <f t="shared" si="2"/>
        <v>653.42191684665238</v>
      </c>
      <c r="R118" s="177">
        <v>14139</v>
      </c>
      <c r="S118" s="176">
        <v>214.39999999999998</v>
      </c>
      <c r="T118" s="176">
        <f t="shared" si="3"/>
        <v>358.66272138228948</v>
      </c>
      <c r="V118" s="171"/>
      <c r="X118" s="171"/>
    </row>
    <row r="119" spans="1:25" x14ac:dyDescent="0.2">
      <c r="A119" s="171">
        <v>1</v>
      </c>
      <c r="B119" s="171">
        <v>1995</v>
      </c>
      <c r="C119" s="171">
        <v>137.19999999999999</v>
      </c>
      <c r="D119" s="171">
        <v>119.3</v>
      </c>
      <c r="E119" s="171"/>
      <c r="F119" s="171"/>
      <c r="G119" s="171"/>
      <c r="I119" s="176">
        <v>93.4</v>
      </c>
      <c r="J119" s="168">
        <v>1</v>
      </c>
      <c r="K119" s="168">
        <v>1995</v>
      </c>
      <c r="L119" s="177">
        <v>13188</v>
      </c>
      <c r="M119" s="176">
        <v>171.1</v>
      </c>
      <c r="N119" s="176">
        <f t="shared" si="4"/>
        <v>283.77594486081375</v>
      </c>
      <c r="O119" s="177">
        <v>7699</v>
      </c>
      <c r="P119" s="176">
        <v>543</v>
      </c>
      <c r="Q119" s="176">
        <f t="shared" si="2"/>
        <v>900.58642933618853</v>
      </c>
      <c r="R119" s="177">
        <v>11007</v>
      </c>
      <c r="S119" s="176">
        <v>183.1</v>
      </c>
      <c r="T119" s="176">
        <f t="shared" si="3"/>
        <v>303.67840738758036</v>
      </c>
      <c r="V119" s="170" t="s">
        <v>180</v>
      </c>
    </row>
    <row r="120" spans="1:25" x14ac:dyDescent="0.2">
      <c r="A120" s="171">
        <v>2</v>
      </c>
      <c r="B120" s="171"/>
      <c r="C120" s="171">
        <f>248.2-C119</f>
        <v>111</v>
      </c>
      <c r="D120" s="171">
        <f>214.7-D119</f>
        <v>95.399999999999991</v>
      </c>
      <c r="E120" s="171"/>
      <c r="F120" s="171"/>
      <c r="G120" s="171"/>
      <c r="I120" s="176">
        <v>94.1</v>
      </c>
      <c r="J120" s="168">
        <v>2</v>
      </c>
      <c r="L120" s="177">
        <v>11077</v>
      </c>
      <c r="M120" s="176">
        <v>148.30000000000004</v>
      </c>
      <c r="N120" s="176">
        <f t="shared" si="4"/>
        <v>244.13158607863988</v>
      </c>
      <c r="O120" s="177">
        <v>5465</v>
      </c>
      <c r="P120" s="176">
        <v>462.40000000000009</v>
      </c>
      <c r="Q120" s="176">
        <f t="shared" si="2"/>
        <v>761.2032731137092</v>
      </c>
      <c r="R120" s="177">
        <v>13915</v>
      </c>
      <c r="S120" s="176">
        <v>213.4</v>
      </c>
      <c r="T120" s="176">
        <f t="shared" si="3"/>
        <v>351.29926142401706</v>
      </c>
    </row>
    <row r="121" spans="1:25" x14ac:dyDescent="0.2">
      <c r="A121" s="171">
        <v>3</v>
      </c>
      <c r="B121" s="171"/>
      <c r="C121" s="171">
        <f>364.1-C119-C120</f>
        <v>115.90000000000003</v>
      </c>
      <c r="D121" s="171">
        <f>315.7-D119-D120</f>
        <v>100.99999999999999</v>
      </c>
      <c r="E121" s="171"/>
      <c r="F121" s="171"/>
      <c r="G121" s="171"/>
      <c r="I121" s="176">
        <v>94.1</v>
      </c>
      <c r="J121" s="168">
        <v>3</v>
      </c>
      <c r="L121" s="177">
        <v>13937</v>
      </c>
      <c r="M121" s="176">
        <v>180.19999999999993</v>
      </c>
      <c r="N121" s="176">
        <f t="shared" si="4"/>
        <v>296.64539319872472</v>
      </c>
      <c r="O121" s="177">
        <v>9139</v>
      </c>
      <c r="P121" s="176">
        <v>487.89999999999986</v>
      </c>
      <c r="Q121" s="176">
        <f t="shared" si="2"/>
        <v>803.18139479277352</v>
      </c>
      <c r="R121" s="177">
        <v>17436</v>
      </c>
      <c r="S121" s="176">
        <v>224.09999999999991</v>
      </c>
      <c r="T121" s="176">
        <f t="shared" si="3"/>
        <v>368.91361052072256</v>
      </c>
      <c r="V121" s="171"/>
      <c r="W121" s="175" t="str">
        <f>+'Tab3'!C6</f>
        <v>2020</v>
      </c>
      <c r="X121" s="175" t="str">
        <f>+'Tab3'!D6</f>
        <v>2021</v>
      </c>
      <c r="Y121" s="175" t="str">
        <f>+'Tab3'!E6</f>
        <v>2022</v>
      </c>
    </row>
    <row r="122" spans="1:25" x14ac:dyDescent="0.2">
      <c r="A122" s="171">
        <v>4</v>
      </c>
      <c r="B122" s="171"/>
      <c r="C122" s="171">
        <f>482.9-C119-C120-C121</f>
        <v>118.79999999999995</v>
      </c>
      <c r="D122" s="171">
        <f>420.1-D119-D120-D121</f>
        <v>104.40000000000005</v>
      </c>
      <c r="E122" s="171"/>
      <c r="F122" s="171"/>
      <c r="G122" s="171"/>
      <c r="I122" s="176">
        <v>94.6</v>
      </c>
      <c r="J122" s="168">
        <v>4</v>
      </c>
      <c r="L122" s="177">
        <v>13920</v>
      </c>
      <c r="M122" s="176">
        <v>172.00000000000006</v>
      </c>
      <c r="N122" s="176">
        <f t="shared" si="4"/>
        <v>281.65000000000015</v>
      </c>
      <c r="O122" s="177">
        <v>7500</v>
      </c>
      <c r="P122" s="176">
        <v>369.89999999999986</v>
      </c>
      <c r="Q122" s="176">
        <f t="shared" si="2"/>
        <v>605.71124999999995</v>
      </c>
      <c r="R122" s="177">
        <v>15130</v>
      </c>
      <c r="S122" s="176">
        <v>206.30000000000018</v>
      </c>
      <c r="T122" s="176">
        <f t="shared" si="3"/>
        <v>337.81625000000037</v>
      </c>
      <c r="V122" s="171" t="s">
        <v>10</v>
      </c>
      <c r="W122" s="175">
        <f>IF('Tab3'!C22="",'Tab3'!C29,'Tab3'!C30)</f>
        <v>294870</v>
      </c>
      <c r="X122" s="175">
        <f>IF('Tab3'!D22="",'Tab3'!D29,'Tab3'!D30)</f>
        <v>62196</v>
      </c>
      <c r="Y122" s="175">
        <f>IF('Tab3'!E22="",'Tab3'!E29,'Tab3'!E30)</f>
        <v>150658</v>
      </c>
    </row>
    <row r="123" spans="1:25" x14ac:dyDescent="0.2">
      <c r="A123" s="171">
        <v>1</v>
      </c>
      <c r="B123" s="171">
        <v>1996</v>
      </c>
      <c r="C123" s="171">
        <v>143.9</v>
      </c>
      <c r="D123" s="171">
        <v>126.9</v>
      </c>
      <c r="E123" s="171"/>
      <c r="F123" s="171"/>
      <c r="G123" s="171"/>
      <c r="I123" s="176">
        <v>94.2</v>
      </c>
      <c r="J123" s="168">
        <v>1</v>
      </c>
      <c r="K123" s="168">
        <v>1996</v>
      </c>
      <c r="L123" s="177">
        <v>29850</v>
      </c>
      <c r="M123" s="176">
        <v>375.59999999999997</v>
      </c>
      <c r="N123" s="176">
        <f t="shared" si="4"/>
        <v>617.65665605095546</v>
      </c>
      <c r="O123" s="177">
        <v>7239</v>
      </c>
      <c r="P123" s="176">
        <v>479.9</v>
      </c>
      <c r="Q123" s="176">
        <f t="shared" si="2"/>
        <v>789.17313428874752</v>
      </c>
      <c r="R123" s="177">
        <v>11785</v>
      </c>
      <c r="S123" s="176">
        <v>198.60000000000002</v>
      </c>
      <c r="T123" s="176">
        <f t="shared" si="3"/>
        <v>326.58842356687904</v>
      </c>
      <c r="V123" s="168" t="s">
        <v>112</v>
      </c>
      <c r="W123" s="175">
        <f>IF('Tab9'!C8="",'Tab9'!C7,'Tab9'!C8)</f>
        <v>66159.205778553864</v>
      </c>
      <c r="X123" s="175">
        <f>IF('Tab9'!D8="",'Tab9'!D7,'Tab9'!D8)</f>
        <v>76519.52491323532</v>
      </c>
      <c r="Y123" s="175">
        <f>IF('Tab9'!E8="",'Tab9'!E7,'Tab9'!E8)</f>
        <v>62223.450827534485</v>
      </c>
    </row>
    <row r="124" spans="1:25" x14ac:dyDescent="0.2">
      <c r="A124" s="171">
        <v>2</v>
      </c>
      <c r="B124" s="171"/>
      <c r="C124" s="171">
        <f>275.5-C123</f>
        <v>131.6</v>
      </c>
      <c r="D124" s="171">
        <f>242.6-D123</f>
        <v>115.69999999999999</v>
      </c>
      <c r="E124" s="171"/>
      <c r="F124" s="171"/>
      <c r="G124" s="171"/>
      <c r="I124" s="176">
        <v>95.1</v>
      </c>
      <c r="J124" s="168">
        <v>2</v>
      </c>
      <c r="L124" s="177">
        <v>17799</v>
      </c>
      <c r="M124" s="176">
        <v>234.8</v>
      </c>
      <c r="N124" s="176">
        <f t="shared" si="4"/>
        <v>382.46352260778139</v>
      </c>
      <c r="O124" s="177">
        <v>6503</v>
      </c>
      <c r="P124" s="176">
        <v>585.30000000000007</v>
      </c>
      <c r="Q124" s="176">
        <f t="shared" si="2"/>
        <v>953.38969242902238</v>
      </c>
      <c r="R124" s="177">
        <v>14642</v>
      </c>
      <c r="S124" s="176">
        <v>220.09999999999997</v>
      </c>
      <c r="T124" s="176">
        <f t="shared" si="3"/>
        <v>358.51883017875923</v>
      </c>
      <c r="V124" s="168" t="s">
        <v>111</v>
      </c>
      <c r="W124" s="175">
        <f>IF('Tab8'!C8="",'Tab8'!C7,'Tab8'!C8)</f>
        <v>106839.91951412651</v>
      </c>
      <c r="X124" s="175">
        <f>IF('Tab8'!D8="",'Tab8'!D7,'Tab8'!D8)</f>
        <v>118109</v>
      </c>
      <c r="Y124" s="175">
        <f>IF('Tab8'!E8="",'Tab8'!E7,'Tab8'!E8)</f>
        <v>113246.48745182162</v>
      </c>
    </row>
    <row r="125" spans="1:25" x14ac:dyDescent="0.2">
      <c r="A125" s="171">
        <v>3</v>
      </c>
      <c r="B125" s="171"/>
      <c r="C125" s="171">
        <f>387.5-C123-C124</f>
        <v>112</v>
      </c>
      <c r="D125" s="171">
        <f>339.3-D123-D124</f>
        <v>96.700000000000017</v>
      </c>
      <c r="E125" s="171"/>
      <c r="F125" s="171"/>
      <c r="G125" s="171"/>
      <c r="I125" s="176">
        <v>95.5</v>
      </c>
      <c r="J125" s="168">
        <v>3</v>
      </c>
      <c r="L125" s="177">
        <v>16263</v>
      </c>
      <c r="M125" s="176">
        <v>240.00000000000011</v>
      </c>
      <c r="N125" s="176">
        <f t="shared" si="4"/>
        <v>389.2963350785343</v>
      </c>
      <c r="O125" s="177">
        <v>8934</v>
      </c>
      <c r="P125" s="176">
        <v>581.89999999999986</v>
      </c>
      <c r="Q125" s="176">
        <f t="shared" si="2"/>
        <v>943.88140575916225</v>
      </c>
      <c r="R125" s="177">
        <v>17198</v>
      </c>
      <c r="S125" s="176">
        <v>233.2</v>
      </c>
      <c r="T125" s="176">
        <f t="shared" si="3"/>
        <v>378.26627225130898</v>
      </c>
      <c r="V125" s="171" t="s">
        <v>169</v>
      </c>
      <c r="W125" s="175">
        <f>IF('Tab3'!C16="",'Tab3'!C15,'Tab3'!C16)</f>
        <v>21334.431123936934</v>
      </c>
      <c r="X125" s="175">
        <f>IF('Tab3'!D16="",'Tab3'!D15,'Tab3'!D16)</f>
        <v>24373.170409300845</v>
      </c>
      <c r="Y125" s="175">
        <f>IF('Tab3'!E16="",'Tab3'!E15,'Tab3'!E16)</f>
        <v>21677.887427966238</v>
      </c>
    </row>
    <row r="126" spans="1:25" x14ac:dyDescent="0.2">
      <c r="A126" s="171">
        <v>4</v>
      </c>
      <c r="B126" s="171"/>
      <c r="C126" s="171">
        <f>520-C123-C124-C125</f>
        <v>132.50000000000003</v>
      </c>
      <c r="D126" s="171">
        <f>452.4-D123-D124-D125</f>
        <v>113.1</v>
      </c>
      <c r="E126" s="171"/>
      <c r="F126" s="171"/>
      <c r="G126" s="171"/>
      <c r="I126" s="176">
        <v>96.3</v>
      </c>
      <c r="J126" s="168">
        <v>4</v>
      </c>
      <c r="L126" s="177">
        <v>16638</v>
      </c>
      <c r="M126" s="176">
        <v>233.40000000000009</v>
      </c>
      <c r="N126" s="176">
        <f t="shared" si="4"/>
        <v>375.44559190031174</v>
      </c>
      <c r="O126" s="177">
        <v>7966</v>
      </c>
      <c r="P126" s="176">
        <v>665.80000000000018</v>
      </c>
      <c r="Q126" s="176">
        <f t="shared" si="2"/>
        <v>1071.0011786085156</v>
      </c>
      <c r="R126" s="177">
        <v>13841</v>
      </c>
      <c r="S126" s="176">
        <v>188.00000000000011</v>
      </c>
      <c r="T126" s="176">
        <f t="shared" si="3"/>
        <v>302.41547248182786</v>
      </c>
    </row>
    <row r="127" spans="1:25" x14ac:dyDescent="0.2">
      <c r="A127" s="171">
        <v>1</v>
      </c>
      <c r="B127" s="171">
        <v>1997</v>
      </c>
      <c r="C127" s="171">
        <v>142.6</v>
      </c>
      <c r="D127" s="171">
        <v>124.8</v>
      </c>
      <c r="E127" s="171"/>
      <c r="F127" s="171"/>
      <c r="G127" s="171"/>
      <c r="I127" s="176">
        <v>97.3</v>
      </c>
      <c r="J127" s="168">
        <v>1</v>
      </c>
      <c r="K127" s="168">
        <v>1997</v>
      </c>
      <c r="L127" s="177">
        <v>17837</v>
      </c>
      <c r="M127" s="176">
        <v>255.29999999999998</v>
      </c>
      <c r="N127" s="176">
        <f t="shared" si="4"/>
        <v>406.45308067831456</v>
      </c>
      <c r="O127" s="177">
        <v>7574</v>
      </c>
      <c r="P127" s="176">
        <v>625.70000000000005</v>
      </c>
      <c r="Q127" s="176">
        <f t="shared" si="2"/>
        <v>996.15234069886969</v>
      </c>
      <c r="R127" s="177">
        <v>10571</v>
      </c>
      <c r="S127" s="176">
        <v>187.8</v>
      </c>
      <c r="T127" s="176">
        <f t="shared" si="3"/>
        <v>298.98898766700933</v>
      </c>
      <c r="V127" s="170" t="s">
        <v>181</v>
      </c>
    </row>
    <row r="128" spans="1:25" x14ac:dyDescent="0.2">
      <c r="A128" s="171">
        <v>2</v>
      </c>
      <c r="B128" s="171"/>
      <c r="C128" s="171">
        <f>284.4-C127</f>
        <v>141.79999999999998</v>
      </c>
      <c r="D128" s="171">
        <f>247.3-D127</f>
        <v>122.50000000000001</v>
      </c>
      <c r="E128" s="171"/>
      <c r="F128" s="171"/>
      <c r="G128" s="171"/>
      <c r="I128" s="176">
        <v>97.7</v>
      </c>
      <c r="J128" s="168">
        <v>2</v>
      </c>
      <c r="L128" s="177">
        <v>16872</v>
      </c>
      <c r="M128" s="176">
        <v>281.30000000000007</v>
      </c>
      <c r="N128" s="176">
        <f t="shared" si="4"/>
        <v>446.01309877175044</v>
      </c>
      <c r="O128" s="177">
        <v>7284</v>
      </c>
      <c r="P128" s="176">
        <v>664.39999999999986</v>
      </c>
      <c r="Q128" s="176">
        <f t="shared" si="2"/>
        <v>1053.4344216990787</v>
      </c>
      <c r="R128" s="177">
        <v>14837</v>
      </c>
      <c r="S128" s="176">
        <v>224.59999999999997</v>
      </c>
      <c r="T128" s="176">
        <f t="shared" si="3"/>
        <v>356.11284032753326</v>
      </c>
      <c r="W128" s="175" t="str">
        <f>+'Tab3'!C6</f>
        <v>2020</v>
      </c>
      <c r="X128" s="175" t="str">
        <f>+'Tab3'!D6</f>
        <v>2021</v>
      </c>
      <c r="Y128" s="175" t="str">
        <f>+'Tab3'!E6</f>
        <v>2022</v>
      </c>
    </row>
    <row r="129" spans="1:25" x14ac:dyDescent="0.2">
      <c r="A129" s="171">
        <v>3</v>
      </c>
      <c r="B129" s="171"/>
      <c r="C129" s="171">
        <f>419.8-C127-C128</f>
        <v>135.40000000000006</v>
      </c>
      <c r="D129" s="171">
        <f>364.6-D127-D128</f>
        <v>117.3</v>
      </c>
      <c r="E129" s="171"/>
      <c r="F129" s="171" t="s">
        <v>74</v>
      </c>
      <c r="G129" s="171"/>
      <c r="I129" s="176">
        <v>97.7</v>
      </c>
      <c r="J129" s="168">
        <v>3</v>
      </c>
      <c r="L129" s="177">
        <v>17873</v>
      </c>
      <c r="M129" s="176">
        <v>297.89999999999998</v>
      </c>
      <c r="N129" s="176">
        <f t="shared" si="4"/>
        <v>472.33310388945756</v>
      </c>
      <c r="O129" s="177">
        <v>14581</v>
      </c>
      <c r="P129" s="176">
        <v>720.30000000000018</v>
      </c>
      <c r="Q129" s="176">
        <f t="shared" si="2"/>
        <v>1142.0662461617201</v>
      </c>
      <c r="R129" s="177">
        <v>15670</v>
      </c>
      <c r="S129" s="176">
        <v>198.80000000000007</v>
      </c>
      <c r="T129" s="176">
        <f t="shared" si="3"/>
        <v>315.20584442169923</v>
      </c>
      <c r="V129" s="171" t="s">
        <v>11</v>
      </c>
      <c r="W129" s="175">
        <f>IF('Tab3'!C30="",'Tab3'!C31,'Tab3'!C32)</f>
        <v>5589.2439507481295</v>
      </c>
      <c r="X129" s="175">
        <f>IF('Tab3'!D30="",'Tab3'!D31,'Tab3'!D32)</f>
        <v>5363.9700748129671</v>
      </c>
      <c r="Y129" s="175">
        <f>IF('Tab3'!E30="",'Tab3'!E31,'Tab3'!E32)</f>
        <v>4577.5723748753117</v>
      </c>
    </row>
    <row r="130" spans="1:25" x14ac:dyDescent="0.2">
      <c r="A130" s="171">
        <v>4</v>
      </c>
      <c r="B130" s="171"/>
      <c r="C130" s="171">
        <f>550.4-C127-C128-C129</f>
        <v>130.59999999999994</v>
      </c>
      <c r="D130" s="171">
        <f>478.3-D127-D128-D129</f>
        <v>113.7</v>
      </c>
      <c r="E130" s="171"/>
      <c r="F130" s="171"/>
      <c r="G130" s="171"/>
      <c r="I130" s="176">
        <v>98.4</v>
      </c>
      <c r="J130" s="168">
        <v>4</v>
      </c>
      <c r="L130" s="177">
        <v>15493</v>
      </c>
      <c r="M130" s="176">
        <v>267.70000000000005</v>
      </c>
      <c r="N130" s="176">
        <f t="shared" si="4"/>
        <v>421.43026168699197</v>
      </c>
      <c r="O130" s="177">
        <v>9445</v>
      </c>
      <c r="P130" s="176">
        <v>564</v>
      </c>
      <c r="Q130" s="176">
        <f t="shared" si="2"/>
        <v>887.88445121951236</v>
      </c>
      <c r="R130" s="177">
        <v>13087</v>
      </c>
      <c r="S130" s="176">
        <v>185.09999999999991</v>
      </c>
      <c r="T130" s="176">
        <f t="shared" si="3"/>
        <v>291.39612042682916</v>
      </c>
      <c r="V130" s="171" t="s">
        <v>12</v>
      </c>
      <c r="W130" s="175">
        <f>IF('Tab3'!C32="",'Tab3'!C33,'Tab3'!C34)</f>
        <v>5601.33677102</v>
      </c>
      <c r="X130" s="175">
        <f>IF('Tab3'!D32="",'Tab3'!D33,'Tab3'!D34)</f>
        <v>6032.4699999999993</v>
      </c>
      <c r="Y130" s="175">
        <f>IF('Tab3'!E32="",'Tab3'!E33,'Tab3'!E34)</f>
        <v>5969.2924722399994</v>
      </c>
    </row>
    <row r="131" spans="1:25" x14ac:dyDescent="0.2">
      <c r="A131" s="171">
        <v>1</v>
      </c>
      <c r="B131" s="171">
        <v>1998</v>
      </c>
      <c r="C131" s="171">
        <v>150</v>
      </c>
      <c r="D131" s="171">
        <v>131.9</v>
      </c>
      <c r="E131" s="171"/>
      <c r="F131" s="171" t="s">
        <v>78</v>
      </c>
      <c r="G131" s="171"/>
      <c r="I131" s="176">
        <v>99.3</v>
      </c>
      <c r="J131" s="168">
        <v>1</v>
      </c>
      <c r="K131" s="168">
        <v>1998</v>
      </c>
      <c r="L131" s="177">
        <v>17629</v>
      </c>
      <c r="M131" s="176">
        <v>285</v>
      </c>
      <c r="N131" s="176">
        <f t="shared" si="4"/>
        <v>444.59856495468284</v>
      </c>
      <c r="O131" s="177">
        <v>7614</v>
      </c>
      <c r="P131" s="176">
        <v>599.6</v>
      </c>
      <c r="Q131" s="176">
        <f t="shared" si="2"/>
        <v>935.37298086606268</v>
      </c>
      <c r="R131" s="177">
        <v>11958</v>
      </c>
      <c r="S131" s="176">
        <v>185.4</v>
      </c>
      <c r="T131" s="176">
        <f t="shared" si="3"/>
        <v>289.22306646525686</v>
      </c>
      <c r="V131" s="171" t="s">
        <v>7</v>
      </c>
      <c r="W131" s="175">
        <f>IF('Tab3'!C18="",'Tab3'!C17,'Tab3'!C18)</f>
        <v>4272.1273306122448</v>
      </c>
      <c r="X131" s="175">
        <f>IF('Tab3'!D18="",'Tab3'!D17,'Tab3'!D18)</f>
        <v>4512.3466285714285</v>
      </c>
      <c r="Y131" s="175">
        <f>IF('Tab3'!E18="",'Tab3'!E17,'Tab3'!E18)</f>
        <v>4372.7643300391837</v>
      </c>
    </row>
    <row r="132" spans="1:25" x14ac:dyDescent="0.2">
      <c r="A132" s="171">
        <v>2</v>
      </c>
      <c r="B132" s="171"/>
      <c r="C132" s="171">
        <f>289.8-C131</f>
        <v>139.80000000000001</v>
      </c>
      <c r="D132" s="171">
        <f>253.9-D131</f>
        <v>122</v>
      </c>
      <c r="E132" s="171"/>
      <c r="F132" s="171" t="s">
        <v>79</v>
      </c>
      <c r="G132" s="171" t="s">
        <v>80</v>
      </c>
      <c r="I132" s="176">
        <v>99.7</v>
      </c>
      <c r="J132" s="168">
        <v>2</v>
      </c>
      <c r="L132" s="177">
        <v>14484</v>
      </c>
      <c r="M132" s="176">
        <v>253.5</v>
      </c>
      <c r="N132" s="176">
        <f t="shared" si="4"/>
        <v>393.87212888666005</v>
      </c>
      <c r="O132" s="177">
        <v>6009</v>
      </c>
      <c r="P132" s="176">
        <v>576.9</v>
      </c>
      <c r="Q132" s="176">
        <f t="shared" si="2"/>
        <v>896.35041875626894</v>
      </c>
      <c r="R132" s="177">
        <v>15060</v>
      </c>
      <c r="S132" s="176">
        <v>204.20000000000002</v>
      </c>
      <c r="T132" s="176">
        <f t="shared" si="3"/>
        <v>317.27293380140429</v>
      </c>
      <c r="V132" s="168" t="s">
        <v>113</v>
      </c>
      <c r="W132" s="175">
        <f>IF('Tab10'!C8="",'Tab10'!C7,'Tab10'!C8)</f>
        <v>9385.896054622508</v>
      </c>
      <c r="X132" s="175">
        <f>IF('Tab10'!D8="",'Tab10'!D7,'Tab10'!D8)</f>
        <v>11835</v>
      </c>
      <c r="Y132" s="175">
        <f>IF('Tab10'!E8="",'Tab10'!E7,'Tab10'!E8)</f>
        <v>9190.9613352168672</v>
      </c>
    </row>
    <row r="133" spans="1:25" x14ac:dyDescent="0.2">
      <c r="A133" s="171">
        <v>3</v>
      </c>
      <c r="B133" s="171"/>
      <c r="C133" s="171">
        <f>+E133-C131-C132</f>
        <v>128.09999999999997</v>
      </c>
      <c r="D133" s="171">
        <f>+G133-D131-D132</f>
        <v>112.1</v>
      </c>
      <c r="E133" s="171">
        <v>417.9</v>
      </c>
      <c r="G133" s="171">
        <v>366</v>
      </c>
      <c r="I133" s="180">
        <v>99.8</v>
      </c>
      <c r="J133" s="168">
        <v>3</v>
      </c>
      <c r="L133" s="177">
        <v>15693</v>
      </c>
      <c r="M133" s="176">
        <v>257.89999999999998</v>
      </c>
      <c r="N133" s="176">
        <f t="shared" si="4"/>
        <v>400.30705661322651</v>
      </c>
      <c r="O133" s="177">
        <v>8328</v>
      </c>
      <c r="P133" s="176">
        <v>432.80000000000018</v>
      </c>
      <c r="Q133" s="176">
        <f t="shared" si="2"/>
        <v>671.78322645290621</v>
      </c>
      <c r="R133" s="177">
        <v>17098</v>
      </c>
      <c r="S133" s="176">
        <v>209.60000000000002</v>
      </c>
      <c r="T133" s="176">
        <f t="shared" si="3"/>
        <v>325.33679358717444</v>
      </c>
      <c r="V133" s="171" t="s">
        <v>9</v>
      </c>
      <c r="W133" s="175">
        <f>IF('Tab3'!C22="",'Tab3'!C21,'Tab3'!C22)</f>
        <v>12597.658333333333</v>
      </c>
      <c r="X133" s="175">
        <f>IF('Tab3'!D22="",'Tab3'!D21,'Tab3'!D22)</f>
        <v>14157.14</v>
      </c>
      <c r="Y133" s="175">
        <f>IF('Tab3'!E22="",'Tab3'!E21,'Tab3'!E22)</f>
        <v>17803.259999999998</v>
      </c>
    </row>
    <row r="134" spans="1:25" x14ac:dyDescent="0.2">
      <c r="A134" s="171">
        <v>4</v>
      </c>
      <c r="B134" s="171"/>
      <c r="C134" s="171">
        <f>+E134-E133</f>
        <v>141.80000000000007</v>
      </c>
      <c r="D134" s="171">
        <f>+G134-G133</f>
        <v>125.60000000000002</v>
      </c>
      <c r="E134" s="171">
        <v>559.70000000000005</v>
      </c>
      <c r="G134" s="171">
        <v>491.6</v>
      </c>
      <c r="I134" s="180">
        <v>100.7</v>
      </c>
      <c r="J134" s="168">
        <v>4</v>
      </c>
      <c r="L134" s="177">
        <v>16502</v>
      </c>
      <c r="M134" s="176">
        <v>299.10000000000002</v>
      </c>
      <c r="N134" s="176">
        <f t="shared" si="4"/>
        <v>460.10757944389286</v>
      </c>
      <c r="O134" s="177">
        <v>7526</v>
      </c>
      <c r="P134" s="176">
        <v>738.59999999999945</v>
      </c>
      <c r="Q134" s="176">
        <f t="shared" si="2"/>
        <v>1136.193440913604</v>
      </c>
      <c r="R134" s="177">
        <v>14647</v>
      </c>
      <c r="S134" s="176">
        <v>205.79999999999995</v>
      </c>
      <c r="T134" s="176">
        <f t="shared" si="3"/>
        <v>316.58355014895727</v>
      </c>
    </row>
    <row r="135" spans="1:25" x14ac:dyDescent="0.2">
      <c r="A135" s="171">
        <v>1</v>
      </c>
      <c r="B135" s="171">
        <v>1999</v>
      </c>
      <c r="C135" s="171">
        <f>+E135</f>
        <v>154.19999999999999</v>
      </c>
      <c r="D135" s="171">
        <f>+G135</f>
        <v>137.1</v>
      </c>
      <c r="E135" s="171">
        <v>154.19999999999999</v>
      </c>
      <c r="G135" s="171">
        <v>137.1</v>
      </c>
      <c r="I135" s="180">
        <v>101.4</v>
      </c>
      <c r="J135" s="168">
        <v>1</v>
      </c>
      <c r="K135" s="168">
        <v>1999</v>
      </c>
      <c r="L135" s="177">
        <v>18095</v>
      </c>
      <c r="M135" s="176">
        <v>328.50000000000006</v>
      </c>
      <c r="N135" s="176">
        <f t="shared" si="4"/>
        <v>501.84530325443802</v>
      </c>
      <c r="O135" s="177">
        <v>8863</v>
      </c>
      <c r="P135" s="176">
        <v>689.1</v>
      </c>
      <c r="Q135" s="176">
        <f t="shared" si="2"/>
        <v>1052.7293713017755</v>
      </c>
      <c r="R135" s="177">
        <v>11175</v>
      </c>
      <c r="S135" s="176">
        <v>162.80000000000001</v>
      </c>
      <c r="T135" s="176">
        <f t="shared" si="3"/>
        <v>248.70750493096651</v>
      </c>
    </row>
    <row r="136" spans="1:25" x14ac:dyDescent="0.2">
      <c r="A136" s="171">
        <v>2</v>
      </c>
      <c r="B136" s="171"/>
      <c r="C136" s="171">
        <f>+E136-E135</f>
        <v>159.30000000000001</v>
      </c>
      <c r="D136" s="171">
        <f>+G136-G135</f>
        <v>140.70000000000002</v>
      </c>
      <c r="E136" s="171">
        <v>313.5</v>
      </c>
      <c r="G136" s="171">
        <v>277.8</v>
      </c>
      <c r="I136" s="180">
        <v>102.2</v>
      </c>
      <c r="J136" s="168">
        <v>2</v>
      </c>
      <c r="L136" s="177">
        <v>12899</v>
      </c>
      <c r="M136" s="176">
        <v>332.7</v>
      </c>
      <c r="N136" s="176">
        <f t="shared" si="4"/>
        <v>504.28302592954998</v>
      </c>
      <c r="O136" s="177">
        <v>5920</v>
      </c>
      <c r="P136" s="176">
        <v>874.6</v>
      </c>
      <c r="Q136" s="176">
        <f t="shared" si="2"/>
        <v>1325.6565508806266</v>
      </c>
      <c r="R136" s="177">
        <v>12451</v>
      </c>
      <c r="S136" s="176">
        <v>199.09999999999997</v>
      </c>
      <c r="T136" s="176">
        <f t="shared" si="3"/>
        <v>301.7816364970646</v>
      </c>
    </row>
    <row r="137" spans="1:25" x14ac:dyDescent="0.2">
      <c r="A137" s="171">
        <v>3</v>
      </c>
      <c r="B137" s="171"/>
      <c r="C137" s="171">
        <f>+E137-E136</f>
        <v>146.30000000000001</v>
      </c>
      <c r="D137" s="171">
        <f>+G137-G136</f>
        <v>128.69999999999999</v>
      </c>
      <c r="E137" s="171">
        <v>459.8</v>
      </c>
      <c r="G137" s="171">
        <v>406.5</v>
      </c>
      <c r="I137" s="180">
        <v>101.7</v>
      </c>
      <c r="J137" s="168">
        <v>3</v>
      </c>
      <c r="L137" s="177">
        <v>23305</v>
      </c>
      <c r="M137" s="176">
        <v>445.5</v>
      </c>
      <c r="N137" s="176">
        <f t="shared" si="4"/>
        <v>678.57710176991156</v>
      </c>
      <c r="O137" s="177">
        <v>11181</v>
      </c>
      <c r="P137" s="176">
        <v>566.99999999999977</v>
      </c>
      <c r="Q137" s="176">
        <f t="shared" si="2"/>
        <v>863.64358407079624</v>
      </c>
      <c r="R137" s="177">
        <v>18817</v>
      </c>
      <c r="S137" s="176">
        <v>227.70000000000005</v>
      </c>
      <c r="T137" s="176">
        <f t="shared" si="3"/>
        <v>346.82829646017717</v>
      </c>
    </row>
    <row r="138" spans="1:25" x14ac:dyDescent="0.2">
      <c r="A138" s="171">
        <v>4</v>
      </c>
      <c r="B138" s="171"/>
      <c r="C138" s="171">
        <f>+E138-E137</f>
        <v>141.90000000000003</v>
      </c>
      <c r="D138" s="171">
        <f>+G138-G137</f>
        <v>126.39999999999998</v>
      </c>
      <c r="E138" s="171">
        <v>601.70000000000005</v>
      </c>
      <c r="G138" s="171">
        <v>532.9</v>
      </c>
      <c r="I138" s="176">
        <v>103.5</v>
      </c>
      <c r="J138" s="168">
        <v>4</v>
      </c>
      <c r="L138" s="177">
        <v>18359</v>
      </c>
      <c r="M138" s="176">
        <v>410.59999999999968</v>
      </c>
      <c r="N138" s="176">
        <f t="shared" si="4"/>
        <v>614.54125120772903</v>
      </c>
      <c r="O138" s="177">
        <v>9544</v>
      </c>
      <c r="P138" s="176">
        <v>935.5</v>
      </c>
      <c r="Q138" s="176">
        <f t="shared" si="2"/>
        <v>1400.1542632850244</v>
      </c>
      <c r="R138" s="177">
        <v>13692</v>
      </c>
      <c r="S138" s="176">
        <v>192.19999999999993</v>
      </c>
      <c r="T138" s="176">
        <f t="shared" si="3"/>
        <v>287.66397584541056</v>
      </c>
    </row>
    <row r="139" spans="1:25" x14ac:dyDescent="0.2">
      <c r="A139" s="171">
        <v>1</v>
      </c>
      <c r="B139" s="171">
        <v>2000</v>
      </c>
      <c r="C139" s="171">
        <f>+E139</f>
        <v>169.1</v>
      </c>
      <c r="D139" s="171">
        <f>+G139</f>
        <v>150.9</v>
      </c>
      <c r="E139" s="171">
        <v>169.1</v>
      </c>
      <c r="G139" s="171">
        <v>150.9</v>
      </c>
      <c r="I139" s="176">
        <v>104.6</v>
      </c>
      <c r="J139" s="168">
        <v>1</v>
      </c>
      <c r="K139" s="168">
        <v>2000</v>
      </c>
      <c r="L139" s="177">
        <v>17570</v>
      </c>
      <c r="M139" s="176">
        <v>345.9</v>
      </c>
      <c r="N139" s="176">
        <f t="shared" si="4"/>
        <v>512.26103489483751</v>
      </c>
      <c r="O139" s="177">
        <v>9154</v>
      </c>
      <c r="P139" s="176">
        <v>819.9</v>
      </c>
      <c r="Q139" s="176">
        <f t="shared" si="2"/>
        <v>1214.2319239961762</v>
      </c>
      <c r="R139" s="177">
        <v>12421</v>
      </c>
      <c r="S139" s="176">
        <v>198</v>
      </c>
      <c r="T139" s="176">
        <f t="shared" si="3"/>
        <v>293.22834608030598</v>
      </c>
    </row>
    <row r="140" spans="1:25" x14ac:dyDescent="0.2">
      <c r="A140" s="171">
        <v>2</v>
      </c>
      <c r="B140" s="171"/>
      <c r="C140" s="171">
        <f>+E140-E139</f>
        <v>151.50000000000003</v>
      </c>
      <c r="D140" s="171">
        <f>+G140-G139</f>
        <v>133.4</v>
      </c>
      <c r="E140" s="171">
        <v>320.60000000000002</v>
      </c>
      <c r="G140" s="171">
        <v>284.3</v>
      </c>
      <c r="I140" s="176">
        <v>105.1</v>
      </c>
      <c r="J140" s="168">
        <v>2</v>
      </c>
      <c r="L140" s="177">
        <v>14069</v>
      </c>
      <c r="M140" s="176">
        <v>252.39999999999998</v>
      </c>
      <c r="N140" s="176">
        <f t="shared" si="4"/>
        <v>372.01382492863945</v>
      </c>
      <c r="O140" s="177">
        <v>10238</v>
      </c>
      <c r="P140" s="176">
        <v>674.19999999999993</v>
      </c>
      <c r="Q140" s="176">
        <f t="shared" si="2"/>
        <v>993.70729305423424</v>
      </c>
      <c r="R140" s="177">
        <v>13950</v>
      </c>
      <c r="S140" s="176">
        <v>184.5</v>
      </c>
      <c r="T140" s="176">
        <f t="shared" si="3"/>
        <v>271.93562083729785</v>
      </c>
    </row>
    <row r="141" spans="1:25" x14ac:dyDescent="0.2">
      <c r="A141" s="171">
        <v>3</v>
      </c>
      <c r="B141" s="171"/>
      <c r="C141" s="171">
        <f>+E141-E140</f>
        <v>139</v>
      </c>
      <c r="D141" s="171">
        <f>+G141-G140</f>
        <v>123.5</v>
      </c>
      <c r="E141" s="171">
        <v>459.6</v>
      </c>
      <c r="G141" s="171">
        <v>407.8</v>
      </c>
      <c r="I141" s="176">
        <v>105.3</v>
      </c>
      <c r="J141" s="168">
        <v>3</v>
      </c>
      <c r="L141" s="177">
        <v>16329</v>
      </c>
      <c r="M141" s="176">
        <v>313.5</v>
      </c>
      <c r="N141" s="176">
        <f t="shared" si="4"/>
        <v>461.19184472934478</v>
      </c>
      <c r="O141" s="177">
        <v>13877</v>
      </c>
      <c r="P141" s="176">
        <v>706.20000000000027</v>
      </c>
      <c r="Q141" s="176">
        <f t="shared" si="2"/>
        <v>1038.895313390314</v>
      </c>
      <c r="R141" s="177">
        <v>14850</v>
      </c>
      <c r="S141" s="176">
        <v>193.89999999999998</v>
      </c>
      <c r="T141" s="176">
        <f t="shared" si="3"/>
        <v>285.24752374169043</v>
      </c>
    </row>
    <row r="142" spans="1:25" x14ac:dyDescent="0.2">
      <c r="A142" s="171">
        <v>4</v>
      </c>
      <c r="B142" s="171"/>
      <c r="C142" s="171">
        <f>+E142-E141</f>
        <v>135.10000000000002</v>
      </c>
      <c r="D142" s="171">
        <f>+G142-G141</f>
        <v>121.40000000000003</v>
      </c>
      <c r="E142" s="171">
        <v>594.70000000000005</v>
      </c>
      <c r="G142" s="171">
        <v>529.20000000000005</v>
      </c>
      <c r="I142" s="176">
        <v>106.8</v>
      </c>
      <c r="J142" s="168">
        <v>4</v>
      </c>
      <c r="L142" s="177">
        <v>21735</v>
      </c>
      <c r="M142" s="176">
        <v>484.79999999999995</v>
      </c>
      <c r="N142" s="176">
        <f t="shared" si="4"/>
        <v>703.17561797752819</v>
      </c>
      <c r="O142" s="177">
        <v>9978</v>
      </c>
      <c r="P142" s="176">
        <v>739.19999999999982</v>
      </c>
      <c r="Q142" s="176">
        <f t="shared" si="2"/>
        <v>1072.1687640449438</v>
      </c>
      <c r="R142" s="177">
        <v>13212</v>
      </c>
      <c r="S142" s="176">
        <v>215</v>
      </c>
      <c r="T142" s="176">
        <f t="shared" si="3"/>
        <v>311.84562265917612</v>
      </c>
    </row>
    <row r="143" spans="1:25" x14ac:dyDescent="0.2">
      <c r="A143" s="171">
        <v>1</v>
      </c>
      <c r="B143" s="171">
        <v>2001</v>
      </c>
      <c r="C143" s="171">
        <f>+E143</f>
        <v>158.5</v>
      </c>
      <c r="D143" s="171">
        <f>+G143</f>
        <v>143.1</v>
      </c>
      <c r="E143" s="171">
        <v>158.5</v>
      </c>
      <c r="G143" s="171">
        <v>143.1</v>
      </c>
      <c r="I143" s="176">
        <v>108.4</v>
      </c>
      <c r="J143" s="168">
        <v>1</v>
      </c>
      <c r="K143" s="168">
        <v>2001</v>
      </c>
      <c r="L143" s="177">
        <v>27280</v>
      </c>
      <c r="M143" s="176">
        <v>675.3</v>
      </c>
      <c r="N143" s="176">
        <f t="shared" si="4"/>
        <v>965.02799584870854</v>
      </c>
      <c r="O143" s="177">
        <v>7776</v>
      </c>
      <c r="P143" s="176">
        <v>877</v>
      </c>
      <c r="Q143" s="176">
        <f t="shared" si="2"/>
        <v>1253.264552583026</v>
      </c>
      <c r="R143" s="177">
        <v>10538</v>
      </c>
      <c r="S143" s="176">
        <v>164.1</v>
      </c>
      <c r="T143" s="176">
        <f t="shared" si="3"/>
        <v>234.50480396678969</v>
      </c>
    </row>
    <row r="144" spans="1:25" x14ac:dyDescent="0.2">
      <c r="A144" s="171">
        <v>2</v>
      </c>
      <c r="B144" s="171"/>
      <c r="C144" s="171">
        <f>+E144-E143</f>
        <v>140.45999999999998</v>
      </c>
      <c r="D144" s="171">
        <f>+G144-G143</f>
        <v>125.70000000000002</v>
      </c>
      <c r="E144" s="171">
        <v>298.95999999999998</v>
      </c>
      <c r="G144" s="171">
        <v>268.8</v>
      </c>
      <c r="I144" s="176">
        <v>109.6</v>
      </c>
      <c r="J144" s="168">
        <v>2</v>
      </c>
      <c r="L144" s="177">
        <v>17111</v>
      </c>
      <c r="M144" s="176">
        <v>452</v>
      </c>
      <c r="N144" s="176">
        <f t="shared" si="4"/>
        <v>638.85209854014613</v>
      </c>
      <c r="O144" s="177">
        <v>5711</v>
      </c>
      <c r="P144" s="176">
        <v>923</v>
      </c>
      <c r="Q144" s="176">
        <f t="shared" si="2"/>
        <v>1304.558599452555</v>
      </c>
      <c r="R144" s="177">
        <v>11841</v>
      </c>
      <c r="S144" s="176">
        <v>190.29999999999998</v>
      </c>
      <c r="T144" s="176">
        <f t="shared" si="3"/>
        <v>268.96804060218983</v>
      </c>
    </row>
    <row r="145" spans="1:20" x14ac:dyDescent="0.2">
      <c r="A145" s="171">
        <v>3</v>
      </c>
      <c r="C145" s="171">
        <f>+E145-E144</f>
        <v>134.24</v>
      </c>
      <c r="D145" s="171">
        <f>+G145-G144</f>
        <v>119.19999999999999</v>
      </c>
      <c r="E145" s="171">
        <v>433.2</v>
      </c>
      <c r="G145" s="171">
        <v>388</v>
      </c>
      <c r="I145" s="176">
        <v>108.1</v>
      </c>
      <c r="J145" s="168">
        <v>3</v>
      </c>
      <c r="L145" s="177">
        <v>16407</v>
      </c>
      <c r="M145" s="176">
        <v>400.40000000000009</v>
      </c>
      <c r="N145" s="176">
        <f t="shared" si="4"/>
        <v>573.77394079555995</v>
      </c>
      <c r="O145" s="177">
        <v>15359</v>
      </c>
      <c r="P145" s="176">
        <v>1172.1999999999998</v>
      </c>
      <c r="Q145" s="176">
        <f t="shared" si="2"/>
        <v>1679.7647687326551</v>
      </c>
      <c r="R145" s="177">
        <v>13534</v>
      </c>
      <c r="S145" s="176">
        <v>158.5</v>
      </c>
      <c r="T145" s="176">
        <f t="shared" si="3"/>
        <v>227.13079324699356</v>
      </c>
    </row>
    <row r="146" spans="1:20" x14ac:dyDescent="0.2">
      <c r="A146" s="171">
        <v>4</v>
      </c>
      <c r="C146" s="171">
        <f>+E146-E145</f>
        <v>137.49520000000001</v>
      </c>
      <c r="D146" s="171">
        <f>+G146-G145</f>
        <v>124.07220000000007</v>
      </c>
      <c r="E146" s="179">
        <v>570.6952</v>
      </c>
      <c r="F146" s="184"/>
      <c r="G146" s="179">
        <v>512.07220000000007</v>
      </c>
      <c r="I146" s="176">
        <v>108.7</v>
      </c>
      <c r="J146" s="168">
        <v>4</v>
      </c>
      <c r="L146" s="177">
        <v>16945</v>
      </c>
      <c r="M146" s="176">
        <v>509.39999999999986</v>
      </c>
      <c r="N146" s="176">
        <f t="shared" si="4"/>
        <v>725.94186292548284</v>
      </c>
      <c r="O146" s="177">
        <v>9601</v>
      </c>
      <c r="P146" s="176">
        <v>803.30000000000018</v>
      </c>
      <c r="Q146" s="176">
        <f t="shared" si="2"/>
        <v>1144.7764006439747</v>
      </c>
      <c r="R146" s="177">
        <v>12341</v>
      </c>
      <c r="S146" s="176">
        <v>258.5</v>
      </c>
      <c r="T146" s="176">
        <f t="shared" si="3"/>
        <v>368.38628104875806</v>
      </c>
    </row>
    <row r="147" spans="1:20" x14ac:dyDescent="0.2">
      <c r="A147" s="171">
        <v>1</v>
      </c>
      <c r="B147" s="171">
        <v>2002</v>
      </c>
      <c r="C147" s="171">
        <f>+E147</f>
        <v>155.81399999999999</v>
      </c>
      <c r="D147" s="171">
        <f>+G147</f>
        <v>141.72399999999999</v>
      </c>
      <c r="E147" s="179">
        <v>155.81399999999999</v>
      </c>
      <c r="F147" s="184"/>
      <c r="G147" s="179">
        <v>141.72399999999999</v>
      </c>
      <c r="I147" s="176">
        <v>109.3</v>
      </c>
      <c r="J147" s="168">
        <v>1</v>
      </c>
      <c r="K147" s="168">
        <v>2002</v>
      </c>
      <c r="L147" s="177">
        <v>17523</v>
      </c>
      <c r="M147" s="176">
        <v>466.5</v>
      </c>
      <c r="N147" s="176">
        <f t="shared" si="4"/>
        <v>661.15598124428186</v>
      </c>
      <c r="O147" s="177">
        <v>6856</v>
      </c>
      <c r="P147" s="176">
        <v>820.40000000000009</v>
      </c>
      <c r="Q147" s="176">
        <f t="shared" si="2"/>
        <v>1162.7274748398906</v>
      </c>
      <c r="R147" s="177">
        <v>9371</v>
      </c>
      <c r="S147" s="176">
        <v>197.9</v>
      </c>
      <c r="T147" s="176">
        <f t="shared" si="3"/>
        <v>280.47753202195798</v>
      </c>
    </row>
    <row r="148" spans="1:20" x14ac:dyDescent="0.2">
      <c r="A148" s="171">
        <v>2</v>
      </c>
      <c r="B148" s="171"/>
      <c r="C148" s="171">
        <f>+E148-E147</f>
        <v>146.54300000000003</v>
      </c>
      <c r="D148" s="171">
        <f>+G148-G147</f>
        <v>133.19</v>
      </c>
      <c r="E148" s="171">
        <v>302.35700000000003</v>
      </c>
      <c r="G148" s="171">
        <v>274.91399999999999</v>
      </c>
      <c r="I148" s="176">
        <v>110</v>
      </c>
      <c r="J148" s="168">
        <v>2</v>
      </c>
      <c r="L148" s="177">
        <v>17469</v>
      </c>
      <c r="M148" s="176">
        <v>408.5</v>
      </c>
      <c r="N148" s="176">
        <f t="shared" si="4"/>
        <v>575.27012500000012</v>
      </c>
      <c r="O148" s="177">
        <v>9323</v>
      </c>
      <c r="P148" s="176">
        <v>689.09999999999991</v>
      </c>
      <c r="Q148" s="176">
        <f t="shared" si="2"/>
        <v>970.42507499999999</v>
      </c>
      <c r="R148" s="177">
        <v>14749</v>
      </c>
      <c r="S148" s="176">
        <v>233.49999999999997</v>
      </c>
      <c r="T148" s="176">
        <f t="shared" si="3"/>
        <v>328.82637500000004</v>
      </c>
    </row>
    <row r="149" spans="1:20" x14ac:dyDescent="0.2">
      <c r="A149" s="171">
        <v>3</v>
      </c>
      <c r="C149" s="171">
        <f>+E149-E148</f>
        <v>146.23099999999999</v>
      </c>
      <c r="D149" s="171">
        <f>+G149-G148</f>
        <v>127.14100000000002</v>
      </c>
      <c r="E149" s="171">
        <v>448.58800000000002</v>
      </c>
      <c r="G149" s="171">
        <v>402.05500000000001</v>
      </c>
      <c r="I149" s="176">
        <v>109.6</v>
      </c>
      <c r="J149" s="168">
        <v>3</v>
      </c>
      <c r="L149" s="177">
        <v>19641</v>
      </c>
      <c r="M149" s="176">
        <v>503</v>
      </c>
      <c r="N149" s="176">
        <f t="shared" si="4"/>
        <v>710.93496806569351</v>
      </c>
      <c r="O149" s="177">
        <v>17422</v>
      </c>
      <c r="P149" s="176">
        <v>895.90000000000009</v>
      </c>
      <c r="Q149" s="176">
        <f t="shared" si="2"/>
        <v>1266.2557413321172</v>
      </c>
      <c r="R149" s="177">
        <v>14722</v>
      </c>
      <c r="S149" s="176">
        <v>184.5</v>
      </c>
      <c r="T149" s="176">
        <f t="shared" si="3"/>
        <v>260.77038093065698</v>
      </c>
    </row>
    <row r="150" spans="1:20" x14ac:dyDescent="0.2">
      <c r="A150" s="171">
        <v>4</v>
      </c>
      <c r="C150" s="171">
        <f>+E150-E149</f>
        <v>137.96699999999993</v>
      </c>
      <c r="D150" s="171">
        <f>+G150-G149</f>
        <v>124.64100000000002</v>
      </c>
      <c r="E150" s="179">
        <v>586.55499999999995</v>
      </c>
      <c r="F150" s="184"/>
      <c r="G150" s="179">
        <v>526.69600000000003</v>
      </c>
      <c r="I150" s="176">
        <v>111</v>
      </c>
      <c r="J150" s="168">
        <v>4</v>
      </c>
      <c r="L150" s="177">
        <v>17442</v>
      </c>
      <c r="M150" s="176">
        <v>464.20000000000005</v>
      </c>
      <c r="N150" s="176">
        <f t="shared" si="4"/>
        <v>647.82037387387402</v>
      </c>
      <c r="O150" s="177">
        <v>8123</v>
      </c>
      <c r="P150" s="176">
        <v>938.5</v>
      </c>
      <c r="Q150" s="176">
        <f t="shared" si="2"/>
        <v>1309.7359346846849</v>
      </c>
      <c r="R150" s="177">
        <v>14689</v>
      </c>
      <c r="S150" s="176">
        <v>194.00000000000011</v>
      </c>
      <c r="T150" s="176">
        <f t="shared" si="3"/>
        <v>270.73923423423446</v>
      </c>
    </row>
    <row r="151" spans="1:20" x14ac:dyDescent="0.2">
      <c r="A151" s="171">
        <v>1</v>
      </c>
      <c r="B151" s="171">
        <v>2003</v>
      </c>
      <c r="C151" s="179">
        <f>+E151</f>
        <v>165.679</v>
      </c>
      <c r="D151" s="171">
        <f>+G151</f>
        <v>150.81100000000001</v>
      </c>
      <c r="E151" s="179">
        <v>165.679</v>
      </c>
      <c r="F151" s="184"/>
      <c r="G151" s="179">
        <v>150.81100000000001</v>
      </c>
      <c r="I151" s="176">
        <v>114.6</v>
      </c>
      <c r="J151" s="168">
        <v>1</v>
      </c>
      <c r="K151" s="168">
        <v>2003</v>
      </c>
      <c r="L151" s="177">
        <v>22781</v>
      </c>
      <c r="M151" s="176">
        <v>626.79999999999995</v>
      </c>
      <c r="N151" s="176">
        <f t="shared" si="4"/>
        <v>847.26021815008733</v>
      </c>
      <c r="O151" s="177">
        <v>6823</v>
      </c>
      <c r="P151" s="176">
        <v>1087.2</v>
      </c>
      <c r="Q151" s="176">
        <f t="shared" si="2"/>
        <v>1469.5936649214664</v>
      </c>
      <c r="R151" s="177">
        <v>10626</v>
      </c>
      <c r="S151" s="176">
        <v>183</v>
      </c>
      <c r="T151" s="176">
        <f t="shared" si="3"/>
        <v>247.3653795811519</v>
      </c>
    </row>
    <row r="152" spans="1:20" x14ac:dyDescent="0.2">
      <c r="A152" s="171">
        <v>2</v>
      </c>
      <c r="B152" s="171"/>
      <c r="C152" s="179">
        <f>+E152-E151</f>
        <v>135.02099999999999</v>
      </c>
      <c r="D152" s="171">
        <f>+G152-G151</f>
        <v>121.10099999999997</v>
      </c>
      <c r="E152" s="171">
        <v>300.7</v>
      </c>
      <c r="G152" s="171">
        <v>271.91199999999998</v>
      </c>
      <c r="I152" s="176">
        <v>112.3</v>
      </c>
      <c r="J152" s="168">
        <v>2</v>
      </c>
      <c r="L152" s="177">
        <v>15417</v>
      </c>
      <c r="M152" s="176">
        <v>406.10000000000014</v>
      </c>
      <c r="N152" s="176">
        <f t="shared" si="4"/>
        <v>560.17752226179903</v>
      </c>
      <c r="O152" s="177">
        <v>5618</v>
      </c>
      <c r="P152" s="176">
        <v>817.8</v>
      </c>
      <c r="Q152" s="176">
        <f t="shared" si="2"/>
        <v>1128.0797284060554</v>
      </c>
      <c r="R152" s="177">
        <v>12719</v>
      </c>
      <c r="S152" s="176">
        <v>203.2</v>
      </c>
      <c r="T152" s="176">
        <f t="shared" si="3"/>
        <v>280.29567230632239</v>
      </c>
    </row>
    <row r="153" spans="1:20" x14ac:dyDescent="0.2">
      <c r="A153" s="171">
        <v>3</v>
      </c>
      <c r="B153" s="171"/>
      <c r="C153" s="179">
        <f>+E153-E152</f>
        <v>134.11099999999999</v>
      </c>
      <c r="D153" s="171">
        <f>+G153-G152</f>
        <v>119.49100000000004</v>
      </c>
      <c r="E153" s="171">
        <v>434.81099999999998</v>
      </c>
      <c r="G153" s="171">
        <v>391.40300000000002</v>
      </c>
      <c r="I153" s="176">
        <v>111.9</v>
      </c>
      <c r="J153" s="168">
        <v>3</v>
      </c>
      <c r="L153" s="177">
        <v>18848</v>
      </c>
      <c r="M153" s="176">
        <v>430.5</v>
      </c>
      <c r="N153" s="176">
        <f t="shared" si="4"/>
        <v>595.95780831099205</v>
      </c>
      <c r="O153" s="177">
        <v>16056</v>
      </c>
      <c r="P153" s="176">
        <v>860.19999999999982</v>
      </c>
      <c r="Q153" s="176">
        <f t="shared" si="2"/>
        <v>1190.8081456657728</v>
      </c>
      <c r="R153" s="177">
        <v>13690</v>
      </c>
      <c r="S153" s="176">
        <v>188.8</v>
      </c>
      <c r="T153" s="176">
        <f t="shared" si="3"/>
        <v>261.36314566577306</v>
      </c>
    </row>
    <row r="154" spans="1:20" x14ac:dyDescent="0.2">
      <c r="A154" s="171">
        <v>4</v>
      </c>
      <c r="B154" s="171"/>
      <c r="C154" s="179">
        <f>+E154-E153</f>
        <v>142.01299999999998</v>
      </c>
      <c r="D154" s="171">
        <f>+G154-G153</f>
        <v>125.95899999999995</v>
      </c>
      <c r="E154" s="171">
        <v>576.82399999999996</v>
      </c>
      <c r="G154" s="171">
        <v>517.36199999999997</v>
      </c>
      <c r="I154" s="176">
        <v>112.6</v>
      </c>
      <c r="J154" s="168">
        <v>4</v>
      </c>
      <c r="L154" s="177">
        <v>16096</v>
      </c>
      <c r="M154" s="176">
        <v>471.89999999999986</v>
      </c>
      <c r="N154" s="176">
        <f t="shared" si="4"/>
        <v>649.20825266429836</v>
      </c>
      <c r="O154" s="177">
        <v>7652</v>
      </c>
      <c r="P154" s="176">
        <v>762.30000000000018</v>
      </c>
      <c r="Q154" s="176">
        <f t="shared" si="2"/>
        <v>1048.7210235346363</v>
      </c>
      <c r="R154" s="177">
        <v>11607</v>
      </c>
      <c r="S154" s="176">
        <v>220.90000000000009</v>
      </c>
      <c r="T154" s="176">
        <f t="shared" si="3"/>
        <v>303.89934946714055</v>
      </c>
    </row>
    <row r="155" spans="1:20" x14ac:dyDescent="0.2">
      <c r="A155" s="171">
        <v>1</v>
      </c>
      <c r="B155" s="171">
        <v>2004</v>
      </c>
      <c r="C155" s="179">
        <f>+E155</f>
        <v>168.309</v>
      </c>
      <c r="D155" s="171">
        <f>+G155</f>
        <v>153.04300000000001</v>
      </c>
      <c r="E155" s="171">
        <v>168.309</v>
      </c>
      <c r="G155" s="171">
        <v>153.04300000000001</v>
      </c>
      <c r="I155" s="176">
        <v>112.6</v>
      </c>
      <c r="J155" s="168">
        <v>1</v>
      </c>
      <c r="K155" s="168">
        <v>2004</v>
      </c>
      <c r="L155" s="177">
        <v>17805</v>
      </c>
      <c r="M155" s="176">
        <v>517.69999999999993</v>
      </c>
      <c r="N155" s="176">
        <f t="shared" si="4"/>
        <v>712.21680950266432</v>
      </c>
      <c r="O155" s="177">
        <v>7033</v>
      </c>
      <c r="P155" s="176">
        <v>735.2</v>
      </c>
      <c r="Q155" s="176">
        <f t="shared" si="2"/>
        <v>1011.4386678507996</v>
      </c>
      <c r="R155" s="177">
        <v>8913</v>
      </c>
      <c r="S155" s="176">
        <v>178.89999999999998</v>
      </c>
      <c r="T155" s="176">
        <f t="shared" si="3"/>
        <v>246.11857682060392</v>
      </c>
    </row>
    <row r="156" spans="1:20" x14ac:dyDescent="0.2">
      <c r="A156" s="171">
        <v>2</v>
      </c>
      <c r="B156" s="171"/>
      <c r="C156" s="179">
        <f>+E156-E155</f>
        <v>140.26700000000002</v>
      </c>
      <c r="D156" s="171">
        <f>+G156-G155</f>
        <v>125.56799999999998</v>
      </c>
      <c r="E156" s="171">
        <v>308.57600000000002</v>
      </c>
      <c r="G156" s="171">
        <v>278.61099999999999</v>
      </c>
      <c r="I156" s="176">
        <v>113.4</v>
      </c>
      <c r="J156" s="168">
        <v>2</v>
      </c>
      <c r="L156" s="177">
        <v>13855</v>
      </c>
      <c r="M156" s="176">
        <v>344.69999999999993</v>
      </c>
      <c r="N156" s="176">
        <f t="shared" si="4"/>
        <v>470.869623015873</v>
      </c>
      <c r="O156" s="177">
        <v>6436</v>
      </c>
      <c r="P156" s="176">
        <v>708.3</v>
      </c>
      <c r="Q156" s="176">
        <f t="shared" si="2"/>
        <v>967.55716269841275</v>
      </c>
      <c r="R156" s="177">
        <v>10802</v>
      </c>
      <c r="S156" s="176">
        <v>228.40000000000003</v>
      </c>
      <c r="T156" s="176">
        <f t="shared" si="3"/>
        <v>312.00064373897715</v>
      </c>
    </row>
    <row r="157" spans="1:20" x14ac:dyDescent="0.2">
      <c r="A157" s="171">
        <v>3</v>
      </c>
      <c r="B157" s="171"/>
      <c r="C157" s="179">
        <f>+E157-E156</f>
        <v>137.76999999999998</v>
      </c>
      <c r="D157" s="171">
        <f>+G157-G156</f>
        <v>123.12100000000004</v>
      </c>
      <c r="E157" s="171">
        <v>446.346</v>
      </c>
      <c r="G157" s="171">
        <v>401.73200000000003</v>
      </c>
      <c r="I157" s="176">
        <v>113</v>
      </c>
      <c r="J157" s="168">
        <v>3</v>
      </c>
      <c r="L157" s="177">
        <v>17630</v>
      </c>
      <c r="M157" s="176">
        <v>454.09999999999991</v>
      </c>
      <c r="N157" s="176">
        <f t="shared" si="4"/>
        <v>622.5088119469026</v>
      </c>
      <c r="O157" s="177">
        <v>11805</v>
      </c>
      <c r="P157" s="176">
        <v>652.69999999999982</v>
      </c>
      <c r="Q157" s="176">
        <f t="shared" si="2"/>
        <v>894.76217035398224</v>
      </c>
      <c r="R157" s="177">
        <v>11365</v>
      </c>
      <c r="S157" s="176">
        <v>160.7999999999999</v>
      </c>
      <c r="T157" s="176">
        <f t="shared" si="3"/>
        <v>220.43474336283177</v>
      </c>
    </row>
    <row r="158" spans="1:20" x14ac:dyDescent="0.2">
      <c r="A158" s="171">
        <v>4</v>
      </c>
      <c r="B158" s="171"/>
      <c r="C158" s="179">
        <f>+E158-E157</f>
        <v>137.68499999999995</v>
      </c>
      <c r="D158" s="171">
        <f>+G158-G157</f>
        <v>124.50600000000003</v>
      </c>
      <c r="E158" s="171">
        <v>584.03099999999995</v>
      </c>
      <c r="G158" s="171">
        <v>526.23800000000006</v>
      </c>
      <c r="I158" s="176">
        <v>114</v>
      </c>
      <c r="J158" s="168">
        <v>4</v>
      </c>
      <c r="L158" s="177">
        <v>16674</v>
      </c>
      <c r="M158" s="176">
        <v>428.20000000000027</v>
      </c>
      <c r="N158" s="176">
        <f t="shared" si="4"/>
        <v>581.85431140350931</v>
      </c>
      <c r="O158" s="177">
        <v>10088</v>
      </c>
      <c r="P158" s="176">
        <v>709.40000000000055</v>
      </c>
      <c r="Q158" s="176">
        <f t="shared" si="2"/>
        <v>963.95947807017637</v>
      </c>
      <c r="R158" s="177">
        <v>9276</v>
      </c>
      <c r="S158" s="176">
        <v>162.90000000000009</v>
      </c>
      <c r="T158" s="176">
        <f t="shared" si="3"/>
        <v>221.35466447368438</v>
      </c>
    </row>
    <row r="159" spans="1:20" x14ac:dyDescent="0.2">
      <c r="A159" s="171">
        <v>1</v>
      </c>
      <c r="B159" s="171">
        <v>2005</v>
      </c>
      <c r="C159" s="179">
        <f>+E159</f>
        <v>147.31100000000001</v>
      </c>
      <c r="D159" s="171">
        <f>+G159</f>
        <v>133.756</v>
      </c>
      <c r="E159" s="171">
        <v>147.31100000000001</v>
      </c>
      <c r="G159" s="171">
        <v>133.756</v>
      </c>
      <c r="I159" s="176">
        <v>113.7</v>
      </c>
      <c r="J159" s="168">
        <v>1</v>
      </c>
      <c r="K159" s="168">
        <v>2005</v>
      </c>
      <c r="L159" s="177">
        <v>15151</v>
      </c>
      <c r="M159" s="176">
        <v>418</v>
      </c>
      <c r="N159" s="176">
        <f t="shared" si="4"/>
        <v>569.49283201407218</v>
      </c>
      <c r="O159" s="177">
        <v>7287</v>
      </c>
      <c r="P159" s="176">
        <v>715.2</v>
      </c>
      <c r="Q159" s="176">
        <f t="shared" si="2"/>
        <v>974.40496042216375</v>
      </c>
      <c r="R159" s="177">
        <v>7498</v>
      </c>
      <c r="S159" s="176">
        <v>159.69999999999999</v>
      </c>
      <c r="T159" s="176">
        <f t="shared" si="3"/>
        <v>217.57895998240988</v>
      </c>
    </row>
    <row r="160" spans="1:20" x14ac:dyDescent="0.2">
      <c r="A160" s="171">
        <v>2</v>
      </c>
      <c r="B160" s="171"/>
      <c r="C160" s="179">
        <f>+E160-E159</f>
        <v>143.51699999999997</v>
      </c>
      <c r="D160" s="171">
        <f>+G160-G159</f>
        <v>128.79</v>
      </c>
      <c r="E160" s="171">
        <v>290.82799999999997</v>
      </c>
      <c r="G160" s="171">
        <v>262.54599999999999</v>
      </c>
      <c r="I160" s="176">
        <v>115.2</v>
      </c>
      <c r="J160" s="168">
        <v>2</v>
      </c>
      <c r="L160" s="177">
        <v>14855</v>
      </c>
      <c r="M160" s="176">
        <v>323.20000000000005</v>
      </c>
      <c r="N160" s="176">
        <f t="shared" si="4"/>
        <v>434.60159722222232</v>
      </c>
      <c r="O160" s="177">
        <v>6172</v>
      </c>
      <c r="P160" s="176">
        <v>745.5</v>
      </c>
      <c r="Q160" s="176">
        <f t="shared" si="2"/>
        <v>1002.4612955729167</v>
      </c>
      <c r="R160" s="177">
        <v>11610</v>
      </c>
      <c r="S160" s="176">
        <v>152.50000000000006</v>
      </c>
      <c r="T160" s="176">
        <f t="shared" si="3"/>
        <v>205.064181857639</v>
      </c>
    </row>
    <row r="161" spans="1:20" x14ac:dyDescent="0.2">
      <c r="A161" s="171">
        <v>3</v>
      </c>
      <c r="B161" s="171"/>
      <c r="C161" s="179">
        <f>+E161-E160</f>
        <v>134.78300000000002</v>
      </c>
      <c r="D161" s="171">
        <f>+G161-G160</f>
        <v>120.57100000000003</v>
      </c>
      <c r="E161" s="171">
        <v>425.61099999999999</v>
      </c>
      <c r="G161" s="171">
        <v>383.11700000000002</v>
      </c>
      <c r="I161" s="176">
        <v>115.1</v>
      </c>
      <c r="J161" s="168">
        <v>3</v>
      </c>
      <c r="L161" s="177">
        <v>13014</v>
      </c>
      <c r="M161" s="176">
        <v>448.29999999999995</v>
      </c>
      <c r="N161" s="176">
        <f t="shared" si="4"/>
        <v>603.34519765421373</v>
      </c>
      <c r="O161" s="177">
        <v>6734</v>
      </c>
      <c r="P161" s="176">
        <v>832.10000000000014</v>
      </c>
      <c r="Q161" s="176">
        <f t="shared" si="2"/>
        <v>1119.8829778453523</v>
      </c>
      <c r="R161" s="177">
        <v>8742</v>
      </c>
      <c r="S161" s="176">
        <v>152.99999999999994</v>
      </c>
      <c r="T161" s="176">
        <f t="shared" si="3"/>
        <v>205.91526933101645</v>
      </c>
    </row>
    <row r="162" spans="1:20" x14ac:dyDescent="0.2">
      <c r="A162" s="171">
        <v>4</v>
      </c>
      <c r="B162" s="171"/>
      <c r="C162" s="179">
        <f>+E162-E161</f>
        <v>137.37</v>
      </c>
      <c r="D162" s="171">
        <f>+G162-G161</f>
        <v>124.38200000000001</v>
      </c>
      <c r="E162" s="171">
        <v>562.98099999999999</v>
      </c>
      <c r="G162" s="171">
        <v>507.49900000000002</v>
      </c>
      <c r="I162" s="176">
        <v>116</v>
      </c>
      <c r="J162" s="168">
        <v>4</v>
      </c>
      <c r="L162" s="177">
        <v>22745</v>
      </c>
      <c r="M162" s="176">
        <v>478.79999999999995</v>
      </c>
      <c r="N162" s="176">
        <f t="shared" si="4"/>
        <v>639.39406034482761</v>
      </c>
      <c r="O162" s="177">
        <v>8144</v>
      </c>
      <c r="P162" s="176">
        <v>795.79999999999973</v>
      </c>
      <c r="Q162" s="176">
        <f t="shared" si="2"/>
        <v>1062.7188663793102</v>
      </c>
      <c r="R162" s="177">
        <v>11407</v>
      </c>
      <c r="S162" s="176">
        <v>142.00000000000006</v>
      </c>
      <c r="T162" s="176">
        <f t="shared" si="3"/>
        <v>189.62814655172426</v>
      </c>
    </row>
    <row r="163" spans="1:20" x14ac:dyDescent="0.2">
      <c r="A163" s="171">
        <v>1</v>
      </c>
      <c r="B163" s="171">
        <v>2006</v>
      </c>
      <c r="C163" s="179">
        <f>+E163</f>
        <v>155.21299999999999</v>
      </c>
      <c r="D163" s="171">
        <f>+G163</f>
        <v>139.72800000000001</v>
      </c>
      <c r="E163" s="171">
        <v>155.21299999999999</v>
      </c>
      <c r="G163" s="171">
        <v>139.72800000000001</v>
      </c>
      <c r="I163" s="176">
        <v>116.6</v>
      </c>
      <c r="J163" s="168">
        <v>1</v>
      </c>
      <c r="K163" s="168">
        <v>2006</v>
      </c>
      <c r="L163" s="177">
        <v>18196</v>
      </c>
      <c r="M163" s="176">
        <v>585</v>
      </c>
      <c r="N163" s="176">
        <f t="shared" si="4"/>
        <v>777.19457547169839</v>
      </c>
      <c r="O163" s="177">
        <v>6106</v>
      </c>
      <c r="P163" s="176">
        <v>947.2</v>
      </c>
      <c r="Q163" s="176">
        <f t="shared" si="2"/>
        <v>1258.3909433962269</v>
      </c>
      <c r="R163" s="177">
        <v>7106</v>
      </c>
      <c r="S163" s="176">
        <v>150.6</v>
      </c>
      <c r="T163" s="176">
        <f t="shared" si="3"/>
        <v>200.07778301886796</v>
      </c>
    </row>
    <row r="164" spans="1:20" x14ac:dyDescent="0.2">
      <c r="A164" s="171">
        <v>2</v>
      </c>
      <c r="B164" s="171"/>
      <c r="C164" s="179">
        <f>+E164-E163</f>
        <v>147.44399999999999</v>
      </c>
      <c r="D164" s="171">
        <f>+G164-G163</f>
        <v>129.572</v>
      </c>
      <c r="E164" s="171">
        <v>302.65699999999998</v>
      </c>
      <c r="G164" s="171">
        <v>269.3</v>
      </c>
      <c r="I164" s="176">
        <v>117.9</v>
      </c>
      <c r="J164" s="168">
        <v>2</v>
      </c>
      <c r="L164" s="177">
        <v>13943</v>
      </c>
      <c r="M164" s="176">
        <v>433.79999999999995</v>
      </c>
      <c r="N164" s="176">
        <f t="shared" si="4"/>
        <v>569.96500000000003</v>
      </c>
      <c r="O164" s="177">
        <v>5246</v>
      </c>
      <c r="P164" s="176">
        <v>811.2</v>
      </c>
      <c r="Q164" s="176">
        <f t="shared" si="2"/>
        <v>1065.8266666666668</v>
      </c>
      <c r="R164" s="177">
        <v>9193</v>
      </c>
      <c r="S164" s="176">
        <v>176.1</v>
      </c>
      <c r="T164" s="176">
        <f t="shared" si="3"/>
        <v>231.37583333333336</v>
      </c>
    </row>
    <row r="165" spans="1:20" x14ac:dyDescent="0.2">
      <c r="A165" s="171">
        <v>3</v>
      </c>
      <c r="B165" s="171"/>
      <c r="C165" s="179">
        <f>+E165-E164</f>
        <v>143.45100000000002</v>
      </c>
      <c r="D165" s="171">
        <f>+G165-G164</f>
        <v>126.00599999999997</v>
      </c>
      <c r="E165" s="171">
        <v>446.108</v>
      </c>
      <c r="G165" s="171">
        <v>395.30599999999998</v>
      </c>
      <c r="I165" s="180">
        <v>117.3</v>
      </c>
      <c r="J165" s="168">
        <v>3</v>
      </c>
      <c r="L165" s="177">
        <v>13690</v>
      </c>
      <c r="M165" s="176">
        <v>496.59999999999991</v>
      </c>
      <c r="N165" s="176">
        <f t="shared" si="4"/>
        <v>655.81470161977836</v>
      </c>
      <c r="O165" s="177">
        <v>9450</v>
      </c>
      <c r="P165" s="176">
        <v>855.90000000000009</v>
      </c>
      <c r="Q165" s="176">
        <f t="shared" si="2"/>
        <v>1130.3097122762151</v>
      </c>
      <c r="R165" s="177">
        <v>10840</v>
      </c>
      <c r="S165" s="176">
        <v>167.10000000000002</v>
      </c>
      <c r="T165" s="176">
        <f t="shared" si="3"/>
        <v>220.67385549872131</v>
      </c>
    </row>
    <row r="166" spans="1:20" x14ac:dyDescent="0.2">
      <c r="A166" s="171">
        <v>4</v>
      </c>
      <c r="B166" s="171"/>
      <c r="C166" s="179">
        <f>+E166-E165</f>
        <v>148.56090999999998</v>
      </c>
      <c r="D166" s="171">
        <f>+G166-G165</f>
        <v>131.19532799999996</v>
      </c>
      <c r="E166" s="171">
        <v>594.66890999999998</v>
      </c>
      <c r="G166" s="171">
        <v>526.50132799999994</v>
      </c>
      <c r="I166" s="180">
        <v>119</v>
      </c>
      <c r="J166" s="168">
        <v>4</v>
      </c>
      <c r="L166" s="177">
        <v>16682</v>
      </c>
      <c r="M166" s="176">
        <v>525.60000000000014</v>
      </c>
      <c r="N166" s="176">
        <f t="shared" si="4"/>
        <v>684.19648739495824</v>
      </c>
      <c r="O166" s="177">
        <v>10233</v>
      </c>
      <c r="P166" s="176">
        <v>826</v>
      </c>
      <c r="Q166" s="176">
        <f t="shared" si="2"/>
        <v>1075.2402941176472</v>
      </c>
      <c r="R166" s="177">
        <v>9520</v>
      </c>
      <c r="S166" s="176">
        <v>144.09999999999997</v>
      </c>
      <c r="T166" s="176">
        <f t="shared" si="3"/>
        <v>187.58126680672268</v>
      </c>
    </row>
    <row r="167" spans="1:20" x14ac:dyDescent="0.2">
      <c r="A167" s="171">
        <v>1</v>
      </c>
      <c r="B167" s="171">
        <v>2007</v>
      </c>
      <c r="C167" s="179">
        <f>+E167</f>
        <v>158.09976</v>
      </c>
      <c r="D167" s="171">
        <f>+G167</f>
        <v>141.08400800000001</v>
      </c>
      <c r="E167" s="171">
        <v>158.09976</v>
      </c>
      <c r="G167" s="171">
        <v>141.08400800000001</v>
      </c>
      <c r="I167" s="180">
        <v>117.5</v>
      </c>
      <c r="J167" s="168">
        <v>1</v>
      </c>
      <c r="K167" s="168">
        <v>2007</v>
      </c>
      <c r="L167" s="177">
        <v>18623</v>
      </c>
      <c r="M167" s="176">
        <v>649.6</v>
      </c>
      <c r="N167" s="176">
        <f t="shared" si="4"/>
        <v>856.4077617021278</v>
      </c>
      <c r="O167" s="177">
        <v>7737</v>
      </c>
      <c r="P167" s="176">
        <v>1092.1999999999998</v>
      </c>
      <c r="Q167" s="176">
        <f t="shared" si="2"/>
        <v>1439.91465106383</v>
      </c>
      <c r="R167" s="177">
        <v>8112</v>
      </c>
      <c r="S167" s="176">
        <v>167.4</v>
      </c>
      <c r="T167" s="176">
        <f t="shared" si="3"/>
        <v>220.69374893617027</v>
      </c>
    </row>
    <row r="168" spans="1:20" x14ac:dyDescent="0.2">
      <c r="A168" s="171">
        <v>2</v>
      </c>
      <c r="B168" s="171"/>
      <c r="C168" s="179">
        <f>+E168-E167</f>
        <v>161.61276000000004</v>
      </c>
      <c r="D168" s="171">
        <f>+G168-G167</f>
        <v>142.897008</v>
      </c>
      <c r="E168" s="171">
        <v>319.71252000000004</v>
      </c>
      <c r="G168" s="171">
        <v>283.98101600000001</v>
      </c>
      <c r="I168" s="180">
        <v>118.3</v>
      </c>
      <c r="J168" s="168">
        <v>2</v>
      </c>
      <c r="L168" s="177">
        <v>15831</v>
      </c>
      <c r="M168" s="176">
        <v>514.19999999999993</v>
      </c>
      <c r="N168" s="176">
        <f t="shared" si="4"/>
        <v>673.31729923922239</v>
      </c>
      <c r="O168" s="177">
        <v>5067</v>
      </c>
      <c r="P168" s="176">
        <v>1041.6999999999998</v>
      </c>
      <c r="Q168" s="176">
        <f t="shared" ref="Q168:Q189" si="5">P168/I168*$I$69</f>
        <v>1364.0502345731193</v>
      </c>
      <c r="R168" s="177">
        <v>10608</v>
      </c>
      <c r="S168" s="176">
        <v>160.99999999999997</v>
      </c>
      <c r="T168" s="176">
        <f t="shared" ref="T168:T189" si="6">S168/I168*$I$69</f>
        <v>210.8208579881657</v>
      </c>
    </row>
    <row r="169" spans="1:20" x14ac:dyDescent="0.2">
      <c r="A169" s="171">
        <v>3</v>
      </c>
      <c r="B169" s="171"/>
      <c r="C169" s="179">
        <f>+E169-E168</f>
        <v>135.82058024999998</v>
      </c>
      <c r="D169" s="171">
        <f>+G169-G168</f>
        <v>119.75308425000003</v>
      </c>
      <c r="E169" s="171">
        <v>455.53310025000002</v>
      </c>
      <c r="G169" s="171">
        <v>403.73410025000004</v>
      </c>
      <c r="I169" s="180">
        <v>117.8</v>
      </c>
      <c r="J169" s="168">
        <v>3</v>
      </c>
      <c r="L169" s="177">
        <v>18428</v>
      </c>
      <c r="M169" s="176">
        <v>654.20000000000027</v>
      </c>
      <c r="N169" s="176">
        <f t="shared" si="4"/>
        <v>860.27577674023826</v>
      </c>
      <c r="O169" s="177">
        <v>6417</v>
      </c>
      <c r="P169" s="176">
        <v>679.60000000000036</v>
      </c>
      <c r="Q169" s="176">
        <f t="shared" si="5"/>
        <v>893.67688455008556</v>
      </c>
      <c r="R169" s="177">
        <v>10319</v>
      </c>
      <c r="S169" s="176">
        <v>152.89999999999998</v>
      </c>
      <c r="T169" s="176">
        <f t="shared" si="6"/>
        <v>201.06414898132428</v>
      </c>
    </row>
    <row r="170" spans="1:20" x14ac:dyDescent="0.2">
      <c r="A170" s="171">
        <v>4</v>
      </c>
      <c r="B170" s="171"/>
      <c r="C170" s="179">
        <f>+E170-E169</f>
        <v>149.79139924999998</v>
      </c>
      <c r="D170" s="171">
        <f>+G170-G169</f>
        <v>133.49839924999998</v>
      </c>
      <c r="E170" s="171">
        <v>605.3244995</v>
      </c>
      <c r="G170" s="171">
        <v>537.23249950000002</v>
      </c>
      <c r="I170" s="180">
        <v>120.8</v>
      </c>
      <c r="J170" s="168">
        <v>4</v>
      </c>
      <c r="L170" s="177">
        <v>15870</v>
      </c>
      <c r="M170" s="176">
        <v>567.19999999999959</v>
      </c>
      <c r="N170" s="176">
        <f t="shared" si="4"/>
        <v>727.34713576158913</v>
      </c>
      <c r="O170" s="177">
        <v>5114</v>
      </c>
      <c r="P170" s="176">
        <v>911.69999999999982</v>
      </c>
      <c r="Q170" s="176">
        <f t="shared" si="5"/>
        <v>1169.1156270695365</v>
      </c>
      <c r="R170" s="177">
        <v>8645</v>
      </c>
      <c r="S170" s="176">
        <v>142.80000000000007</v>
      </c>
      <c r="T170" s="176">
        <f t="shared" si="6"/>
        <v>183.1191307947021</v>
      </c>
    </row>
    <row r="171" spans="1:20" x14ac:dyDescent="0.2">
      <c r="A171" s="171">
        <v>1</v>
      </c>
      <c r="B171" s="171">
        <v>2008</v>
      </c>
      <c r="C171" s="179">
        <f>+E171</f>
        <v>164.64169099999998</v>
      </c>
      <c r="D171" s="171">
        <f>+G171</f>
        <v>148.61369099999999</v>
      </c>
      <c r="E171" s="171">
        <v>164.64169099999998</v>
      </c>
      <c r="G171" s="171">
        <v>148.61369099999999</v>
      </c>
      <c r="I171" s="180">
        <v>121.9</v>
      </c>
      <c r="J171" s="168">
        <v>1</v>
      </c>
      <c r="K171" s="168">
        <v>2008</v>
      </c>
      <c r="L171" s="177">
        <v>17004</v>
      </c>
      <c r="M171" s="176">
        <v>591.9</v>
      </c>
      <c r="N171" s="176">
        <f t="shared" si="4"/>
        <v>752.17185602953248</v>
      </c>
      <c r="O171" s="177">
        <v>6274</v>
      </c>
      <c r="P171" s="176">
        <v>963.6</v>
      </c>
      <c r="Q171" s="176">
        <f t="shared" si="5"/>
        <v>1224.5190073831011</v>
      </c>
      <c r="R171" s="177">
        <v>7939</v>
      </c>
      <c r="S171" s="176">
        <v>160.1</v>
      </c>
      <c r="T171" s="176">
        <f t="shared" si="6"/>
        <v>203.45111361771947</v>
      </c>
    </row>
    <row r="172" spans="1:20" x14ac:dyDescent="0.2">
      <c r="A172" s="171">
        <v>2</v>
      </c>
      <c r="B172" s="171"/>
      <c r="C172" s="179">
        <f>+E172-E171</f>
        <v>197.28657850000002</v>
      </c>
      <c r="D172" s="171">
        <f>+G172-G171</f>
        <v>175.71357850000001</v>
      </c>
      <c r="E172" s="171">
        <v>361.9282695</v>
      </c>
      <c r="G172" s="171">
        <v>324.3272695</v>
      </c>
      <c r="I172" s="180">
        <v>122</v>
      </c>
      <c r="J172" s="168">
        <v>2</v>
      </c>
      <c r="L172" s="177">
        <v>14987</v>
      </c>
      <c r="M172" s="176">
        <v>548.4</v>
      </c>
      <c r="N172" s="176">
        <f t="shared" ref="N172:N181" si="7">M172/I172*$I$69</f>
        <v>696.32190983606574</v>
      </c>
      <c r="O172" s="177">
        <v>5831</v>
      </c>
      <c r="P172" s="176">
        <v>1153.8000000000002</v>
      </c>
      <c r="Q172" s="176">
        <f t="shared" si="5"/>
        <v>1465.0186352459023</v>
      </c>
      <c r="R172" s="177">
        <v>10207</v>
      </c>
      <c r="S172" s="176">
        <v>188.4</v>
      </c>
      <c r="T172" s="176">
        <f t="shared" si="6"/>
        <v>239.21781147540989</v>
      </c>
    </row>
    <row r="173" spans="1:20" x14ac:dyDescent="0.2">
      <c r="A173" s="171">
        <v>3</v>
      </c>
      <c r="B173" s="171"/>
      <c r="C173" s="179">
        <f>+E173-E172</f>
        <v>159.71767174999997</v>
      </c>
      <c r="D173" s="171">
        <f>+G173-G172</f>
        <v>141.40667174999999</v>
      </c>
      <c r="E173" s="171">
        <v>521.64594124999996</v>
      </c>
      <c r="G173" s="171">
        <v>465.73394124999999</v>
      </c>
      <c r="I173" s="180">
        <v>123.1</v>
      </c>
      <c r="J173" s="168">
        <v>3</v>
      </c>
      <c r="L173" s="177">
        <v>19290</v>
      </c>
      <c r="M173" s="176">
        <v>722.70000000000027</v>
      </c>
      <c r="N173" s="176">
        <f t="shared" si="7"/>
        <v>909.43663891145468</v>
      </c>
      <c r="O173" s="177">
        <v>12252</v>
      </c>
      <c r="P173" s="176">
        <v>1486.4999999999995</v>
      </c>
      <c r="Q173" s="176">
        <f t="shared" si="5"/>
        <v>1870.5930036555644</v>
      </c>
      <c r="R173" s="177">
        <v>11007</v>
      </c>
      <c r="S173" s="176">
        <v>186.29999999999995</v>
      </c>
      <c r="T173" s="176">
        <f t="shared" si="6"/>
        <v>234.43758935824533</v>
      </c>
    </row>
    <row r="174" spans="1:20" x14ac:dyDescent="0.2">
      <c r="A174" s="171">
        <v>4</v>
      </c>
      <c r="B174" s="171"/>
      <c r="C174" s="179">
        <f>+E174-E173</f>
        <v>170.05706974999998</v>
      </c>
      <c r="D174" s="171">
        <f>+G174-G173</f>
        <v>152.54014889999991</v>
      </c>
      <c r="E174" s="171">
        <v>691.70301099999995</v>
      </c>
      <c r="G174" s="171">
        <v>618.27409014999989</v>
      </c>
      <c r="I174" s="176">
        <v>124.7</v>
      </c>
      <c r="J174" s="168">
        <v>4</v>
      </c>
      <c r="L174" s="177">
        <v>16976</v>
      </c>
      <c r="M174" s="176">
        <v>703.10000000000014</v>
      </c>
      <c r="N174" s="176">
        <f t="shared" si="7"/>
        <v>873.41991379310377</v>
      </c>
      <c r="O174" s="177">
        <v>7247</v>
      </c>
      <c r="P174" s="176">
        <v>1160</v>
      </c>
      <c r="Q174" s="176">
        <f t="shared" si="5"/>
        <v>1441.0000000000002</v>
      </c>
      <c r="R174" s="177">
        <v>10145</v>
      </c>
      <c r="S174" s="176">
        <v>269.60000000000014</v>
      </c>
      <c r="T174" s="176">
        <f t="shared" si="6"/>
        <v>334.90827586206922</v>
      </c>
    </row>
    <row r="175" spans="1:20" x14ac:dyDescent="0.2">
      <c r="A175" s="171">
        <v>1</v>
      </c>
      <c r="B175" s="171">
        <v>2009</v>
      </c>
      <c r="C175" s="179">
        <f>+E175</f>
        <v>191.37959499999999</v>
      </c>
      <c r="D175" s="171">
        <f>+G175</f>
        <v>172.55938714999999</v>
      </c>
      <c r="E175" s="171">
        <v>191.37959499999999</v>
      </c>
      <c r="G175" s="171">
        <v>172.55938714999999</v>
      </c>
      <c r="I175" s="176">
        <v>125</v>
      </c>
      <c r="J175" s="168">
        <v>1</v>
      </c>
      <c r="K175" s="168">
        <v>2009</v>
      </c>
      <c r="L175" s="177">
        <v>18865</v>
      </c>
      <c r="M175" s="176">
        <v>739.59999999999991</v>
      </c>
      <c r="N175" s="176">
        <f t="shared" si="7"/>
        <v>916.5566960000001</v>
      </c>
      <c r="O175" s="177">
        <v>6194</v>
      </c>
      <c r="P175" s="176">
        <v>1049.9000000000001</v>
      </c>
      <c r="Q175" s="176">
        <f t="shared" si="5"/>
        <v>1301.0990740000002</v>
      </c>
      <c r="R175" s="177">
        <v>8619</v>
      </c>
      <c r="S175" s="176">
        <v>213.2</v>
      </c>
      <c r="T175" s="176">
        <f t="shared" si="6"/>
        <v>264.21023200000002</v>
      </c>
    </row>
    <row r="176" spans="1:20" x14ac:dyDescent="0.2">
      <c r="A176" s="171">
        <v>2</v>
      </c>
      <c r="B176" s="171"/>
      <c r="C176" s="179">
        <f>+E176-E175</f>
        <v>178.90604250000001</v>
      </c>
      <c r="D176" s="171">
        <f>+G176-G175</f>
        <v>160.765232725</v>
      </c>
      <c r="E176" s="171">
        <v>370.28563750000001</v>
      </c>
      <c r="G176" s="171">
        <v>333.324619875</v>
      </c>
      <c r="I176" s="176">
        <v>125.7</v>
      </c>
      <c r="J176" s="168">
        <v>2</v>
      </c>
      <c r="L176" s="177">
        <v>14610</v>
      </c>
      <c r="M176" s="176">
        <v>603.80000000000018</v>
      </c>
      <c r="N176" s="176">
        <f t="shared" si="7"/>
        <v>744.09823786793982</v>
      </c>
      <c r="O176" s="177">
        <v>5486</v>
      </c>
      <c r="P176" s="176">
        <v>1077.9000000000001</v>
      </c>
      <c r="Q176" s="176">
        <f t="shared" si="5"/>
        <v>1328.3595405727926</v>
      </c>
      <c r="R176" s="177">
        <v>11296</v>
      </c>
      <c r="S176" s="176">
        <v>235.3</v>
      </c>
      <c r="T176" s="176">
        <f t="shared" si="6"/>
        <v>289.97402346857604</v>
      </c>
    </row>
    <row r="177" spans="1:20" x14ac:dyDescent="0.2">
      <c r="A177" s="171">
        <v>3</v>
      </c>
      <c r="B177" s="171"/>
      <c r="C177" s="179">
        <f>+E177-E176</f>
        <v>160.23377500000004</v>
      </c>
      <c r="D177" s="171">
        <f>+G177-G176</f>
        <v>142.31202375000004</v>
      </c>
      <c r="E177" s="171">
        <v>530.51941250000004</v>
      </c>
      <c r="G177" s="171">
        <v>475.63664362500003</v>
      </c>
      <c r="I177" s="176">
        <v>125.4</v>
      </c>
      <c r="J177" s="168">
        <v>3</v>
      </c>
      <c r="L177" s="177">
        <v>19220</v>
      </c>
      <c r="M177" s="176">
        <v>795.69999999999982</v>
      </c>
      <c r="N177" s="176">
        <f t="shared" si="7"/>
        <v>982.93379385964897</v>
      </c>
      <c r="O177" s="177">
        <v>13278</v>
      </c>
      <c r="P177" s="176">
        <v>1278.0999999999999</v>
      </c>
      <c r="Q177" s="176">
        <f t="shared" si="5"/>
        <v>1578.8458991228069</v>
      </c>
      <c r="R177" s="177">
        <v>11383</v>
      </c>
      <c r="S177" s="176">
        <v>231.79999999999995</v>
      </c>
      <c r="T177" s="176">
        <f t="shared" si="6"/>
        <v>286.34416666666664</v>
      </c>
    </row>
    <row r="178" spans="1:20" x14ac:dyDescent="0.2">
      <c r="A178" s="171">
        <v>4</v>
      </c>
      <c r="B178" s="171"/>
      <c r="C178" s="179">
        <f>+E178-E177</f>
        <v>179.8571388695641</v>
      </c>
      <c r="D178" s="171">
        <f>+G178-G177</f>
        <v>163.53199924456408</v>
      </c>
      <c r="E178" s="171">
        <v>710.37655136956414</v>
      </c>
      <c r="G178" s="171">
        <v>639.16864286956411</v>
      </c>
      <c r="I178" s="176">
        <v>126.6</v>
      </c>
      <c r="J178" s="168">
        <v>4</v>
      </c>
      <c r="L178" s="177">
        <v>16838</v>
      </c>
      <c r="M178" s="176">
        <v>759.30000000000018</v>
      </c>
      <c r="N178" s="176">
        <f t="shared" si="7"/>
        <v>929.07792061611417</v>
      </c>
      <c r="O178" s="177">
        <v>6227</v>
      </c>
      <c r="P178" s="176">
        <v>1192.2000000000003</v>
      </c>
      <c r="Q178" s="176">
        <f t="shared" si="5"/>
        <v>1458.7734715639817</v>
      </c>
      <c r="R178" s="177">
        <v>10409</v>
      </c>
      <c r="S178" s="176">
        <v>276.40000000000009</v>
      </c>
      <c r="T178" s="176">
        <f t="shared" si="6"/>
        <v>338.20247235387063</v>
      </c>
    </row>
    <row r="179" spans="1:20" x14ac:dyDescent="0.2">
      <c r="A179" s="171">
        <v>1</v>
      </c>
      <c r="B179" s="171">
        <v>2010</v>
      </c>
      <c r="C179" s="179">
        <f>+E179</f>
        <v>204.63648875000001</v>
      </c>
      <c r="D179" s="171">
        <f>+G179</f>
        <v>186.506571025</v>
      </c>
      <c r="E179" s="171">
        <v>204.63648875000001</v>
      </c>
      <c r="G179" s="171">
        <v>186.506571025</v>
      </c>
      <c r="I179" s="176">
        <v>128.69999999999999</v>
      </c>
      <c r="J179" s="168">
        <v>1</v>
      </c>
      <c r="K179" s="168">
        <v>2010</v>
      </c>
      <c r="L179" s="177">
        <v>40484.70904761905</v>
      </c>
      <c r="M179" s="176">
        <v>1693.2251146266974</v>
      </c>
      <c r="N179" s="176">
        <f t="shared" si="7"/>
        <v>2038.020741600895</v>
      </c>
      <c r="O179" s="177">
        <v>6690</v>
      </c>
      <c r="P179" s="176">
        <v>1648.5</v>
      </c>
      <c r="Q179" s="176">
        <f t="shared" si="5"/>
        <v>1984.1881410256417</v>
      </c>
      <c r="R179" s="177">
        <v>7227</v>
      </c>
      <c r="S179" s="176">
        <v>243.10000000000002</v>
      </c>
      <c r="T179" s="176">
        <f t="shared" si="6"/>
        <v>292.60305555555567</v>
      </c>
    </row>
    <row r="180" spans="1:20" x14ac:dyDescent="0.2">
      <c r="A180" s="171">
        <v>2</v>
      </c>
      <c r="B180" s="171"/>
      <c r="C180" s="179">
        <f>+E180-E179</f>
        <v>188.95691625000001</v>
      </c>
      <c r="D180" s="171">
        <f>+G180-G179</f>
        <v>170.46253197500002</v>
      </c>
      <c r="E180" s="171">
        <v>393.59340500000002</v>
      </c>
      <c r="G180" s="171">
        <v>356.96910300000002</v>
      </c>
      <c r="I180" s="176">
        <v>128.9</v>
      </c>
      <c r="J180" s="168">
        <v>2</v>
      </c>
      <c r="L180" s="177">
        <v>20633.79583333333</v>
      </c>
      <c r="M180" s="176">
        <v>864.97098885712671</v>
      </c>
      <c r="N180" s="176">
        <f t="shared" si="7"/>
        <v>1039.4918033854567</v>
      </c>
      <c r="O180" s="177">
        <v>5716</v>
      </c>
      <c r="P180" s="176">
        <v>1381.6999999999998</v>
      </c>
      <c r="Q180" s="176">
        <f t="shared" si="5"/>
        <v>1660.4786093871217</v>
      </c>
      <c r="R180" s="177">
        <v>10696</v>
      </c>
      <c r="S180" s="176">
        <v>201.60000000000002</v>
      </c>
      <c r="T180" s="176">
        <f t="shared" si="6"/>
        <v>242.2758107059737</v>
      </c>
    </row>
    <row r="181" spans="1:20" x14ac:dyDescent="0.2">
      <c r="A181" s="171">
        <v>3</v>
      </c>
      <c r="B181" s="171"/>
      <c r="C181" s="179">
        <f>+E181-E180</f>
        <v>172.07737875000004</v>
      </c>
      <c r="D181" s="171">
        <f>+G181-G180</f>
        <v>154.15607493749997</v>
      </c>
      <c r="E181" s="171">
        <v>565.67078375000006</v>
      </c>
      <c r="G181" s="171">
        <v>511.12517793749998</v>
      </c>
      <c r="I181" s="176">
        <v>127.8</v>
      </c>
      <c r="J181" s="168">
        <v>3</v>
      </c>
      <c r="L181" s="177">
        <v>19149.335833333338</v>
      </c>
      <c r="M181" s="176">
        <v>861.71516601647909</v>
      </c>
      <c r="N181" s="176">
        <f t="shared" si="7"/>
        <v>1044.4925045359762</v>
      </c>
      <c r="O181" s="177">
        <v>9089</v>
      </c>
      <c r="P181" s="176">
        <v>1286.1999999999998</v>
      </c>
      <c r="Q181" s="176">
        <f t="shared" si="5"/>
        <v>1559.0142918622851</v>
      </c>
      <c r="R181" s="177">
        <v>11532</v>
      </c>
      <c r="S181" s="176">
        <v>200.69999999999993</v>
      </c>
      <c r="T181" s="176">
        <f t="shared" si="6"/>
        <v>243.2702288732394</v>
      </c>
    </row>
    <row r="182" spans="1:20" x14ac:dyDescent="0.2">
      <c r="A182" s="171">
        <v>4</v>
      </c>
      <c r="B182" s="171"/>
      <c r="C182" s="179">
        <f>+E182-E181</f>
        <v>192.96143124999992</v>
      </c>
      <c r="D182" s="171">
        <f>+G182-G181</f>
        <v>174.39946771249993</v>
      </c>
      <c r="E182" s="171">
        <v>758.63221499999997</v>
      </c>
      <c r="G182" s="171">
        <v>685.52464564999991</v>
      </c>
      <c r="I182" s="176">
        <v>129</v>
      </c>
      <c r="J182" s="168">
        <v>4</v>
      </c>
      <c r="L182" s="177">
        <v>22322.361666666664</v>
      </c>
      <c r="M182" s="176">
        <v>889.84894905372039</v>
      </c>
      <c r="N182" s="176">
        <f t="shared" ref="N182" si="8">M182/I182*$I$69</f>
        <v>1068.5602796553428</v>
      </c>
      <c r="O182" s="177">
        <v>5858</v>
      </c>
      <c r="P182" s="176">
        <v>1310.8000000000011</v>
      </c>
      <c r="Q182" s="176">
        <f t="shared" si="5"/>
        <v>1574.0523333333349</v>
      </c>
      <c r="R182" s="177">
        <v>9548</v>
      </c>
      <c r="S182" s="176">
        <v>205</v>
      </c>
      <c r="T182" s="176">
        <f t="shared" si="6"/>
        <v>246.17083333333338</v>
      </c>
    </row>
    <row r="183" spans="1:20" x14ac:dyDescent="0.2">
      <c r="A183" s="171">
        <v>1</v>
      </c>
      <c r="B183" s="171">
        <v>2011</v>
      </c>
      <c r="C183" s="179">
        <f>+E183</f>
        <v>204.00503875000001</v>
      </c>
      <c r="D183" s="171">
        <f>+G183</f>
        <v>184.8599929625</v>
      </c>
      <c r="E183" s="171">
        <v>204.00503875000001</v>
      </c>
      <c r="G183" s="171">
        <v>184.8599929625</v>
      </c>
      <c r="I183" s="176">
        <v>130.19999999999999</v>
      </c>
      <c r="J183" s="168">
        <v>1</v>
      </c>
      <c r="K183" s="168">
        <v>2011</v>
      </c>
      <c r="L183" s="177">
        <v>26141.662648809524</v>
      </c>
      <c r="M183" s="176">
        <v>1061.4209517567813</v>
      </c>
      <c r="N183" s="176">
        <f t="shared" ref="N183:N186" si="9">M183/I183*$I$69</f>
        <v>1262.8422894336686</v>
      </c>
      <c r="O183" s="177">
        <v>5959</v>
      </c>
      <c r="P183" s="176">
        <v>1698.7</v>
      </c>
      <c r="Q183" s="176">
        <f t="shared" si="5"/>
        <v>2021.0550710445473</v>
      </c>
      <c r="R183" s="177">
        <v>6732</v>
      </c>
      <c r="S183" s="176">
        <v>156.5</v>
      </c>
      <c r="T183" s="176">
        <f t="shared" si="6"/>
        <v>186.19833909370206</v>
      </c>
    </row>
    <row r="184" spans="1:20" x14ac:dyDescent="0.2">
      <c r="A184" s="171">
        <v>2</v>
      </c>
      <c r="B184" s="171"/>
      <c r="C184" s="179">
        <f>+E184-E183</f>
        <v>188.74104374999999</v>
      </c>
      <c r="D184" s="171">
        <f>+G184-G183</f>
        <v>171.33320521249996</v>
      </c>
      <c r="E184" s="168">
        <v>392.7460825</v>
      </c>
      <c r="G184" s="168">
        <v>356.19319817499996</v>
      </c>
      <c r="I184" s="176">
        <v>131</v>
      </c>
      <c r="J184" s="168">
        <v>2</v>
      </c>
      <c r="L184" s="185">
        <v>18851.951101190472</v>
      </c>
      <c r="M184" s="186">
        <v>776.58308820124375</v>
      </c>
      <c r="N184" s="176">
        <f t="shared" si="9"/>
        <v>918.30950179797094</v>
      </c>
      <c r="O184" s="177">
        <v>7524</v>
      </c>
      <c r="P184" s="176">
        <v>1533.4000000000003</v>
      </c>
      <c r="Q184" s="176">
        <f t="shared" si="5"/>
        <v>1813.2455000000007</v>
      </c>
      <c r="R184" s="177">
        <v>10017</v>
      </c>
      <c r="S184" s="176">
        <v>197.79999999999995</v>
      </c>
      <c r="T184" s="176">
        <f t="shared" si="6"/>
        <v>233.89849999999998</v>
      </c>
    </row>
    <row r="185" spans="1:20" x14ac:dyDescent="0.2">
      <c r="A185" s="171">
        <v>3</v>
      </c>
      <c r="C185" s="179">
        <f>+E185-E184</f>
        <v>169.93391749999995</v>
      </c>
      <c r="D185" s="171">
        <f>+G185-G184</f>
        <v>151.69380182500004</v>
      </c>
      <c r="E185" s="168">
        <v>562.67999999999995</v>
      </c>
      <c r="G185" s="168">
        <v>507.887</v>
      </c>
      <c r="I185" s="176">
        <v>129.4</v>
      </c>
      <c r="J185" s="168">
        <v>3</v>
      </c>
      <c r="L185" s="185">
        <v>24107.386250000007</v>
      </c>
      <c r="M185" s="186">
        <v>914.64669811090494</v>
      </c>
      <c r="N185" s="176">
        <f t="shared" si="9"/>
        <v>1094.9430710016616</v>
      </c>
      <c r="O185" s="177">
        <v>10171</v>
      </c>
      <c r="P185" s="176">
        <v>1285.3999999999996</v>
      </c>
      <c r="Q185" s="176">
        <f t="shared" si="5"/>
        <v>1538.7797565687788</v>
      </c>
      <c r="R185" s="177">
        <v>10339</v>
      </c>
      <c r="S185" s="176">
        <v>167.29999999999995</v>
      </c>
      <c r="T185" s="176">
        <f t="shared" si="6"/>
        <v>200.27839837712514</v>
      </c>
    </row>
    <row r="186" spans="1:20" x14ac:dyDescent="0.2">
      <c r="A186" s="168">
        <v>4</v>
      </c>
      <c r="C186" s="179">
        <f>+E186-E185</f>
        <v>202.17554500000006</v>
      </c>
      <c r="D186" s="171">
        <f>+G186-G185</f>
        <v>178.91908595000001</v>
      </c>
      <c r="E186" s="168">
        <v>764.85554500000001</v>
      </c>
      <c r="G186" s="168">
        <v>686.80608595000001</v>
      </c>
      <c r="I186" s="168">
        <v>130.5</v>
      </c>
      <c r="J186" s="168">
        <v>4</v>
      </c>
      <c r="L186" s="185">
        <v>18022.572976190484</v>
      </c>
      <c r="M186" s="176">
        <v>777.38419736292576</v>
      </c>
      <c r="N186" s="176">
        <f t="shared" si="9"/>
        <v>922.77887013791155</v>
      </c>
      <c r="O186" s="185">
        <v>8775.7956028314002</v>
      </c>
      <c r="P186" s="176">
        <v>1286.8626975018997</v>
      </c>
      <c r="Q186" s="176">
        <f t="shared" si="5"/>
        <v>1527.5454660021117</v>
      </c>
      <c r="R186" s="185">
        <v>9645.4866500746648</v>
      </c>
      <c r="S186" s="176">
        <v>181.103452008619</v>
      </c>
      <c r="T186" s="176">
        <f t="shared" si="6"/>
        <v>214.97534859789391</v>
      </c>
    </row>
    <row r="187" spans="1:20" x14ac:dyDescent="0.2">
      <c r="A187" s="168">
        <v>1</v>
      </c>
      <c r="B187" s="168">
        <v>2012</v>
      </c>
      <c r="C187" s="179">
        <f>+E187</f>
        <v>195.82938625</v>
      </c>
      <c r="D187" s="171">
        <f>+G187</f>
        <v>177.0717714875</v>
      </c>
      <c r="E187" s="168">
        <v>195.82938625</v>
      </c>
      <c r="G187" s="168">
        <v>177.0717714875</v>
      </c>
      <c r="I187" s="168">
        <v>131.69999999999999</v>
      </c>
      <c r="J187" s="168">
        <v>1</v>
      </c>
      <c r="K187" s="168">
        <v>2012</v>
      </c>
      <c r="L187" s="185">
        <v>18517.39324404762</v>
      </c>
      <c r="M187" s="176">
        <v>869.15461769403078</v>
      </c>
      <c r="N187" s="176">
        <f t="shared" ref="N187:N193" si="10">M187/I187*$I$69</f>
        <v>1022.3125963586797</v>
      </c>
      <c r="O187" s="177">
        <v>6822.44890070785</v>
      </c>
      <c r="P187" s="176">
        <v>1150.314057295883</v>
      </c>
      <c r="Q187" s="176">
        <f t="shared" si="5"/>
        <v>1353.0165135198333</v>
      </c>
      <c r="R187" s="177">
        <v>7564.3716625186662</v>
      </c>
      <c r="S187" s="176">
        <v>175.73767321176348</v>
      </c>
      <c r="T187" s="176">
        <f t="shared" si="6"/>
        <v>206.70526661390477</v>
      </c>
    </row>
    <row r="188" spans="1:20" x14ac:dyDescent="0.2">
      <c r="A188" s="168">
        <v>2</v>
      </c>
      <c r="C188" s="179">
        <f>+E188-E187</f>
        <v>182.75061374999999</v>
      </c>
      <c r="D188" s="171">
        <f>+G188-G187</f>
        <v>165.12822851249999</v>
      </c>
      <c r="E188" s="187">
        <v>378.58</v>
      </c>
      <c r="G188" s="187">
        <v>342.2</v>
      </c>
      <c r="I188" s="168">
        <v>131.69999999999999</v>
      </c>
      <c r="J188" s="168">
        <v>2</v>
      </c>
      <c r="L188" s="185">
        <v>14087.60675595238</v>
      </c>
      <c r="M188" s="176">
        <v>635.43152402028181</v>
      </c>
      <c r="N188" s="176">
        <f t="shared" si="10"/>
        <v>747.40401524048468</v>
      </c>
      <c r="O188" s="177">
        <v>4838.55109929215</v>
      </c>
      <c r="P188" s="176">
        <v>1037.7970664905204</v>
      </c>
      <c r="Q188" s="176">
        <f t="shared" si="5"/>
        <v>1220.6723544220222</v>
      </c>
      <c r="R188" s="177">
        <v>10002.628337481334</v>
      </c>
      <c r="S188" s="176">
        <v>184.20744441885319</v>
      </c>
      <c r="T188" s="176">
        <f t="shared" si="6"/>
        <v>216.66753755742982</v>
      </c>
    </row>
    <row r="189" spans="1:20" x14ac:dyDescent="0.2">
      <c r="A189" s="171">
        <v>3</v>
      </c>
      <c r="C189" s="179">
        <f>+E189-E188</f>
        <v>165.72960875000007</v>
      </c>
      <c r="D189" s="171">
        <f>+G189-G188</f>
        <v>148.24155396250001</v>
      </c>
      <c r="E189" s="168">
        <v>544.30960875000005</v>
      </c>
      <c r="G189" s="168">
        <v>490.4415539625</v>
      </c>
      <c r="I189" s="168">
        <v>130</v>
      </c>
      <c r="J189" s="168">
        <v>3</v>
      </c>
      <c r="L189" s="188">
        <v>20999.460714285713</v>
      </c>
      <c r="M189" s="189">
        <v>864.77367174435972</v>
      </c>
      <c r="N189" s="176">
        <f t="shared" si="10"/>
        <v>1030.4609811979956</v>
      </c>
      <c r="O189" s="188">
        <v>6828.0536397386386</v>
      </c>
      <c r="P189" s="189">
        <v>1132.0609213635664</v>
      </c>
      <c r="Q189" s="176">
        <f t="shared" si="5"/>
        <v>1348.9594398163592</v>
      </c>
      <c r="R189" s="188">
        <v>10877.781177428844</v>
      </c>
      <c r="S189" s="189">
        <v>190.02859425457928</v>
      </c>
      <c r="T189" s="176">
        <f t="shared" si="6"/>
        <v>226.43734203454804</v>
      </c>
    </row>
    <row r="190" spans="1:20" x14ac:dyDescent="0.2">
      <c r="A190" s="171">
        <v>4</v>
      </c>
      <c r="C190" s="179">
        <f>+E190-E189</f>
        <v>166.80539124999996</v>
      </c>
      <c r="D190" s="171">
        <f>+G190-G189</f>
        <v>151.72844603749996</v>
      </c>
      <c r="E190" s="168">
        <v>711.11500000000001</v>
      </c>
      <c r="G190" s="168">
        <v>642.16999999999996</v>
      </c>
      <c r="I190" s="168">
        <v>132</v>
      </c>
      <c r="J190" s="168">
        <v>4</v>
      </c>
      <c r="L190" s="188">
        <v>17946.539285714287</v>
      </c>
      <c r="M190" s="189">
        <v>826.79347775776318</v>
      </c>
      <c r="N190" s="176">
        <f t="shared" si="10"/>
        <v>970.27659587697508</v>
      </c>
      <c r="O190" s="188">
        <v>5621.9463602613596</v>
      </c>
      <c r="P190" s="189">
        <v>1071.0118577206574</v>
      </c>
      <c r="Q190" s="176">
        <f t="shared" ref="Q190:Q228" si="11">P190/I190*$I$69</f>
        <v>1256.8770405292632</v>
      </c>
      <c r="R190" s="188">
        <v>8525.2188225711561</v>
      </c>
      <c r="S190" s="189">
        <v>190.41732478586363</v>
      </c>
      <c r="T190" s="176">
        <f t="shared" ref="T190:T228" si="12">S190/I190*$I$69</f>
        <v>223.4626646914104</v>
      </c>
    </row>
    <row r="191" spans="1:20" x14ac:dyDescent="0.2">
      <c r="A191" s="168">
        <v>1</v>
      </c>
      <c r="B191" s="168">
        <v>2013</v>
      </c>
      <c r="C191" s="179">
        <f>+E191</f>
        <v>199.180995</v>
      </c>
      <c r="D191" s="171">
        <f>+G191</f>
        <v>183.65288545000001</v>
      </c>
      <c r="E191" s="168">
        <v>199.180995</v>
      </c>
      <c r="G191" s="168">
        <v>183.65288545000001</v>
      </c>
      <c r="I191" s="168">
        <v>133</v>
      </c>
      <c r="J191" s="168">
        <v>1</v>
      </c>
      <c r="K191" s="168">
        <f>B191</f>
        <v>2013</v>
      </c>
      <c r="L191" s="188">
        <v>21974.571815476189</v>
      </c>
      <c r="M191" s="189">
        <v>1023.0812127444322</v>
      </c>
      <c r="N191" s="176">
        <f t="shared" si="10"/>
        <v>1191.6011500993093</v>
      </c>
      <c r="O191" s="188">
        <v>5520.4451678348678</v>
      </c>
      <c r="P191" s="189">
        <v>1148.1840804128565</v>
      </c>
      <c r="Q191" s="176">
        <f t="shared" si="11"/>
        <v>1337.3107175680798</v>
      </c>
      <c r="R191" s="188">
        <v>5958.3970505452735</v>
      </c>
      <c r="S191" s="189">
        <v>167.84779905693762</v>
      </c>
      <c r="T191" s="176">
        <f t="shared" si="12"/>
        <v>195.49536039407946</v>
      </c>
    </row>
    <row r="192" spans="1:20" x14ac:dyDescent="0.2">
      <c r="A192" s="168">
        <v>2</v>
      </c>
      <c r="C192" s="179">
        <f>+E192-E191</f>
        <v>205.01500500000003</v>
      </c>
      <c r="D192" s="171">
        <f>+G192-G191</f>
        <v>185.63411454999996</v>
      </c>
      <c r="E192" s="168">
        <v>404.19600000000003</v>
      </c>
      <c r="G192" s="168">
        <v>369.28699999999998</v>
      </c>
      <c r="I192" s="168">
        <v>134.30000000000001</v>
      </c>
      <c r="J192" s="168">
        <v>2</v>
      </c>
      <c r="L192" s="188">
        <v>23960.428184523811</v>
      </c>
      <c r="M192" s="189">
        <v>1011.581560458749</v>
      </c>
      <c r="N192" s="176">
        <f t="shared" si="10"/>
        <v>1166.8024614799976</v>
      </c>
      <c r="O192" s="188">
        <v>6388.5548321651322</v>
      </c>
      <c r="P192" s="189">
        <v>1133.7065185307133</v>
      </c>
      <c r="Q192" s="176">
        <f t="shared" si="11"/>
        <v>1307.6667350654986</v>
      </c>
      <c r="R192" s="188">
        <v>10154.602949454726</v>
      </c>
      <c r="S192" s="189">
        <v>176.1673175310234</v>
      </c>
      <c r="T192" s="176">
        <f t="shared" si="12"/>
        <v>203.19909709930758</v>
      </c>
    </row>
    <row r="193" spans="1:20" x14ac:dyDescent="0.2">
      <c r="A193" s="168">
        <v>3</v>
      </c>
      <c r="C193" s="179">
        <f>+E193-E192</f>
        <v>172.04383408071794</v>
      </c>
      <c r="D193" s="171">
        <f>+G193-G192</f>
        <v>153.21019910313902</v>
      </c>
      <c r="E193" s="168">
        <v>576.23983408071797</v>
      </c>
      <c r="G193" s="168">
        <v>522.497199103139</v>
      </c>
      <c r="I193" s="168">
        <v>134.19999999999999</v>
      </c>
      <c r="J193" s="168">
        <v>3</v>
      </c>
      <c r="L193" s="188">
        <v>18388.581422924897</v>
      </c>
      <c r="M193" s="189">
        <v>735.52528494140915</v>
      </c>
      <c r="N193" s="176">
        <f t="shared" si="10"/>
        <v>849.01924796618005</v>
      </c>
      <c r="O193" s="188">
        <v>11492.955434782609</v>
      </c>
      <c r="P193" s="189">
        <v>1323.3889549928699</v>
      </c>
      <c r="Q193" s="176">
        <f t="shared" si="11"/>
        <v>1527.5922097284504</v>
      </c>
      <c r="R193" s="188">
        <v>11786.02326086957</v>
      </c>
      <c r="S193" s="189">
        <v>172.41802435151402</v>
      </c>
      <c r="T193" s="176">
        <f t="shared" si="12"/>
        <v>199.02269081395056</v>
      </c>
    </row>
    <row r="194" spans="1:20" x14ac:dyDescent="0.2">
      <c r="A194" s="171">
        <v>4</v>
      </c>
      <c r="C194" s="179">
        <f>+E194-E193</f>
        <v>204.099832585949</v>
      </c>
      <c r="D194" s="171">
        <f>+G194-G193</f>
        <v>188.07946756352794</v>
      </c>
      <c r="E194" s="168">
        <v>780.33966666666697</v>
      </c>
      <c r="G194" s="168">
        <v>710.57666666666694</v>
      </c>
      <c r="I194" s="168">
        <v>135.30000000000001</v>
      </c>
      <c r="J194" s="168">
        <v>4</v>
      </c>
      <c r="L194" s="188">
        <v>18420.418577075106</v>
      </c>
      <c r="M194" s="188">
        <v>895.71090498583999</v>
      </c>
      <c r="N194" s="176">
        <f>M194/I194*$I$69</f>
        <v>1025.5161641839914</v>
      </c>
      <c r="O194" s="188">
        <v>7745.0445652173912</v>
      </c>
      <c r="P194" s="188">
        <v>1212.6630411771803</v>
      </c>
      <c r="Q194" s="176">
        <f t="shared" si="11"/>
        <v>1388.4005916567189</v>
      </c>
      <c r="R194" s="188">
        <v>11621.97673913043</v>
      </c>
      <c r="S194" s="188">
        <v>180.100371437175</v>
      </c>
      <c r="T194" s="176">
        <f t="shared" si="12"/>
        <v>206.20028298894448</v>
      </c>
    </row>
    <row r="195" spans="1:20" x14ac:dyDescent="0.2">
      <c r="A195" s="171">
        <v>1</v>
      </c>
      <c r="B195" s="168">
        <v>2014</v>
      </c>
      <c r="C195" s="179">
        <f>E195</f>
        <v>196.17699999999999</v>
      </c>
      <c r="D195" s="171">
        <f>G195</f>
        <v>179.55199999999999</v>
      </c>
      <c r="E195" s="168">
        <v>196.17699999999999</v>
      </c>
      <c r="G195" s="168">
        <v>179.55199999999999</v>
      </c>
      <c r="I195" s="168">
        <v>135.80000000000001</v>
      </c>
      <c r="J195" s="168">
        <f>A195</f>
        <v>1</v>
      </c>
      <c r="K195" s="168">
        <f>B195</f>
        <v>2014</v>
      </c>
      <c r="L195" s="188">
        <v>19713</v>
      </c>
      <c r="M195" s="188">
        <v>886.67647724495987</v>
      </c>
      <c r="N195" s="176">
        <f>M195/I195*$I$69</f>
        <v>1011.4347304773464</v>
      </c>
      <c r="O195" s="188">
        <v>7032</v>
      </c>
      <c r="P195" s="188">
        <v>1484.9150299297401</v>
      </c>
      <c r="Q195" s="176">
        <f t="shared" ref="Q195" si="13">P195/I195*$I$69</f>
        <v>1693.8473858530283</v>
      </c>
      <c r="R195" s="188">
        <v>8004</v>
      </c>
      <c r="S195" s="188">
        <v>165.16263465729782</v>
      </c>
      <c r="T195" s="176">
        <f t="shared" ref="T195" si="14">S195/I195*$I$69</f>
        <v>188.40155249024568</v>
      </c>
    </row>
    <row r="196" spans="1:20" x14ac:dyDescent="0.2">
      <c r="A196" s="168">
        <v>2</v>
      </c>
      <c r="C196" s="179">
        <f>+E196-E195</f>
        <v>197.965</v>
      </c>
      <c r="D196" s="171">
        <f>+G196-G195</f>
        <v>179.76700000000002</v>
      </c>
      <c r="E196" s="168">
        <v>394.142</v>
      </c>
      <c r="G196" s="168">
        <v>359.31900000000002</v>
      </c>
      <c r="I196" s="168">
        <v>136.69999999999999</v>
      </c>
      <c r="J196" s="168">
        <v>2</v>
      </c>
      <c r="L196" s="188">
        <v>16691</v>
      </c>
      <c r="M196" s="188">
        <v>732.96206934555016</v>
      </c>
      <c r="N196" s="176">
        <f t="shared" ref="N196:N228" si="15">M196/I196*$I$69</f>
        <v>830.58757686280785</v>
      </c>
      <c r="O196" s="188">
        <v>6228</v>
      </c>
      <c r="P196" s="188">
        <v>1158.7677611998799</v>
      </c>
      <c r="Q196" s="176">
        <f t="shared" si="11"/>
        <v>1313.1076588739609</v>
      </c>
      <c r="R196" s="188">
        <v>11579</v>
      </c>
      <c r="S196" s="188">
        <v>167.32102845142202</v>
      </c>
      <c r="T196" s="176">
        <f t="shared" si="12"/>
        <v>189.60703887958056</v>
      </c>
    </row>
    <row r="197" spans="1:20" x14ac:dyDescent="0.2">
      <c r="A197" s="168">
        <v>3</v>
      </c>
      <c r="C197" s="179">
        <f>+E197-E196</f>
        <v>192.10452006852</v>
      </c>
      <c r="D197" s="171">
        <f>+G197-G196</f>
        <v>173.47352006851992</v>
      </c>
      <c r="E197" s="168">
        <v>586.24652006852</v>
      </c>
      <c r="G197" s="168">
        <v>532.79252006851993</v>
      </c>
      <c r="I197" s="168">
        <v>137</v>
      </c>
      <c r="J197" s="168">
        <v>3</v>
      </c>
      <c r="L197" s="188">
        <v>21817</v>
      </c>
      <c r="M197" s="188">
        <v>1080.59231996894</v>
      </c>
      <c r="N197" s="176">
        <f t="shared" si="15"/>
        <v>1221.8383562451722</v>
      </c>
      <c r="O197" s="188">
        <v>20407</v>
      </c>
      <c r="P197" s="188">
        <v>1259.8740491119995</v>
      </c>
      <c r="Q197" s="176">
        <f t="shared" si="11"/>
        <v>1424.5543011884461</v>
      </c>
      <c r="R197" s="188">
        <v>11684</v>
      </c>
      <c r="S197" s="188">
        <v>177.03184293206914</v>
      </c>
      <c r="T197" s="176">
        <f t="shared" si="12"/>
        <v>200.17197232846354</v>
      </c>
    </row>
    <row r="198" spans="1:20" x14ac:dyDescent="0.2">
      <c r="A198" s="168">
        <v>4</v>
      </c>
      <c r="C198" s="179">
        <f>+E198-E197</f>
        <v>196.808833167682</v>
      </c>
      <c r="D198" s="171">
        <f>+G198-G197</f>
        <v>184.73883316768206</v>
      </c>
      <c r="E198" s="168">
        <v>783.055353236202</v>
      </c>
      <c r="G198" s="168">
        <v>717.53135323620199</v>
      </c>
      <c r="I198" s="168">
        <v>137.9</v>
      </c>
      <c r="J198" s="168">
        <v>4</v>
      </c>
      <c r="L198" s="188">
        <v>20183</v>
      </c>
      <c r="M198" s="188">
        <v>869.67426416194962</v>
      </c>
      <c r="N198" s="176">
        <f t="shared" si="15"/>
        <v>976.93303898235843</v>
      </c>
      <c r="O198" s="188">
        <v>12863</v>
      </c>
      <c r="P198" s="188">
        <v>1106.850761909501</v>
      </c>
      <c r="Q198" s="176">
        <f t="shared" si="11"/>
        <v>1243.3610181326762</v>
      </c>
      <c r="R198" s="188">
        <v>9690</v>
      </c>
      <c r="S198" s="188">
        <v>175.42101671448501</v>
      </c>
      <c r="T198" s="176">
        <f t="shared" si="12"/>
        <v>197.05606342783966</v>
      </c>
    </row>
    <row r="199" spans="1:20" x14ac:dyDescent="0.2">
      <c r="A199" s="168">
        <v>1</v>
      </c>
      <c r="B199" s="168">
        <v>2015</v>
      </c>
      <c r="C199" s="179">
        <f>E199</f>
        <v>219.418599054541</v>
      </c>
      <c r="D199" s="171">
        <f>G199</f>
        <v>202.59159905454101</v>
      </c>
      <c r="E199" s="168">
        <v>219.418599054541</v>
      </c>
      <c r="G199" s="168">
        <v>202.59159905454101</v>
      </c>
      <c r="I199" s="168">
        <v>138.4</v>
      </c>
      <c r="J199" s="168">
        <v>1</v>
      </c>
      <c r="K199" s="168">
        <v>2015</v>
      </c>
      <c r="L199" s="188">
        <v>19630</v>
      </c>
      <c r="M199" s="188">
        <v>957.60520650282388</v>
      </c>
      <c r="N199" s="176">
        <f t="shared" si="15"/>
        <v>1071.8224604504062</v>
      </c>
      <c r="O199" s="188">
        <v>9848</v>
      </c>
      <c r="P199" s="188">
        <v>1279.8360091262539</v>
      </c>
      <c r="Q199" s="176">
        <f t="shared" si="11"/>
        <v>1432.4869695355867</v>
      </c>
      <c r="R199" s="188">
        <v>7135</v>
      </c>
      <c r="S199" s="188">
        <v>155.36971992416409</v>
      </c>
      <c r="T199" s="176">
        <f t="shared" si="12"/>
        <v>173.90126364994546</v>
      </c>
    </row>
    <row r="200" spans="1:20" x14ac:dyDescent="0.2">
      <c r="A200" s="168">
        <v>2</v>
      </c>
      <c r="C200" s="179">
        <f>+E200-E199</f>
        <v>188.69592411436798</v>
      </c>
      <c r="D200" s="171">
        <f>+G200-G199</f>
        <v>171.45081948058601</v>
      </c>
      <c r="E200" s="168">
        <v>408.11452316890899</v>
      </c>
      <c r="G200" s="168">
        <v>374.04241853512701</v>
      </c>
      <c r="I200" s="168">
        <v>139.6</v>
      </c>
      <c r="J200" s="168">
        <v>2</v>
      </c>
      <c r="L200" s="188">
        <v>15703.949675889351</v>
      </c>
      <c r="M200" s="188">
        <v>739.71582874915612</v>
      </c>
      <c r="N200" s="176">
        <f t="shared" si="15"/>
        <v>820.82757694813699</v>
      </c>
      <c r="O200" s="188">
        <v>5422.7168724637304</v>
      </c>
      <c r="P200" s="188">
        <v>1206.7408437095464</v>
      </c>
      <c r="Q200" s="176">
        <f t="shared" si="11"/>
        <v>1339.0630891614371</v>
      </c>
      <c r="R200" s="188">
        <v>9988.3050621118018</v>
      </c>
      <c r="S200" s="188">
        <v>168.85276765034422</v>
      </c>
      <c r="T200" s="176">
        <f t="shared" si="12"/>
        <v>187.36790906014113</v>
      </c>
    </row>
    <row r="201" spans="1:20" x14ac:dyDescent="0.2">
      <c r="A201" s="168">
        <v>3</v>
      </c>
      <c r="C201" s="179">
        <f>+E201-E200</f>
        <v>180.38826158445403</v>
      </c>
      <c r="D201" s="171">
        <f>+G201-G200</f>
        <v>162.29720926756397</v>
      </c>
      <c r="E201" s="168">
        <v>588.50278475336302</v>
      </c>
      <c r="G201" s="168">
        <v>536.33962780269098</v>
      </c>
      <c r="I201" s="168">
        <v>139.69999999999999</v>
      </c>
      <c r="J201" s="168">
        <v>3</v>
      </c>
      <c r="L201" s="188">
        <v>22728.974837944646</v>
      </c>
      <c r="M201" s="188">
        <v>979.87465749478997</v>
      </c>
      <c r="N201" s="176">
        <f t="shared" si="15"/>
        <v>1086.5421152890067</v>
      </c>
      <c r="O201" s="188">
        <v>8619.8584362319707</v>
      </c>
      <c r="P201" s="188">
        <v>1341.1049733657396</v>
      </c>
      <c r="Q201" s="176">
        <f t="shared" si="11"/>
        <v>1487.0953375923648</v>
      </c>
      <c r="R201" s="188">
        <v>10649.652531055901</v>
      </c>
      <c r="S201" s="188">
        <v>131.16322330640469</v>
      </c>
      <c r="T201" s="176">
        <f t="shared" si="12"/>
        <v>145.44142458365704</v>
      </c>
    </row>
    <row r="202" spans="1:20" x14ac:dyDescent="0.2">
      <c r="A202" s="168">
        <v>4</v>
      </c>
      <c r="C202" s="179">
        <f>+E202-E201</f>
        <v>195.22963867497901</v>
      </c>
      <c r="D202" s="171">
        <f>+G202-G201</f>
        <v>179.89113138755602</v>
      </c>
      <c r="E202" s="168">
        <v>783.73242342834203</v>
      </c>
      <c r="G202" s="168">
        <v>716.230759190247</v>
      </c>
      <c r="I202" s="168">
        <v>141.69999999999999</v>
      </c>
      <c r="J202" s="168">
        <v>4</v>
      </c>
      <c r="L202" s="188">
        <v>17661.404213438705</v>
      </c>
      <c r="M202" s="188">
        <v>882.4718984768997</v>
      </c>
      <c r="N202" s="176">
        <f t="shared" si="15"/>
        <v>964.72488082787845</v>
      </c>
      <c r="O202" s="188">
        <v>7193.856491304301</v>
      </c>
      <c r="P202" s="188">
        <v>1425.3376484527203</v>
      </c>
      <c r="Q202" s="176">
        <f t="shared" si="11"/>
        <v>1558.1897796590672</v>
      </c>
      <c r="R202" s="188">
        <v>9159.825978260902</v>
      </c>
      <c r="S202" s="188">
        <v>158.55842389179503</v>
      </c>
      <c r="T202" s="176">
        <f t="shared" si="12"/>
        <v>173.33725510951479</v>
      </c>
    </row>
    <row r="203" spans="1:20" x14ac:dyDescent="0.2">
      <c r="A203" s="168">
        <v>1</v>
      </c>
      <c r="B203" s="168">
        <v>2016</v>
      </c>
      <c r="C203" s="179">
        <f>E203</f>
        <v>217.297581707322</v>
      </c>
      <c r="D203" s="171">
        <f>G203</f>
        <v>201.19677375494101</v>
      </c>
      <c r="E203" s="168">
        <v>217.297581707322</v>
      </c>
      <c r="G203" s="168">
        <v>201.19677375494101</v>
      </c>
      <c r="I203" s="168">
        <v>142.69999999999999</v>
      </c>
      <c r="J203" s="168">
        <v>1</v>
      </c>
      <c r="K203" s="168">
        <v>2016</v>
      </c>
      <c r="L203" s="188">
        <v>20668.165818181998</v>
      </c>
      <c r="M203" s="188">
        <v>1021.6300324660001</v>
      </c>
      <c r="N203" s="176">
        <f t="shared" si="15"/>
        <v>1109.0270094900277</v>
      </c>
      <c r="O203" s="188">
        <v>6682.5362000000005</v>
      </c>
      <c r="P203" s="188">
        <v>1267.176908724</v>
      </c>
      <c r="Q203" s="176">
        <f t="shared" si="11"/>
        <v>1375.5795864622501</v>
      </c>
      <c r="R203" s="188">
        <v>6340.7358571430004</v>
      </c>
      <c r="S203" s="188">
        <v>128.592957756</v>
      </c>
      <c r="T203" s="176">
        <f t="shared" si="12"/>
        <v>139.59364823817504</v>
      </c>
    </row>
    <row r="204" spans="1:20" x14ac:dyDescent="0.2">
      <c r="A204" s="168">
        <v>2</v>
      </c>
      <c r="C204" s="179">
        <f>+E204-E203</f>
        <v>210.94903078835901</v>
      </c>
      <c r="D204" s="171">
        <f>+G204-G203</f>
        <v>192.89311593057502</v>
      </c>
      <c r="E204" s="168">
        <v>428.24661249568101</v>
      </c>
      <c r="G204" s="168">
        <v>394.08988968551603</v>
      </c>
      <c r="I204" s="168">
        <v>144.30000000000001</v>
      </c>
      <c r="J204" s="168">
        <v>2</v>
      </c>
      <c r="L204" s="188">
        <v>19039.287573122998</v>
      </c>
      <c r="M204" s="188">
        <v>795.20392340999979</v>
      </c>
      <c r="N204" s="176">
        <f t="shared" si="15"/>
        <v>853.6594023952498</v>
      </c>
      <c r="O204" s="188">
        <v>5385.3991579709982</v>
      </c>
      <c r="P204" s="188">
        <v>991.5183596400002</v>
      </c>
      <c r="Q204" s="176">
        <f t="shared" si="11"/>
        <v>1064.4049223557404</v>
      </c>
      <c r="R204" s="188">
        <v>10107.700518632999</v>
      </c>
      <c r="S204" s="188">
        <v>152.61472035099999</v>
      </c>
      <c r="T204" s="176">
        <f t="shared" si="12"/>
        <v>163.83343584734951</v>
      </c>
    </row>
    <row r="205" spans="1:20" x14ac:dyDescent="0.2">
      <c r="A205" s="168">
        <v>3</v>
      </c>
      <c r="C205" s="179">
        <f>+E205-E204</f>
        <v>193.64755294266695</v>
      </c>
      <c r="D205" s="171">
        <f>+G205-G204</f>
        <v>175.641874720337</v>
      </c>
      <c r="E205" s="168">
        <v>621.89416543834795</v>
      </c>
      <c r="G205" s="168">
        <v>569.73176440585303</v>
      </c>
      <c r="I205" s="168">
        <v>145.30000000000001</v>
      </c>
      <c r="J205" s="168">
        <v>3</v>
      </c>
      <c r="L205" s="188">
        <v>25325.005330874006</v>
      </c>
      <c r="M205" s="188">
        <v>1404.3111468839998</v>
      </c>
      <c r="N205" s="176">
        <f t="shared" si="15"/>
        <v>1497.1667514517083</v>
      </c>
      <c r="O205" s="188">
        <v>9666.7747891530034</v>
      </c>
      <c r="P205" s="188">
        <v>1492.4533452979995</v>
      </c>
      <c r="Q205" s="176">
        <f t="shared" si="11"/>
        <v>1591.1370721730893</v>
      </c>
      <c r="R205" s="188">
        <v>10325.156290487997</v>
      </c>
      <c r="S205" s="188">
        <v>149.15188867200001</v>
      </c>
      <c r="T205" s="176">
        <f t="shared" si="12"/>
        <v>159.01408254960663</v>
      </c>
    </row>
    <row r="206" spans="1:20" x14ac:dyDescent="0.2">
      <c r="A206" s="168">
        <v>4</v>
      </c>
      <c r="C206" s="179">
        <f>+E206-E205</f>
        <v>194.66297676649504</v>
      </c>
      <c r="D206" s="171">
        <f>+G206-G205</f>
        <v>178.45454935802093</v>
      </c>
      <c r="E206" s="168">
        <v>816.55714220484299</v>
      </c>
      <c r="G206" s="168">
        <v>748.18631376387395</v>
      </c>
      <c r="I206" s="168">
        <v>146.69999999999999</v>
      </c>
      <c r="J206" s="168">
        <v>4</v>
      </c>
      <c r="L206" s="188">
        <v>18369.446222722992</v>
      </c>
      <c r="M206" s="188">
        <v>962.00640138500057</v>
      </c>
      <c r="N206" s="176">
        <f t="shared" si="15"/>
        <v>1015.8282660023655</v>
      </c>
      <c r="O206" s="188">
        <v>6575.4640743699983</v>
      </c>
      <c r="P206" s="188">
        <v>1222.1149542560006</v>
      </c>
      <c r="Q206" s="176">
        <f t="shared" si="11"/>
        <v>1290.4892452379786</v>
      </c>
      <c r="R206" s="188">
        <v>7957.0224983410008</v>
      </c>
      <c r="S206" s="188">
        <v>147.86469469900001</v>
      </c>
      <c r="T206" s="176">
        <f t="shared" si="12"/>
        <v>156.13735646956613</v>
      </c>
    </row>
    <row r="207" spans="1:20" x14ac:dyDescent="0.2">
      <c r="A207" s="168">
        <v>1</v>
      </c>
      <c r="B207" s="168">
        <v>2017</v>
      </c>
      <c r="C207" s="179">
        <f>E207</f>
        <v>227.02914608932699</v>
      </c>
      <c r="D207" s="171">
        <f>G207</f>
        <v>210.737716871462</v>
      </c>
      <c r="E207" s="168">
        <v>227.02914608932699</v>
      </c>
      <c r="G207" s="168">
        <v>210.737716871462</v>
      </c>
      <c r="I207" s="168">
        <v>146.4</v>
      </c>
      <c r="J207" s="168">
        <v>1</v>
      </c>
      <c r="K207" s="168">
        <v>2017</v>
      </c>
      <c r="L207" s="188">
        <v>20188.970584052</v>
      </c>
      <c r="M207" s="188">
        <v>1029.1484993670001</v>
      </c>
      <c r="N207" s="176">
        <f t="shared" si="15"/>
        <v>1088.9536964869781</v>
      </c>
      <c r="O207" s="188">
        <v>7124.2571060979999</v>
      </c>
      <c r="P207" s="188">
        <v>1296.4468783369998</v>
      </c>
      <c r="Q207" s="176">
        <f t="shared" si="11"/>
        <v>1371.78514211741</v>
      </c>
      <c r="R207" s="188">
        <v>6121.3819215860003</v>
      </c>
      <c r="S207" s="188">
        <v>141.149656131</v>
      </c>
      <c r="T207" s="176">
        <f t="shared" si="12"/>
        <v>149.35205161962352</v>
      </c>
    </row>
    <row r="208" spans="1:20" x14ac:dyDescent="0.2">
      <c r="A208" s="168">
        <v>2</v>
      </c>
      <c r="C208" s="179">
        <f>+E208-E207</f>
        <v>200.76722202181199</v>
      </c>
      <c r="D208" s="171">
        <f>+G208-G207</f>
        <v>183.70797761744905</v>
      </c>
      <c r="E208" s="168">
        <v>427.79636811113897</v>
      </c>
      <c r="G208" s="168">
        <v>394.44569448891104</v>
      </c>
      <c r="I208" s="168">
        <v>147.4</v>
      </c>
      <c r="J208" s="168">
        <v>2</v>
      </c>
      <c r="L208" s="188">
        <v>16357.538075795001</v>
      </c>
      <c r="M208" s="188">
        <v>768.50776898899994</v>
      </c>
      <c r="N208" s="176">
        <f t="shared" si="15"/>
        <v>807.65004901399948</v>
      </c>
      <c r="O208" s="188">
        <v>5007.3623026510004</v>
      </c>
      <c r="P208" s="188">
        <v>1681.8190342150001</v>
      </c>
      <c r="Q208" s="176">
        <f t="shared" si="11"/>
        <v>1767.4788469651301</v>
      </c>
      <c r="R208" s="188">
        <v>7194.9193664359991</v>
      </c>
      <c r="S208" s="188">
        <v>119.946167266</v>
      </c>
      <c r="T208" s="176">
        <f t="shared" si="12"/>
        <v>126.05536571070488</v>
      </c>
    </row>
    <row r="209" spans="1:20" x14ac:dyDescent="0.2">
      <c r="A209" s="168">
        <v>3</v>
      </c>
      <c r="C209" s="179">
        <f>+E209-E208</f>
        <v>195.05863188886104</v>
      </c>
      <c r="D209" s="171">
        <f>+G209-G208</f>
        <v>176.76630551108894</v>
      </c>
      <c r="E209" s="168">
        <v>622.85500000000002</v>
      </c>
      <c r="G209" s="168">
        <v>571.21199999999999</v>
      </c>
      <c r="I209" s="168">
        <v>147.30000000000001</v>
      </c>
      <c r="J209" s="168">
        <v>3</v>
      </c>
      <c r="L209" s="188">
        <v>19399</v>
      </c>
      <c r="M209" s="188">
        <v>907</v>
      </c>
      <c r="N209" s="176">
        <f t="shared" si="15"/>
        <v>953.84319416157507</v>
      </c>
      <c r="O209" s="188">
        <v>8892</v>
      </c>
      <c r="P209" s="188">
        <v>954</v>
      </c>
      <c r="Q209" s="176">
        <f t="shared" si="11"/>
        <v>1003.2705702647659</v>
      </c>
      <c r="R209" s="188">
        <v>8727</v>
      </c>
      <c r="S209" s="188">
        <v>128</v>
      </c>
      <c r="T209" s="176">
        <f t="shared" si="12"/>
        <v>134.61072640868974</v>
      </c>
    </row>
    <row r="210" spans="1:20" x14ac:dyDescent="0.2">
      <c r="A210" s="168">
        <v>4</v>
      </c>
      <c r="C210" s="179">
        <f>+E210-E209</f>
        <v>225.423</v>
      </c>
      <c r="D210" s="171">
        <f>+G210-G209</f>
        <v>208.21799999999996</v>
      </c>
      <c r="E210" s="168">
        <v>848.27800000000002</v>
      </c>
      <c r="G210" s="168">
        <v>779.43</v>
      </c>
      <c r="I210" s="168">
        <v>148.4</v>
      </c>
      <c r="J210" s="168">
        <v>4</v>
      </c>
      <c r="L210" s="188">
        <v>23333</v>
      </c>
      <c r="M210" s="188">
        <v>1141</v>
      </c>
      <c r="N210" s="176">
        <f t="shared" si="15"/>
        <v>1191.0340801886794</v>
      </c>
      <c r="O210" s="188">
        <v>6366</v>
      </c>
      <c r="P210" s="188">
        <v>1205</v>
      </c>
      <c r="Q210" s="176">
        <f t="shared" si="11"/>
        <v>1257.8405491913747</v>
      </c>
      <c r="R210" s="188">
        <v>7520</v>
      </c>
      <c r="S210" s="188">
        <v>124</v>
      </c>
      <c r="T210" s="176">
        <f t="shared" si="12"/>
        <v>129.43753369272241</v>
      </c>
    </row>
    <row r="211" spans="1:20" x14ac:dyDescent="0.2">
      <c r="A211" s="168">
        <v>1</v>
      </c>
      <c r="B211" s="168">
        <v>2018</v>
      </c>
      <c r="C211" s="179">
        <f>E211</f>
        <v>241.52799999999999</v>
      </c>
      <c r="D211" s="179">
        <f>G211</f>
        <v>222.678</v>
      </c>
      <c r="E211" s="168">
        <v>241.52799999999999</v>
      </c>
      <c r="G211" s="168">
        <v>222.678</v>
      </c>
      <c r="I211" s="168">
        <v>149.69999999999999</v>
      </c>
      <c r="J211" s="168">
        <v>1</v>
      </c>
      <c r="K211" s="168">
        <v>2018</v>
      </c>
      <c r="L211" s="188">
        <v>25111</v>
      </c>
      <c r="M211" s="188">
        <v>1175</v>
      </c>
      <c r="N211" s="176">
        <f t="shared" si="15"/>
        <v>1215.8738309953242</v>
      </c>
      <c r="O211" s="188">
        <v>6317</v>
      </c>
      <c r="P211" s="188">
        <v>1262</v>
      </c>
      <c r="Q211" s="176">
        <f t="shared" si="11"/>
        <v>1305.9002338009357</v>
      </c>
      <c r="R211" s="188">
        <v>5433</v>
      </c>
      <c r="S211" s="188">
        <v>116</v>
      </c>
      <c r="T211" s="176">
        <f t="shared" si="12"/>
        <v>120.03520374081499</v>
      </c>
    </row>
    <row r="212" spans="1:20" x14ac:dyDescent="0.2">
      <c r="A212" s="168">
        <v>2</v>
      </c>
      <c r="C212" s="179">
        <f>+E212-E211</f>
        <v>226.77080239162902</v>
      </c>
      <c r="D212" s="179">
        <f>+G212-G211</f>
        <v>208.83864191330298</v>
      </c>
      <c r="E212" s="168">
        <v>468.29880239162901</v>
      </c>
      <c r="G212" s="168">
        <v>431.51664191330298</v>
      </c>
      <c r="I212" s="168">
        <v>150.80000000000001</v>
      </c>
      <c r="J212" s="168">
        <v>2</v>
      </c>
      <c r="L212" s="188">
        <v>20973.437462450995</v>
      </c>
      <c r="M212" s="188">
        <v>1076.7915513600001</v>
      </c>
      <c r="N212" s="176">
        <f t="shared" si="15"/>
        <v>1106.1212681850081</v>
      </c>
      <c r="O212" s="188">
        <v>5869.5992710140017</v>
      </c>
      <c r="P212" s="188">
        <v>1471.9660798479999</v>
      </c>
      <c r="Q212" s="176">
        <f t="shared" si="11"/>
        <v>1512.0595856369632</v>
      </c>
      <c r="R212" s="188">
        <v>9319.6839472049996</v>
      </c>
      <c r="S212" s="188">
        <v>135.61776245999999</v>
      </c>
      <c r="T212" s="176">
        <f t="shared" si="12"/>
        <v>139.311727707377</v>
      </c>
    </row>
    <row r="213" spans="1:20" x14ac:dyDescent="0.2">
      <c r="A213" s="168">
        <v>3</v>
      </c>
      <c r="C213" s="179">
        <f>+E213-E212</f>
        <v>230.04425590433516</v>
      </c>
      <c r="D213" s="179">
        <f>+G213-G212</f>
        <v>207.39460472346803</v>
      </c>
      <c r="E213" s="168">
        <v>698.34305829596417</v>
      </c>
      <c r="G213" s="168">
        <v>638.91124663677101</v>
      </c>
      <c r="I213" s="168">
        <v>152.30000000000001</v>
      </c>
      <c r="J213" s="168">
        <v>3</v>
      </c>
      <c r="L213" s="188">
        <v>22635.655438734771</v>
      </c>
      <c r="M213" s="188">
        <v>1212.1884087902995</v>
      </c>
      <c r="N213" s="176">
        <f t="shared" si="15"/>
        <v>1232.9420612914205</v>
      </c>
      <c r="O213" s="188">
        <v>10333.380031159912</v>
      </c>
      <c r="P213" s="188">
        <v>1822.4517080118057</v>
      </c>
      <c r="Q213" s="176">
        <f t="shared" si="11"/>
        <v>1853.6535650613187</v>
      </c>
      <c r="R213" s="188">
        <v>9726.2967189440697</v>
      </c>
      <c r="S213" s="188">
        <v>150.27129325880639</v>
      </c>
      <c r="T213" s="176">
        <f t="shared" si="12"/>
        <v>152.84406014765958</v>
      </c>
    </row>
    <row r="214" spans="1:20" x14ac:dyDescent="0.2">
      <c r="A214" s="168">
        <v>4</v>
      </c>
      <c r="C214" s="179">
        <f>+E214-E213</f>
        <v>212.66674917787782</v>
      </c>
      <c r="D214" s="179">
        <f>+G214-G213</f>
        <v>195.66619934230232</v>
      </c>
      <c r="E214" s="168">
        <v>911.00980747384199</v>
      </c>
      <c r="G214" s="168">
        <v>834.57744597907333</v>
      </c>
      <c r="I214" s="168">
        <v>153.6</v>
      </c>
      <c r="J214" s="168">
        <v>4</v>
      </c>
      <c r="L214" s="188">
        <v>22335.438371541502</v>
      </c>
      <c r="M214" s="188">
        <v>1078.6341079945755</v>
      </c>
      <c r="N214" s="176">
        <f t="shared" si="15"/>
        <v>1087.81584039173</v>
      </c>
      <c r="O214" s="188">
        <v>7362.2217963768126</v>
      </c>
      <c r="P214" s="188">
        <v>1452.0805351783911</v>
      </c>
      <c r="Q214" s="176">
        <f t="shared" si="11"/>
        <v>1464.4411816611112</v>
      </c>
      <c r="R214" s="188">
        <v>8182.2589673913026</v>
      </c>
      <c r="S214" s="188">
        <v>116.53210966099653</v>
      </c>
      <c r="T214" s="176">
        <f t="shared" si="12"/>
        <v>117.52407407103401</v>
      </c>
    </row>
    <row r="215" spans="1:20" x14ac:dyDescent="0.2">
      <c r="A215" s="168">
        <v>1</v>
      </c>
      <c r="B215" s="168">
        <v>2019</v>
      </c>
      <c r="C215" s="179">
        <f>E215</f>
        <v>242.05576995515696</v>
      </c>
      <c r="D215" s="179">
        <f>G215</f>
        <v>223.58363596412556</v>
      </c>
      <c r="E215" s="168">
        <v>242.05576995515696</v>
      </c>
      <c r="G215" s="168">
        <v>223.58363596412556</v>
      </c>
      <c r="I215" s="168">
        <v>154.1</v>
      </c>
      <c r="J215" s="168">
        <v>1</v>
      </c>
      <c r="K215" s="168">
        <v>2019</v>
      </c>
      <c r="L215" s="188">
        <v>22394.924612648225</v>
      </c>
      <c r="M215" s="188">
        <v>1151.1138601930163</v>
      </c>
      <c r="N215" s="176">
        <f t="shared" si="15"/>
        <v>1157.1458163390637</v>
      </c>
      <c r="O215" s="188">
        <v>6179.0660115942028</v>
      </c>
      <c r="P215" s="188">
        <v>1384.5030606846908</v>
      </c>
      <c r="Q215" s="176">
        <f t="shared" si="11"/>
        <v>1391.7580004738079</v>
      </c>
      <c r="R215" s="188">
        <v>6840.1016739130437</v>
      </c>
      <c r="S215" s="188">
        <v>122.43916062391185</v>
      </c>
      <c r="T215" s="176">
        <f t="shared" si="12"/>
        <v>123.08075453827793</v>
      </c>
    </row>
    <row r="216" spans="1:20" x14ac:dyDescent="0.2">
      <c r="A216" s="168">
        <v>2</v>
      </c>
      <c r="C216" s="179">
        <f>+E216-E215</f>
        <v>221.71122705530604</v>
      </c>
      <c r="D216" s="179">
        <f>+G216-G215</f>
        <v>199.97176164424542</v>
      </c>
      <c r="E216" s="168">
        <v>463.766997010463</v>
      </c>
      <c r="G216" s="168">
        <v>423.55539760837098</v>
      </c>
      <c r="I216" s="168">
        <v>154.6</v>
      </c>
      <c r="J216" s="168">
        <v>2</v>
      </c>
      <c r="L216" s="188">
        <v>19703.243703557309</v>
      </c>
      <c r="M216" s="188">
        <v>1006.9446819648526</v>
      </c>
      <c r="N216" s="176">
        <f t="shared" si="15"/>
        <v>1008.9474988452163</v>
      </c>
      <c r="O216" s="188">
        <v>8628.701004347824</v>
      </c>
      <c r="P216" s="188">
        <v>1346.7424148398591</v>
      </c>
      <c r="Q216" s="176">
        <f t="shared" si="11"/>
        <v>1349.4210907296606</v>
      </c>
      <c r="R216" s="188">
        <v>10227.612341614906</v>
      </c>
      <c r="S216" s="188">
        <v>141.53554504088498</v>
      </c>
      <c r="T216" s="176">
        <f t="shared" si="12"/>
        <v>141.8170597892684</v>
      </c>
    </row>
    <row r="217" spans="1:20" x14ac:dyDescent="0.2">
      <c r="A217" s="168">
        <v>3</v>
      </c>
      <c r="C217" s="179">
        <f>+E217-E216</f>
        <v>200.66800298953694</v>
      </c>
      <c r="D217" s="179">
        <f>+G217-G216</f>
        <v>183.517602391629</v>
      </c>
      <c r="E217" s="168">
        <v>664.43499999999995</v>
      </c>
      <c r="G217" s="168">
        <v>607.07299999999998</v>
      </c>
      <c r="I217" s="168">
        <v>154.69999999999999</v>
      </c>
      <c r="J217" s="168">
        <v>3</v>
      </c>
      <c r="L217" s="188">
        <v>26165.077849802379</v>
      </c>
      <c r="M217" s="188">
        <v>1402.3482904344257</v>
      </c>
      <c r="N217" s="176">
        <f t="shared" si="15"/>
        <v>1404.2292682641942</v>
      </c>
      <c r="O217" s="188">
        <v>13748.462299275363</v>
      </c>
      <c r="P217" s="188">
        <v>1484.9789315777889</v>
      </c>
      <c r="Q217" s="176">
        <f t="shared" si="11"/>
        <v>1486.9707423619029</v>
      </c>
      <c r="R217" s="188">
        <v>10507.793672360251</v>
      </c>
      <c r="S217" s="188">
        <v>144.78676128055025</v>
      </c>
      <c r="T217" s="176">
        <f t="shared" si="12"/>
        <v>144.98096459642431</v>
      </c>
    </row>
    <row r="218" spans="1:20" x14ac:dyDescent="0.2">
      <c r="A218" s="168">
        <v>4</v>
      </c>
      <c r="C218" s="179">
        <f>+E218-E217</f>
        <v>216.91973572496272</v>
      </c>
      <c r="D218" s="179">
        <f>+G218-G217</f>
        <v>199.72038857997018</v>
      </c>
      <c r="E218" s="168">
        <v>881.35473572496267</v>
      </c>
      <c r="G218" s="168">
        <v>806.79338857997016</v>
      </c>
      <c r="I218" s="168">
        <v>156.1</v>
      </c>
      <c r="J218" s="168">
        <v>4</v>
      </c>
      <c r="L218" s="188">
        <v>22621.988837944664</v>
      </c>
      <c r="M218" s="188">
        <v>1317.7971704198299</v>
      </c>
      <c r="N218" s="176">
        <f t="shared" si="15"/>
        <v>1307.7300780064691</v>
      </c>
      <c r="O218" s="188">
        <v>7776.9221253623255</v>
      </c>
      <c r="P218" s="188">
        <v>1227.7391162265512</v>
      </c>
      <c r="Q218" s="176">
        <f t="shared" si="11"/>
        <v>1218.3600073469861</v>
      </c>
      <c r="R218" s="188">
        <v>9597.5708897515542</v>
      </c>
      <c r="S218" s="188">
        <v>133.20019148427383</v>
      </c>
      <c r="T218" s="176">
        <f t="shared" si="12"/>
        <v>132.18263076457498</v>
      </c>
    </row>
    <row r="219" spans="1:20" x14ac:dyDescent="0.2">
      <c r="A219" s="168">
        <v>1</v>
      </c>
      <c r="B219" s="168">
        <v>2020</v>
      </c>
      <c r="C219" s="179">
        <f>E219</f>
        <v>245.16278393124065</v>
      </c>
      <c r="D219" s="179">
        <f>G219</f>
        <v>227.94719714499254</v>
      </c>
      <c r="E219" s="168">
        <v>245.16278393124065</v>
      </c>
      <c r="G219" s="168">
        <v>227.94719714499254</v>
      </c>
      <c r="I219" s="189">
        <v>155.52000000000001</v>
      </c>
      <c r="J219" s="168">
        <v>1</v>
      </c>
      <c r="K219" s="168">
        <v>2020</v>
      </c>
      <c r="L219" s="188">
        <v>22417.308750988144</v>
      </c>
      <c r="M219" s="188">
        <v>1187.0066434405767</v>
      </c>
      <c r="N219" s="176">
        <f t="shared" si="15"/>
        <v>1182.3317362318105</v>
      </c>
      <c r="O219" s="188">
        <v>7817.2878601449283</v>
      </c>
      <c r="P219" s="188">
        <v>1773.3957103534681</v>
      </c>
      <c r="Q219" s="176">
        <f t="shared" si="11"/>
        <v>1766.4113683229159</v>
      </c>
      <c r="R219" s="188">
        <v>8173.2696444099374</v>
      </c>
      <c r="S219" s="188">
        <v>145.83786039029874</v>
      </c>
      <c r="T219" s="176">
        <f t="shared" si="12"/>
        <v>145.26349253092982</v>
      </c>
    </row>
    <row r="220" spans="1:20" x14ac:dyDescent="0.2">
      <c r="A220" s="168">
        <v>2</v>
      </c>
      <c r="C220" s="179">
        <f>+E220-E219</f>
        <v>219.4338294469357</v>
      </c>
      <c r="D220" s="179">
        <f>+G220-G219</f>
        <v>199.23928355754859</v>
      </c>
      <c r="E220" s="187">
        <v>464.59661337817636</v>
      </c>
      <c r="G220" s="168">
        <v>427.18648070254113</v>
      </c>
      <c r="I220" s="189">
        <v>156.5</v>
      </c>
      <c r="J220" s="168">
        <v>2</v>
      </c>
      <c r="L220" s="188">
        <v>20318.697663474304</v>
      </c>
      <c r="M220" s="188">
        <v>1003.3659178621033</v>
      </c>
      <c r="N220" s="176">
        <f t="shared" si="15"/>
        <v>993.15594837842684</v>
      </c>
      <c r="O220" s="188">
        <v>6698.4276256020294</v>
      </c>
      <c r="P220" s="188">
        <v>1195.3385633418739</v>
      </c>
      <c r="Q220" s="176">
        <f t="shared" si="11"/>
        <v>1183.1751341909353</v>
      </c>
      <c r="R220" s="188">
        <v>9378.7613872911825</v>
      </c>
      <c r="S220" s="188">
        <v>125.6048434375343</v>
      </c>
      <c r="T220" s="176">
        <f t="shared" si="12"/>
        <v>124.32672386453578</v>
      </c>
    </row>
    <row r="221" spans="1:20" x14ac:dyDescent="0.2">
      <c r="A221" s="168">
        <v>3</v>
      </c>
      <c r="C221" s="179">
        <f>+E221-E220</f>
        <v>230.4091689088192</v>
      </c>
      <c r="D221" s="179">
        <f>+G221-G220</f>
        <v>212.03913512705532</v>
      </c>
      <c r="E221" s="187">
        <v>695.00578228699555</v>
      </c>
      <c r="G221" s="168">
        <v>639.22561582959645</v>
      </c>
      <c r="I221" s="189">
        <v>157.34</v>
      </c>
      <c r="J221" s="168">
        <v>3</v>
      </c>
      <c r="L221" s="188">
        <v>23115.129949173919</v>
      </c>
      <c r="M221" s="188">
        <v>1190.2908927373355</v>
      </c>
      <c r="N221" s="176">
        <f t="shared" si="15"/>
        <v>1171.8888169995478</v>
      </c>
      <c r="O221" s="188">
        <v>9381.5569490356484</v>
      </c>
      <c r="P221" s="188">
        <v>1044.8337260564822</v>
      </c>
      <c r="Q221" s="176">
        <f t="shared" si="11"/>
        <v>1028.6804399332309</v>
      </c>
      <c r="R221" s="188">
        <v>12479.986334758509</v>
      </c>
      <c r="S221" s="188">
        <v>159.02277544572789</v>
      </c>
      <c r="T221" s="176">
        <f t="shared" si="12"/>
        <v>156.56425948493131</v>
      </c>
    </row>
    <row r="222" spans="1:20" x14ac:dyDescent="0.2">
      <c r="A222" s="168">
        <v>4</v>
      </c>
      <c r="C222" s="179">
        <f>+E222-E221</f>
        <v>210.53825269058302</v>
      </c>
      <c r="D222" s="179">
        <f>+G222-G221</f>
        <v>195.42257215246639</v>
      </c>
      <c r="E222" s="187">
        <v>905.54403497757858</v>
      </c>
      <c r="G222" s="168">
        <v>834.64818798206284</v>
      </c>
      <c r="I222" s="189">
        <v>156.08000000000001</v>
      </c>
      <c r="J222" s="168">
        <v>4</v>
      </c>
      <c r="L222" s="188">
        <v>24544.608407612643</v>
      </c>
      <c r="M222" s="188">
        <v>1241.5801516088959</v>
      </c>
      <c r="N222" s="176">
        <f t="shared" si="15"/>
        <v>1232.2531864130899</v>
      </c>
      <c r="O222" s="188">
        <v>8299.8127776884066</v>
      </c>
      <c r="P222" s="188">
        <v>1192.0542375158043</v>
      </c>
      <c r="Q222" s="176">
        <f t="shared" si="11"/>
        <v>1183.0993195667572</v>
      </c>
      <c r="R222" s="188">
        <v>9374.137683010551</v>
      </c>
      <c r="S222" s="188">
        <v>112.80928620726445</v>
      </c>
      <c r="T222" s="176">
        <f t="shared" si="12"/>
        <v>111.96184330568823</v>
      </c>
    </row>
    <row r="223" spans="1:20" x14ac:dyDescent="0.2">
      <c r="A223" s="168">
        <v>1</v>
      </c>
      <c r="B223" s="168">
        <v>2021</v>
      </c>
      <c r="C223" s="179">
        <f>E223</f>
        <v>246.03664372197312</v>
      </c>
      <c r="D223" s="179">
        <f>G223</f>
        <v>229.48208497757849</v>
      </c>
      <c r="E223" s="187">
        <v>246.03664372197312</v>
      </c>
      <c r="G223" s="168">
        <v>229.48208497757849</v>
      </c>
      <c r="I223" s="189">
        <v>155.52000000000001</v>
      </c>
      <c r="J223" s="168">
        <v>1</v>
      </c>
      <c r="K223" s="168">
        <v>2021</v>
      </c>
      <c r="L223" s="188">
        <v>34994.274094861663</v>
      </c>
      <c r="M223" s="188">
        <v>1823.5241188431366</v>
      </c>
      <c r="N223" s="176">
        <f t="shared" si="15"/>
        <v>1816.3423510782743</v>
      </c>
      <c r="O223" s="188">
        <v>8185.2405021739132</v>
      </c>
      <c r="P223" s="188">
        <v>1464.197591740502</v>
      </c>
      <c r="Q223" s="176">
        <f t="shared" si="11"/>
        <v>1458.4309956439163</v>
      </c>
      <c r="R223" s="188">
        <v>6121.5967593167707</v>
      </c>
      <c r="S223" s="188">
        <v>112.87324166947003</v>
      </c>
      <c r="T223" s="176">
        <f t="shared" si="12"/>
        <v>112.42870167125406</v>
      </c>
    </row>
    <row r="224" spans="1:20" x14ac:dyDescent="0.2">
      <c r="A224" s="168">
        <v>2</v>
      </c>
      <c r="C224" s="179">
        <f>+E224-E223</f>
        <v>241.94121614349774</v>
      </c>
      <c r="D224" s="179">
        <f>+G224-G223</f>
        <v>221.09553291479824</v>
      </c>
      <c r="E224" s="187">
        <v>487.97785986547086</v>
      </c>
      <c r="G224" s="168">
        <v>450.57761789237674</v>
      </c>
      <c r="I224" s="189">
        <v>160.69999999999999</v>
      </c>
      <c r="J224" s="168">
        <v>2</v>
      </c>
      <c r="L224" s="188">
        <v>20425.734197628459</v>
      </c>
      <c r="M224" s="188">
        <v>1061.5540769322004</v>
      </c>
      <c r="N224" s="176">
        <f t="shared" si="15"/>
        <v>1023.2899077310196</v>
      </c>
      <c r="O224" s="188">
        <v>6967.5044210144924</v>
      </c>
      <c r="P224" s="188">
        <v>1472.113681221721</v>
      </c>
      <c r="Q224" s="176">
        <f t="shared" si="11"/>
        <v>1419.0507160787417</v>
      </c>
      <c r="R224" s="188">
        <v>8820.4369021739112</v>
      </c>
      <c r="S224" s="188">
        <v>115.80617621183073</v>
      </c>
      <c r="T224" s="176">
        <f t="shared" si="12"/>
        <v>111.63189322672167</v>
      </c>
    </row>
    <row r="225" spans="1:20" x14ac:dyDescent="0.2">
      <c r="A225" s="168">
        <v>3</v>
      </c>
      <c r="C225" s="179">
        <f>+E225-E224</f>
        <v>223.16246838565024</v>
      </c>
      <c r="D225" s="179">
        <f>+G225-G224</f>
        <v>200.9504247085203</v>
      </c>
      <c r="E225" s="187">
        <v>711.1403282511211</v>
      </c>
      <c r="G225" s="168">
        <v>651.52804260089704</v>
      </c>
      <c r="I225" s="189">
        <v>162.66</v>
      </c>
      <c r="J225" s="168">
        <v>3</v>
      </c>
      <c r="L225" s="188">
        <v>24805.341992094851</v>
      </c>
      <c r="M225" s="188">
        <v>1156.0227184873836</v>
      </c>
      <c r="N225" s="176">
        <f t="shared" si="15"/>
        <v>1100.9257916149293</v>
      </c>
      <c r="O225" s="188">
        <v>11835.432255072465</v>
      </c>
      <c r="P225" s="188">
        <v>1387.9440913118756</v>
      </c>
      <c r="Q225" s="176">
        <f t="shared" si="11"/>
        <v>1321.7936144405164</v>
      </c>
      <c r="R225" s="188">
        <v>8162.7090062111811</v>
      </c>
      <c r="S225" s="188">
        <v>122.41533537856195</v>
      </c>
      <c r="T225" s="176">
        <f t="shared" si="12"/>
        <v>116.58092687295333</v>
      </c>
    </row>
    <row r="226" spans="1:20" x14ac:dyDescent="0.2">
      <c r="A226" s="168">
        <v>4</v>
      </c>
      <c r="C226" s="179">
        <f>+E226-E225</f>
        <v>240.67364342301937</v>
      </c>
      <c r="D226" s="179">
        <f>+G226-G225</f>
        <v>222.83402473841534</v>
      </c>
      <c r="E226" s="187">
        <v>951.81397167414048</v>
      </c>
      <c r="G226" s="168">
        <v>874.36206733931238</v>
      </c>
      <c r="I226" s="189">
        <v>165.17</v>
      </c>
      <c r="J226" s="168">
        <v>4</v>
      </c>
      <c r="L226" s="188">
        <v>23357.504896820246</v>
      </c>
      <c r="M226" s="188">
        <v>1294.0004472542644</v>
      </c>
      <c r="N226" s="176">
        <f t="shared" si="15"/>
        <v>1213.6003770844584</v>
      </c>
      <c r="O226" s="188">
        <v>7240.0729996128648</v>
      </c>
      <c r="P226" s="188">
        <v>1287.0604441566998</v>
      </c>
      <c r="Q226" s="176">
        <f t="shared" si="11"/>
        <v>1207.0915768796028</v>
      </c>
      <c r="R226" s="188">
        <v>8198.4054586074526</v>
      </c>
      <c r="S226" s="188">
        <v>109.38408217060596</v>
      </c>
      <c r="T226" s="176">
        <f t="shared" si="12"/>
        <v>102.58772603283373</v>
      </c>
    </row>
    <row r="227" spans="1:20" x14ac:dyDescent="0.2">
      <c r="A227" s="168">
        <v>1</v>
      </c>
      <c r="B227" s="168">
        <v>2022</v>
      </c>
      <c r="C227" s="179">
        <f>E227</f>
        <v>258.31884641255607</v>
      </c>
      <c r="D227" s="179">
        <f>G227</f>
        <v>238.37852713004486</v>
      </c>
      <c r="E227" s="187">
        <v>258.31884641255607</v>
      </c>
      <c r="G227" s="168">
        <v>238.37852713004486</v>
      </c>
      <c r="I227" s="189">
        <v>166.57</v>
      </c>
      <c r="J227" s="168">
        <v>1</v>
      </c>
      <c r="K227" s="168">
        <v>2022</v>
      </c>
      <c r="L227" s="188">
        <v>24505.067470355731</v>
      </c>
      <c r="M227" s="188">
        <v>1376.8794156428476</v>
      </c>
      <c r="N227" s="176">
        <f t="shared" si="15"/>
        <v>1280.4763647637296</v>
      </c>
      <c r="O227" s="188">
        <v>6900.0468369565224</v>
      </c>
      <c r="P227" s="188">
        <v>1583.5781374260632</v>
      </c>
      <c r="Q227" s="176">
        <f t="shared" si="11"/>
        <v>1472.702949650765</v>
      </c>
      <c r="R227" s="188">
        <v>6778.6444332298142</v>
      </c>
      <c r="S227" s="188">
        <v>123.13727232676555</v>
      </c>
      <c r="T227" s="176">
        <f t="shared" si="12"/>
        <v>114.51574120765106</v>
      </c>
    </row>
    <row r="228" spans="1:20" x14ac:dyDescent="0.2">
      <c r="A228" s="168">
        <v>2</v>
      </c>
      <c r="C228" s="179">
        <f>+E228-E227</f>
        <v>242.59168475336321</v>
      </c>
      <c r="D228" s="179">
        <f>+G228-G227</f>
        <v>221.26676780269054</v>
      </c>
      <c r="E228" s="187">
        <v>500.91053116591928</v>
      </c>
      <c r="G228" s="168">
        <v>459.6452949327354</v>
      </c>
      <c r="I228" s="189">
        <v>169.93</v>
      </c>
      <c r="J228" s="168">
        <v>2</v>
      </c>
      <c r="L228" s="188">
        <v>18109.505441201181</v>
      </c>
      <c r="M228" s="188">
        <v>1059.8182311147266</v>
      </c>
      <c r="N228" s="176">
        <f t="shared" si="15"/>
        <v>966.12600857061454</v>
      </c>
      <c r="O228" s="188">
        <v>6398.5711338452893</v>
      </c>
      <c r="P228" s="188">
        <v>1382.5138049967145</v>
      </c>
      <c r="Q228" s="176">
        <f t="shared" si="11"/>
        <v>1260.2939872154921</v>
      </c>
      <c r="R228" s="188">
        <v>11377.755536580467</v>
      </c>
      <c r="S228" s="188">
        <v>170.80171301924597</v>
      </c>
      <c r="T228" s="176">
        <f t="shared" si="12"/>
        <v>155.70215005901753</v>
      </c>
    </row>
    <row r="229" spans="1:20" x14ac:dyDescent="0.2">
      <c r="C229" s="179"/>
      <c r="D229" s="171"/>
      <c r="L229" s="188"/>
      <c r="M229" s="188"/>
      <c r="N229" s="176"/>
      <c r="O229" s="188"/>
      <c r="P229" s="188"/>
      <c r="Q229" s="176"/>
      <c r="R229" s="188"/>
      <c r="S229" s="188"/>
      <c r="T229" s="176"/>
    </row>
    <row r="230" spans="1:20" x14ac:dyDescent="0.2">
      <c r="C230" s="179"/>
      <c r="E230" s="172" t="s">
        <v>110</v>
      </c>
      <c r="J230" s="190"/>
      <c r="K230" s="191" t="s">
        <v>160</v>
      </c>
      <c r="L230" s="192">
        <f>L232-L227</f>
        <v>18109.505441201181</v>
      </c>
      <c r="M230" s="192">
        <f>M232-M227</f>
        <v>1059.8182311147266</v>
      </c>
      <c r="N230" s="193" t="s">
        <v>174</v>
      </c>
      <c r="O230" s="192">
        <f>O232-O227</f>
        <v>6398.5711338452893</v>
      </c>
      <c r="P230" s="192">
        <f>P232-P227</f>
        <v>1382.5138049967145</v>
      </c>
      <c r="Q230" s="193" t="s">
        <v>174</v>
      </c>
      <c r="R230" s="192">
        <f>R232-R227</f>
        <v>11377.755536580467</v>
      </c>
      <c r="S230" s="192">
        <f>S232-S227</f>
        <v>170.80171301924597</v>
      </c>
      <c r="T230" s="194" t="s">
        <v>174</v>
      </c>
    </row>
    <row r="231" spans="1:20" x14ac:dyDescent="0.2">
      <c r="E231" s="187">
        <f>IF('Tab5'!E8="",'Tab5'!E7,'Tab5'!E8)/1000</f>
        <v>500.91053116591928</v>
      </c>
      <c r="G231" s="187">
        <f>IF('Tab5'!E10="",'Tab5'!E9,'Tab5'!E10)/1000</f>
        <v>459.6452949327354</v>
      </c>
      <c r="K231" s="174" t="s">
        <v>188</v>
      </c>
      <c r="L231" s="195">
        <f>SUM('Tab7'!E11,'Tab11'!E11)</f>
        <v>83273.605750469345</v>
      </c>
      <c r="M231" s="196">
        <f>SUM('Tab7'!E39,'Tab11'!E39)</f>
        <v>4717.9293690363465</v>
      </c>
      <c r="N231" s="197" t="s">
        <v>173</v>
      </c>
      <c r="O231" s="195">
        <f>SUM('Tab7'!E9,'Tab11'!E9)</f>
        <v>29852.530464762061</v>
      </c>
      <c r="P231" s="196">
        <f>SUM('Tab7'!E37,'Tab11'!E37)</f>
        <v>5520.8449822955854</v>
      </c>
      <c r="Q231" s="197" t="s">
        <v>173</v>
      </c>
      <c r="R231" s="195">
        <f>SUM('Tab7'!E13,'Tab11'!E13)</f>
        <v>38982.110372358904</v>
      </c>
      <c r="S231" s="196">
        <f>SUM('Tab7'!E41,'Tab11'!E41)</f>
        <v>593.35000651178257</v>
      </c>
      <c r="T231" s="198" t="s">
        <v>173</v>
      </c>
    </row>
    <row r="232" spans="1:20" x14ac:dyDescent="0.2">
      <c r="K232" s="174" t="s">
        <v>187</v>
      </c>
      <c r="L232" s="195">
        <f>SUM('Tab7'!E12,'Tab11'!E12)</f>
        <v>42614.572911556912</v>
      </c>
      <c r="M232" s="196">
        <f>SUM('Tab7'!E40,'Tab11'!E40)</f>
        <v>2436.6976467575741</v>
      </c>
      <c r="N232" s="197" t="s">
        <v>173</v>
      </c>
      <c r="O232" s="195">
        <f>SUM('Tab7'!E10,'Tab11'!E10)</f>
        <v>13298.617970801812</v>
      </c>
      <c r="P232" s="196">
        <f>SUM('Tab7'!E38,'Tab11'!E38)</f>
        <v>2966.0919424227777</v>
      </c>
      <c r="Q232" s="197" t="s">
        <v>173</v>
      </c>
      <c r="R232" s="195">
        <f>SUM('Tab7'!E14,'Tab11'!E14)</f>
        <v>18156.399969810282</v>
      </c>
      <c r="S232" s="196">
        <f>SUM('Tab7'!E42,'Tab11'!E42)</f>
        <v>293.93898534601152</v>
      </c>
      <c r="T232" s="198"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135:G228" formula="1"/>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v>
      </c>
      <c r="B7" s="19" t="s">
        <v>3</v>
      </c>
      <c r="C7" s="20">
        <v>2421842.5613065525</v>
      </c>
      <c r="D7" s="20">
        <v>2275081.0938493535</v>
      </c>
      <c r="E7" s="79">
        <v>2444509.3585338313</v>
      </c>
      <c r="F7" s="22" t="s">
        <v>240</v>
      </c>
      <c r="G7" s="23">
        <v>0.93593190529487913</v>
      </c>
      <c r="H7" s="24">
        <v>7.447130792063831</v>
      </c>
    </row>
    <row r="8" spans="1:8" x14ac:dyDescent="0.2">
      <c r="A8" s="206"/>
      <c r="B8" s="25" t="s">
        <v>241</v>
      </c>
      <c r="C8" s="26">
        <v>1234368.5471015894</v>
      </c>
      <c r="D8" s="26">
        <v>1095345.8716235645</v>
      </c>
      <c r="E8" s="26">
        <v>1199053.7048602854</v>
      </c>
      <c r="F8" s="27"/>
      <c r="G8" s="28">
        <v>-2.8609642010262348</v>
      </c>
      <c r="H8" s="29">
        <v>9.4680443797173552</v>
      </c>
    </row>
    <row r="9" spans="1:8" x14ac:dyDescent="0.2">
      <c r="A9" s="30" t="s">
        <v>4</v>
      </c>
      <c r="B9" s="31" t="s">
        <v>3</v>
      </c>
      <c r="C9" s="20">
        <v>735648.49503139011</v>
      </c>
      <c r="D9" s="20">
        <v>731632.30798953655</v>
      </c>
      <c r="E9" s="20">
        <v>790710.73255760281</v>
      </c>
      <c r="F9" s="22" t="s">
        <v>240</v>
      </c>
      <c r="G9" s="32">
        <v>7.4848569524856003</v>
      </c>
      <c r="H9" s="33">
        <v>8.07487913299083</v>
      </c>
    </row>
    <row r="10" spans="1:8" x14ac:dyDescent="0.2">
      <c r="A10" s="34"/>
      <c r="B10" s="25" t="s">
        <v>241</v>
      </c>
      <c r="C10" s="26">
        <v>354297.30810388637</v>
      </c>
      <c r="D10" s="26">
        <v>372798.80668834079</v>
      </c>
      <c r="E10" s="26">
        <v>395260.645367713</v>
      </c>
      <c r="F10" s="27"/>
      <c r="G10" s="28">
        <v>11.561853936472886</v>
      </c>
      <c r="H10" s="29">
        <v>6.0251906058675502</v>
      </c>
    </row>
    <row r="11" spans="1:8" x14ac:dyDescent="0.2">
      <c r="A11" s="30" t="s">
        <v>5</v>
      </c>
      <c r="B11" s="31" t="s">
        <v>3</v>
      </c>
      <c r="C11" s="20">
        <v>169895.53994618845</v>
      </c>
      <c r="D11" s="20">
        <v>220181.66368460387</v>
      </c>
      <c r="E11" s="20">
        <v>188888.16618513016</v>
      </c>
      <c r="F11" s="22" t="s">
        <v>240</v>
      </c>
      <c r="G11" s="37">
        <v>11.179002253359499</v>
      </c>
      <c r="H11" s="33">
        <v>-14.212581091357208</v>
      </c>
    </row>
    <row r="12" spans="1:8" x14ac:dyDescent="0.2">
      <c r="A12" s="34"/>
      <c r="B12" s="25" t="s">
        <v>241</v>
      </c>
      <c r="C12" s="26">
        <v>110299.30527429003</v>
      </c>
      <c r="D12" s="26">
        <v>115179.05317713006</v>
      </c>
      <c r="E12" s="26">
        <v>105649.8857982062</v>
      </c>
      <c r="F12" s="27"/>
      <c r="G12" s="28">
        <v>-4.2152753950006741</v>
      </c>
      <c r="H12" s="29">
        <v>-8.273351027004253</v>
      </c>
    </row>
    <row r="13" spans="1:8" x14ac:dyDescent="0.2">
      <c r="A13" s="30" t="s">
        <v>6</v>
      </c>
      <c r="B13" s="31" t="s">
        <v>3</v>
      </c>
      <c r="C13" s="20">
        <v>479818.33846073353</v>
      </c>
      <c r="D13" s="20">
        <v>455343.2281054082</v>
      </c>
      <c r="E13" s="20">
        <v>394585.92468955641</v>
      </c>
      <c r="F13" s="22" t="s">
        <v>240</v>
      </c>
      <c r="G13" s="23">
        <v>-17.763475661352246</v>
      </c>
      <c r="H13" s="24">
        <v>-13.343188097613918</v>
      </c>
    </row>
    <row r="14" spans="1:8" x14ac:dyDescent="0.2">
      <c r="A14" s="34"/>
      <c r="B14" s="25" t="s">
        <v>241</v>
      </c>
      <c r="C14" s="26">
        <v>216206.78834397183</v>
      </c>
      <c r="D14" s="26">
        <v>231159.27541463924</v>
      </c>
      <c r="E14" s="26">
        <v>192202.61101519034</v>
      </c>
      <c r="F14" s="27"/>
      <c r="G14" s="38">
        <v>-11.102416123305204</v>
      </c>
      <c r="H14" s="24">
        <v>-16.852736854089386</v>
      </c>
    </row>
    <row r="15" spans="1:8" x14ac:dyDescent="0.2">
      <c r="A15" s="30" t="s">
        <v>168</v>
      </c>
      <c r="B15" s="31" t="s">
        <v>3</v>
      </c>
      <c r="C15" s="20">
        <v>45810.752901417422</v>
      </c>
      <c r="D15" s="20">
        <v>47091.596212135693</v>
      </c>
      <c r="E15" s="20">
        <v>43438.760971820644</v>
      </c>
      <c r="F15" s="22" t="s">
        <v>240</v>
      </c>
      <c r="G15" s="37">
        <v>-5.1778060375938253</v>
      </c>
      <c r="H15" s="33">
        <v>-7.756872848097899</v>
      </c>
    </row>
    <row r="16" spans="1:8" x14ac:dyDescent="0.2">
      <c r="A16" s="34"/>
      <c r="B16" s="25" t="s">
        <v>241</v>
      </c>
      <c r="C16" s="26">
        <v>21334.431123936934</v>
      </c>
      <c r="D16" s="26">
        <v>24373.170409300845</v>
      </c>
      <c r="E16" s="26">
        <v>21677.887427966238</v>
      </c>
      <c r="F16" s="27"/>
      <c r="G16" s="28">
        <v>1.6098685830153272</v>
      </c>
      <c r="H16" s="29">
        <v>-11.058401250524568</v>
      </c>
    </row>
    <row r="17" spans="1:8" x14ac:dyDescent="0.2">
      <c r="A17" s="30" t="s">
        <v>7</v>
      </c>
      <c r="B17" s="31" t="s">
        <v>3</v>
      </c>
      <c r="C17" s="20">
        <v>8509.779069387756</v>
      </c>
      <c r="D17" s="20">
        <v>8798.6610285714287</v>
      </c>
      <c r="E17" s="20">
        <v>8587.7392333673906</v>
      </c>
      <c r="F17" s="22" t="s">
        <v>240</v>
      </c>
      <c r="G17" s="23">
        <v>0.91612441808366896</v>
      </c>
      <c r="H17" s="24">
        <v>-2.3972033303604121</v>
      </c>
    </row>
    <row r="18" spans="1:8" x14ac:dyDescent="0.2">
      <c r="A18" s="30"/>
      <c r="B18" s="25" t="s">
        <v>241</v>
      </c>
      <c r="C18" s="26">
        <v>4272.1273306122448</v>
      </c>
      <c r="D18" s="26">
        <v>4512.3466285714285</v>
      </c>
      <c r="E18" s="26">
        <v>4372.7643300391837</v>
      </c>
      <c r="F18" s="27"/>
      <c r="G18" s="38">
        <v>2.3556647927091632</v>
      </c>
      <c r="H18" s="24">
        <v>-3.093341669463797</v>
      </c>
    </row>
    <row r="19" spans="1:8" x14ac:dyDescent="0.2">
      <c r="A19" s="39" t="s">
        <v>8</v>
      </c>
      <c r="B19" s="31" t="s">
        <v>3</v>
      </c>
      <c r="C19" s="20">
        <v>5522</v>
      </c>
      <c r="D19" s="20">
        <v>5593</v>
      </c>
      <c r="E19" s="20">
        <v>6226.0753477361059</v>
      </c>
      <c r="F19" s="22" t="s">
        <v>240</v>
      </c>
      <c r="G19" s="37">
        <v>12.750368484898701</v>
      </c>
      <c r="H19" s="33">
        <v>11.319065756054101</v>
      </c>
    </row>
    <row r="20" spans="1:8" x14ac:dyDescent="0.2">
      <c r="A20" s="34"/>
      <c r="B20" s="25" t="s">
        <v>241</v>
      </c>
      <c r="C20" s="26">
        <v>2730</v>
      </c>
      <c r="D20" s="26">
        <v>2768</v>
      </c>
      <c r="E20" s="26">
        <v>3080.2354285714287</v>
      </c>
      <c r="F20" s="27"/>
      <c r="G20" s="28">
        <v>12.829136577708013</v>
      </c>
      <c r="H20" s="29">
        <v>11.280181668042943</v>
      </c>
    </row>
    <row r="21" spans="1:8" x14ac:dyDescent="0.2">
      <c r="A21" s="39" t="s">
        <v>9</v>
      </c>
      <c r="B21" s="31" t="s">
        <v>3</v>
      </c>
      <c r="C21" s="20">
        <v>27600.996666666666</v>
      </c>
      <c r="D21" s="20">
        <v>31589.073333333334</v>
      </c>
      <c r="E21" s="20">
        <v>39485.241167373082</v>
      </c>
      <c r="F21" s="22" t="s">
        <v>240</v>
      </c>
      <c r="G21" s="37">
        <v>43.057302039599335</v>
      </c>
      <c r="H21" s="33">
        <v>24.99651620266927</v>
      </c>
    </row>
    <row r="22" spans="1:8" x14ac:dyDescent="0.2">
      <c r="A22" s="34"/>
      <c r="B22" s="25" t="s">
        <v>241</v>
      </c>
      <c r="C22" s="26">
        <v>12597.658333333333</v>
      </c>
      <c r="D22" s="26">
        <v>14157.14</v>
      </c>
      <c r="E22" s="26">
        <v>17803.259999999998</v>
      </c>
      <c r="F22" s="27"/>
      <c r="G22" s="28">
        <v>41.321978489388556</v>
      </c>
      <c r="H22" s="29">
        <v>25.754636882873228</v>
      </c>
    </row>
    <row r="23" spans="1:8" x14ac:dyDescent="0.2">
      <c r="A23" s="39" t="s">
        <v>190</v>
      </c>
      <c r="B23" s="31" t="s">
        <v>3</v>
      </c>
      <c r="C23" s="20">
        <v>6379</v>
      </c>
      <c r="D23" s="20">
        <v>7894</v>
      </c>
      <c r="E23" s="20">
        <v>8720.1222540592153</v>
      </c>
      <c r="F23" s="22" t="s">
        <v>240</v>
      </c>
      <c r="G23" s="37">
        <v>36.700458599454691</v>
      </c>
      <c r="H23" s="33">
        <v>10.465191969333858</v>
      </c>
    </row>
    <row r="24" spans="1:8" x14ac:dyDescent="0.2">
      <c r="A24" s="34"/>
      <c r="B24" s="25" t="s">
        <v>241</v>
      </c>
      <c r="C24" s="26">
        <v>3211</v>
      </c>
      <c r="D24" s="26">
        <v>3490</v>
      </c>
      <c r="E24" s="26">
        <v>4010</v>
      </c>
      <c r="F24" s="27"/>
      <c r="G24" s="28">
        <v>24.883213952039867</v>
      </c>
      <c r="H24" s="29">
        <v>14.899713467048699</v>
      </c>
    </row>
    <row r="25" spans="1:8" x14ac:dyDescent="0.2">
      <c r="A25" s="39" t="s">
        <v>191</v>
      </c>
      <c r="B25" s="31" t="s">
        <v>3</v>
      </c>
      <c r="C25" s="20">
        <v>1472</v>
      </c>
      <c r="D25" s="20">
        <v>1922</v>
      </c>
      <c r="E25" s="20">
        <v>2167.8541210795038</v>
      </c>
      <c r="F25" s="22" t="s">
        <v>240</v>
      </c>
      <c r="G25" s="37">
        <v>47.27269844290106</v>
      </c>
      <c r="H25" s="33">
        <v>12.791577579578757</v>
      </c>
    </row>
    <row r="26" spans="1:8" x14ac:dyDescent="0.2">
      <c r="A26" s="34"/>
      <c r="B26" s="25" t="s">
        <v>241</v>
      </c>
      <c r="C26" s="26">
        <v>806</v>
      </c>
      <c r="D26" s="26">
        <v>914</v>
      </c>
      <c r="E26" s="26">
        <v>1048</v>
      </c>
      <c r="F26" s="27"/>
      <c r="G26" s="28">
        <v>30.024813895781648</v>
      </c>
      <c r="H26" s="29">
        <v>14.66083150984683</v>
      </c>
    </row>
    <row r="27" spans="1:8" x14ac:dyDescent="0.2">
      <c r="A27" s="39" t="s">
        <v>192</v>
      </c>
      <c r="B27" s="31" t="s">
        <v>3</v>
      </c>
      <c r="C27" s="20">
        <v>343016</v>
      </c>
      <c r="D27" s="20">
        <v>430654</v>
      </c>
      <c r="E27" s="20">
        <v>508949.12424242799</v>
      </c>
      <c r="F27" s="22" t="s">
        <v>240</v>
      </c>
      <c r="G27" s="37">
        <v>48.374747604318173</v>
      </c>
      <c r="H27" s="33">
        <v>18.180517130324574</v>
      </c>
    </row>
    <row r="28" spans="1:8" x14ac:dyDescent="0.2">
      <c r="A28" s="34"/>
      <c r="B28" s="25" t="s">
        <v>241</v>
      </c>
      <c r="C28" s="26">
        <v>144310.89942857143</v>
      </c>
      <c r="D28" s="26">
        <v>183760</v>
      </c>
      <c r="E28" s="26">
        <v>228326.07428571428</v>
      </c>
      <c r="F28" s="27"/>
      <c r="G28" s="28">
        <v>58.218176998285031</v>
      </c>
      <c r="H28" s="29">
        <v>24.252326015299445</v>
      </c>
    </row>
    <row r="29" spans="1:8" x14ac:dyDescent="0.2">
      <c r="A29" s="30" t="s">
        <v>10</v>
      </c>
      <c r="B29" s="31" t="s">
        <v>3</v>
      </c>
      <c r="C29" s="20">
        <v>447542</v>
      </c>
      <c r="D29" s="20">
        <v>169642</v>
      </c>
      <c r="E29" s="20">
        <v>350171.26906799036</v>
      </c>
      <c r="F29" s="22" t="s">
        <v>240</v>
      </c>
      <c r="G29" s="37">
        <v>-21.756780577467509</v>
      </c>
      <c r="H29" s="33">
        <v>106.41779103523322</v>
      </c>
    </row>
    <row r="30" spans="1:8" x14ac:dyDescent="0.2">
      <c r="A30" s="30"/>
      <c r="B30" s="25" t="s">
        <v>241</v>
      </c>
      <c r="C30" s="26">
        <v>294870</v>
      </c>
      <c r="D30" s="26">
        <v>62196</v>
      </c>
      <c r="E30" s="26">
        <v>150658</v>
      </c>
      <c r="F30" s="27"/>
      <c r="G30" s="28">
        <v>-48.906975955505814</v>
      </c>
      <c r="H30" s="29">
        <v>142.23101164061998</v>
      </c>
    </row>
    <row r="31" spans="1:8" x14ac:dyDescent="0.2">
      <c r="A31" s="39" t="s">
        <v>11</v>
      </c>
      <c r="B31" s="31" t="s">
        <v>3</v>
      </c>
      <c r="C31" s="20">
        <v>13466</v>
      </c>
      <c r="D31" s="20">
        <v>12717.945965835412</v>
      </c>
      <c r="E31" s="20">
        <v>10911.803866206237</v>
      </c>
      <c r="F31" s="22" t="s">
        <v>240</v>
      </c>
      <c r="G31" s="37">
        <v>-18.967741970843335</v>
      </c>
      <c r="H31" s="33">
        <v>-14.201523614592062</v>
      </c>
    </row>
    <row r="32" spans="1:8" x14ac:dyDescent="0.2">
      <c r="A32" s="34"/>
      <c r="B32" s="25" t="s">
        <v>241</v>
      </c>
      <c r="C32" s="26">
        <v>5589.2439507481295</v>
      </c>
      <c r="D32" s="26">
        <v>5363.9700748129671</v>
      </c>
      <c r="E32" s="26">
        <v>4577.5723748753117</v>
      </c>
      <c r="F32" s="27"/>
      <c r="G32" s="28">
        <v>-18.10032957565582</v>
      </c>
      <c r="H32" s="29">
        <v>-14.660739880527316</v>
      </c>
    </row>
    <row r="33" spans="1:8" x14ac:dyDescent="0.2">
      <c r="A33" s="30" t="s">
        <v>12</v>
      </c>
      <c r="B33" s="31" t="s">
        <v>3</v>
      </c>
      <c r="C33" s="20">
        <v>11603.98</v>
      </c>
      <c r="D33" s="20">
        <v>11455.784425960001</v>
      </c>
      <c r="E33" s="20">
        <v>11679.290502885064</v>
      </c>
      <c r="F33" s="22" t="s">
        <v>240</v>
      </c>
      <c r="G33" s="37">
        <v>0.64900579702018035</v>
      </c>
      <c r="H33" s="33">
        <v>1.951032496898037</v>
      </c>
    </row>
    <row r="34" spans="1:8" x14ac:dyDescent="0.2">
      <c r="A34" s="30"/>
      <c r="B34" s="25" t="s">
        <v>241</v>
      </c>
      <c r="C34" s="26">
        <v>5601.33677102</v>
      </c>
      <c r="D34" s="26">
        <v>6032.4699999999993</v>
      </c>
      <c r="E34" s="26">
        <v>5969.2924722399994</v>
      </c>
      <c r="F34" s="27"/>
      <c r="G34" s="28">
        <v>6.5690694250650381</v>
      </c>
      <c r="H34" s="29">
        <v>-1.0472912050950924</v>
      </c>
    </row>
    <row r="35" spans="1:8" x14ac:dyDescent="0.2">
      <c r="A35" s="39" t="s">
        <v>13</v>
      </c>
      <c r="B35" s="31" t="s">
        <v>3</v>
      </c>
      <c r="C35" s="20">
        <v>50</v>
      </c>
      <c r="D35" s="20">
        <v>71</v>
      </c>
      <c r="E35" s="20">
        <v>59.444444444444436</v>
      </c>
      <c r="F35" s="22" t="s">
        <v>240</v>
      </c>
      <c r="G35" s="23">
        <v>18.888888888888872</v>
      </c>
      <c r="H35" s="24">
        <v>-16.275430359937417</v>
      </c>
    </row>
    <row r="36" spans="1:8" x14ac:dyDescent="0.2">
      <c r="A36" s="34"/>
      <c r="B36" s="25" t="s">
        <v>241</v>
      </c>
      <c r="C36" s="26">
        <v>25</v>
      </c>
      <c r="D36" s="26">
        <v>36</v>
      </c>
      <c r="E36" s="26">
        <v>30</v>
      </c>
      <c r="F36" s="27"/>
      <c r="G36" s="28">
        <v>20</v>
      </c>
      <c r="H36" s="29">
        <v>-16.666666666666657</v>
      </c>
    </row>
    <row r="37" spans="1:8" x14ac:dyDescent="0.2">
      <c r="A37" s="30" t="s">
        <v>14</v>
      </c>
      <c r="B37" s="31" t="s">
        <v>3</v>
      </c>
      <c r="C37" s="40">
        <v>125507.67923076924</v>
      </c>
      <c r="D37" s="40">
        <v>140494.83310396923</v>
      </c>
      <c r="E37" s="20">
        <v>134174.17734855638</v>
      </c>
      <c r="F37" s="22" t="s">
        <v>240</v>
      </c>
      <c r="G37" s="23">
        <v>6.9051536694039015</v>
      </c>
      <c r="H37" s="24">
        <v>-4.4988528159860834</v>
      </c>
    </row>
    <row r="38" spans="1:8" ht="13.5" thickBot="1" x14ac:dyDescent="0.25">
      <c r="A38" s="41"/>
      <c r="B38" s="42" t="s">
        <v>241</v>
      </c>
      <c r="C38" s="43">
        <v>58217.448441219232</v>
      </c>
      <c r="D38" s="43">
        <v>68605.639230769229</v>
      </c>
      <c r="E38" s="43">
        <v>64387.476359769229</v>
      </c>
      <c r="F38" s="44"/>
      <c r="G38" s="45">
        <v>10.598245171771353</v>
      </c>
      <c r="H38" s="46">
        <v>-6.1484200399494</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9</v>
      </c>
    </row>
    <row r="62" spans="1:8" ht="12.75" customHeight="1" x14ac:dyDescent="0.2">
      <c r="A62" s="54" t="s">
        <v>243</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235</v>
      </c>
      <c r="D6" s="15" t="s">
        <v>236</v>
      </c>
      <c r="E6" s="15" t="s">
        <v>237</v>
      </c>
      <c r="F6" s="16"/>
      <c r="G6" s="17" t="s">
        <v>238</v>
      </c>
      <c r="H6" s="18" t="s">
        <v>239</v>
      </c>
    </row>
    <row r="7" spans="1:10" x14ac:dyDescent="0.2">
      <c r="A7" s="205" t="s">
        <v>2</v>
      </c>
      <c r="B7" s="19" t="s">
        <v>3</v>
      </c>
      <c r="C7" s="80">
        <v>43726.073478287661</v>
      </c>
      <c r="D7" s="80">
        <v>45680.704693907937</v>
      </c>
      <c r="E7" s="81">
        <v>48259.675015397348</v>
      </c>
      <c r="F7" s="22" t="s">
        <v>240</v>
      </c>
      <c r="G7" s="23">
        <v>10.368188077442781</v>
      </c>
      <c r="H7" s="24">
        <v>5.645644783219268</v>
      </c>
    </row>
    <row r="8" spans="1:10" x14ac:dyDescent="0.2">
      <c r="A8" s="206"/>
      <c r="B8" s="25" t="s">
        <v>241</v>
      </c>
      <c r="C8" s="82">
        <v>22886.521437258249</v>
      </c>
      <c r="D8" s="82">
        <v>23056.391321459167</v>
      </c>
      <c r="E8" s="82">
        <v>24651.294788364634</v>
      </c>
      <c r="F8" s="27"/>
      <c r="G8" s="28">
        <v>7.7109723989483854</v>
      </c>
      <c r="H8" s="29">
        <v>6.9174028349399634</v>
      </c>
      <c r="J8" s="94"/>
    </row>
    <row r="9" spans="1:10" x14ac:dyDescent="0.2">
      <c r="A9" s="30" t="s">
        <v>4</v>
      </c>
      <c r="B9" s="31" t="s">
        <v>3</v>
      </c>
      <c r="C9" s="80">
        <v>11715.583932812993</v>
      </c>
      <c r="D9" s="80">
        <v>11385.695872801123</v>
      </c>
      <c r="E9" s="80">
        <v>12947.489771694309</v>
      </c>
      <c r="F9" s="22" t="s">
        <v>240</v>
      </c>
      <c r="G9" s="32">
        <v>10.515104035326786</v>
      </c>
      <c r="H9" s="33">
        <v>13.717158058156983</v>
      </c>
    </row>
    <row r="10" spans="1:10" x14ac:dyDescent="0.2">
      <c r="A10" s="34"/>
      <c r="B10" s="25" t="s">
        <v>241</v>
      </c>
      <c r="C10" s="82">
        <v>5903.5324642953692</v>
      </c>
      <c r="D10" s="82">
        <v>5699.565882905953</v>
      </c>
      <c r="E10" s="82">
        <v>6495.6250559108566</v>
      </c>
      <c r="F10" s="27"/>
      <c r="G10" s="35">
        <v>10.029462786839403</v>
      </c>
      <c r="H10" s="29">
        <v>13.967014143874223</v>
      </c>
      <c r="J10" s="94"/>
    </row>
    <row r="11" spans="1:10" x14ac:dyDescent="0.2">
      <c r="A11" s="30" t="s">
        <v>5</v>
      </c>
      <c r="B11" s="31" t="s">
        <v>3</v>
      </c>
      <c r="C11" s="80">
        <v>3786.8559341359833</v>
      </c>
      <c r="D11" s="80">
        <v>5032.2747691775403</v>
      </c>
      <c r="E11" s="80">
        <v>5199.0819870139339</v>
      </c>
      <c r="F11" s="22" t="s">
        <v>240</v>
      </c>
      <c r="G11" s="37">
        <v>37.292838107403924</v>
      </c>
      <c r="H11" s="33">
        <v>3.3147478126210501</v>
      </c>
    </row>
    <row r="12" spans="1:10" x14ac:dyDescent="0.2">
      <c r="A12" s="34"/>
      <c r="B12" s="25" t="s">
        <v>241</v>
      </c>
      <c r="C12" s="82">
        <v>1889.3164869625971</v>
      </c>
      <c r="D12" s="82">
        <v>2501.3081123059319</v>
      </c>
      <c r="E12" s="82">
        <v>2587.4374897114167</v>
      </c>
      <c r="F12" s="27"/>
      <c r="G12" s="28">
        <v>36.950982409049402</v>
      </c>
      <c r="H12" s="29">
        <v>3.4433733685884391</v>
      </c>
    </row>
    <row r="13" spans="1:10" x14ac:dyDescent="0.2">
      <c r="A13" s="30" t="s">
        <v>6</v>
      </c>
      <c r="B13" s="31" t="s">
        <v>3</v>
      </c>
      <c r="C13" s="80">
        <v>8740.3543440821522</v>
      </c>
      <c r="D13" s="80">
        <v>9329.6259879792105</v>
      </c>
      <c r="E13" s="80">
        <v>9113.2416862857553</v>
      </c>
      <c r="F13" s="22" t="s">
        <v>240</v>
      </c>
      <c r="G13" s="23">
        <v>4.2662725963287187</v>
      </c>
      <c r="H13" s="24">
        <v>-2.3193245042433261</v>
      </c>
    </row>
    <row r="14" spans="1:10" x14ac:dyDescent="0.2">
      <c r="A14" s="34"/>
      <c r="B14" s="25" t="s">
        <v>241</v>
      </c>
      <c r="C14" s="82">
        <v>4291.2065040304733</v>
      </c>
      <c r="D14" s="82">
        <v>4964.3175105394348</v>
      </c>
      <c r="E14" s="82">
        <v>4717.4220546755651</v>
      </c>
      <c r="F14" s="27"/>
      <c r="G14" s="38">
        <v>9.9323010963180849</v>
      </c>
      <c r="H14" s="24">
        <v>-4.9734017886587907</v>
      </c>
    </row>
    <row r="15" spans="1:10" x14ac:dyDescent="0.2">
      <c r="A15" s="30" t="s">
        <v>168</v>
      </c>
      <c r="B15" s="31" t="s">
        <v>3</v>
      </c>
      <c r="C15" s="80">
        <v>5870.5359812985025</v>
      </c>
      <c r="D15" s="80">
        <v>6062.0590272136797</v>
      </c>
      <c r="E15" s="80">
        <v>5582.3422533229323</v>
      </c>
      <c r="F15" s="22" t="s">
        <v>240</v>
      </c>
      <c r="G15" s="37">
        <v>-4.9091552950813337</v>
      </c>
      <c r="H15" s="33">
        <v>-7.9134296076170187</v>
      </c>
    </row>
    <row r="16" spans="1:10" x14ac:dyDescent="0.2">
      <c r="A16" s="34"/>
      <c r="B16" s="25" t="s">
        <v>241</v>
      </c>
      <c r="C16" s="82">
        <v>3215.9968028142866</v>
      </c>
      <c r="D16" s="82">
        <v>3185.2108121119513</v>
      </c>
      <c r="E16" s="82">
        <v>2973.6566209012212</v>
      </c>
      <c r="F16" s="27"/>
      <c r="G16" s="28">
        <v>-7.5354609090716735</v>
      </c>
      <c r="H16" s="29">
        <v>-6.6417641936377549</v>
      </c>
    </row>
    <row r="17" spans="1:8" x14ac:dyDescent="0.2">
      <c r="A17" s="30" t="s">
        <v>7</v>
      </c>
      <c r="B17" s="31" t="s">
        <v>3</v>
      </c>
      <c r="C17" s="80">
        <v>1776.8332046777334</v>
      </c>
      <c r="D17" s="80">
        <v>1811.9238978132253</v>
      </c>
      <c r="E17" s="80">
        <v>1838.6955407915302</v>
      </c>
      <c r="F17" s="22" t="s">
        <v>240</v>
      </c>
      <c r="G17" s="23">
        <v>3.4816062616871619</v>
      </c>
      <c r="H17" s="24">
        <v>1.4775257951294236</v>
      </c>
    </row>
    <row r="18" spans="1:8" x14ac:dyDescent="0.2">
      <c r="A18" s="30"/>
      <c r="B18" s="25" t="s">
        <v>241</v>
      </c>
      <c r="C18" s="82">
        <v>917.48112890574225</v>
      </c>
      <c r="D18" s="82">
        <v>934.05641670497062</v>
      </c>
      <c r="E18" s="82">
        <v>948.3790556304416</v>
      </c>
      <c r="F18" s="27"/>
      <c r="G18" s="38">
        <v>3.367690707878694</v>
      </c>
      <c r="H18" s="24">
        <v>1.5333804970792073</v>
      </c>
    </row>
    <row r="19" spans="1:8" x14ac:dyDescent="0.2">
      <c r="A19" s="39" t="s">
        <v>8</v>
      </c>
      <c r="B19" s="31" t="s">
        <v>3</v>
      </c>
      <c r="C19" s="80">
        <v>2036.0218121420889</v>
      </c>
      <c r="D19" s="80">
        <v>2387.3848808729376</v>
      </c>
      <c r="E19" s="80">
        <v>3081.0527115583482</v>
      </c>
      <c r="F19" s="22" t="s">
        <v>240</v>
      </c>
      <c r="G19" s="37">
        <v>51.327097439923165</v>
      </c>
      <c r="H19" s="33">
        <v>29.055550960504263</v>
      </c>
    </row>
    <row r="20" spans="1:8" x14ac:dyDescent="0.2">
      <c r="A20" s="34"/>
      <c r="B20" s="25" t="s">
        <v>241</v>
      </c>
      <c r="C20" s="82">
        <v>966.10268894516707</v>
      </c>
      <c r="D20" s="82">
        <v>1230.7896372137748</v>
      </c>
      <c r="E20" s="82">
        <v>1543.8984577252118</v>
      </c>
      <c r="F20" s="27"/>
      <c r="G20" s="28">
        <v>59.806868916896093</v>
      </c>
      <c r="H20" s="29">
        <v>25.439669870819159</v>
      </c>
    </row>
    <row r="21" spans="1:8" x14ac:dyDescent="0.2">
      <c r="A21" s="39" t="s">
        <v>9</v>
      </c>
      <c r="B21" s="31" t="s">
        <v>3</v>
      </c>
      <c r="C21" s="80">
        <v>790.99551165503703</v>
      </c>
      <c r="D21" s="80">
        <v>1120.2980383203794</v>
      </c>
      <c r="E21" s="80">
        <v>756.96394358934401</v>
      </c>
      <c r="F21" s="22" t="s">
        <v>240</v>
      </c>
      <c r="G21" s="37">
        <v>-4.3023718294541453</v>
      </c>
      <c r="H21" s="33">
        <v>-32.431913857116854</v>
      </c>
    </row>
    <row r="22" spans="1:8" x14ac:dyDescent="0.2">
      <c r="A22" s="34"/>
      <c r="B22" s="25" t="s">
        <v>241</v>
      </c>
      <c r="C22" s="82">
        <v>401.42631068577151</v>
      </c>
      <c r="D22" s="82">
        <v>485.77042894766703</v>
      </c>
      <c r="E22" s="82">
        <v>344.9671839410957</v>
      </c>
      <c r="F22" s="27"/>
      <c r="G22" s="28">
        <v>-14.064630354752921</v>
      </c>
      <c r="H22" s="29">
        <v>-28.985552972336308</v>
      </c>
    </row>
    <row r="23" spans="1:8" x14ac:dyDescent="0.2">
      <c r="A23" s="39" t="s">
        <v>190</v>
      </c>
      <c r="B23" s="31" t="s">
        <v>3</v>
      </c>
      <c r="C23" s="80">
        <v>1443.9436886190492</v>
      </c>
      <c r="D23" s="80">
        <v>1934.5070014632756</v>
      </c>
      <c r="E23" s="80">
        <v>2127.7763798699448</v>
      </c>
      <c r="F23" s="22" t="s">
        <v>240</v>
      </c>
      <c r="G23" s="23">
        <v>47.358681411246408</v>
      </c>
      <c r="H23" s="24">
        <v>9.9906269794050218</v>
      </c>
    </row>
    <row r="24" spans="1:8" x14ac:dyDescent="0.2">
      <c r="A24" s="34"/>
      <c r="B24" s="25" t="s">
        <v>241</v>
      </c>
      <c r="C24" s="82">
        <v>703.90225090201398</v>
      </c>
      <c r="D24" s="82">
        <v>924.04743928760467</v>
      </c>
      <c r="E24" s="82">
        <v>1031.7275860656703</v>
      </c>
      <c r="F24" s="27"/>
      <c r="G24" s="38">
        <v>46.572565259390103</v>
      </c>
      <c r="H24" s="24">
        <v>11.653097254517775</v>
      </c>
    </row>
    <row r="25" spans="1:8" x14ac:dyDescent="0.2">
      <c r="A25" s="39" t="s">
        <v>191</v>
      </c>
      <c r="B25" s="31" t="s">
        <v>3</v>
      </c>
      <c r="C25" s="80">
        <v>590.1806121196131</v>
      </c>
      <c r="D25" s="80">
        <v>604.64367061974212</v>
      </c>
      <c r="E25" s="80">
        <v>722.51977551418793</v>
      </c>
      <c r="F25" s="22" t="s">
        <v>240</v>
      </c>
      <c r="G25" s="37">
        <v>22.423502344355796</v>
      </c>
      <c r="H25" s="33">
        <v>19.495135833246422</v>
      </c>
    </row>
    <row r="26" spans="1:8" x14ac:dyDescent="0.2">
      <c r="A26" s="34"/>
      <c r="B26" s="25" t="s">
        <v>241</v>
      </c>
      <c r="C26" s="82">
        <v>342.32815642409764</v>
      </c>
      <c r="D26" s="82">
        <v>306.68514386652657</v>
      </c>
      <c r="E26" s="82">
        <v>364.71920635729759</v>
      </c>
      <c r="F26" s="27"/>
      <c r="G26" s="38">
        <v>6.5408145701753284</v>
      </c>
      <c r="H26" s="24">
        <v>18.923010667914269</v>
      </c>
    </row>
    <row r="27" spans="1:8" x14ac:dyDescent="0.2">
      <c r="A27" s="39" t="s">
        <v>192</v>
      </c>
      <c r="B27" s="31" t="s">
        <v>3</v>
      </c>
      <c r="C27" s="80">
        <v>1456.5722955892095</v>
      </c>
      <c r="D27" s="80">
        <v>1704.7751721129091</v>
      </c>
      <c r="E27" s="80">
        <v>2018.6319109287899</v>
      </c>
      <c r="F27" s="22" t="s">
        <v>240</v>
      </c>
      <c r="G27" s="37">
        <v>38.587828221201846</v>
      </c>
      <c r="H27" s="33">
        <v>18.410447544639254</v>
      </c>
    </row>
    <row r="28" spans="1:8" x14ac:dyDescent="0.2">
      <c r="A28" s="34"/>
      <c r="B28" s="25" t="s">
        <v>241</v>
      </c>
      <c r="C28" s="82">
        <v>689.49705569425032</v>
      </c>
      <c r="D28" s="82">
        <v>829.72777714408846</v>
      </c>
      <c r="E28" s="82">
        <v>991.26830893099464</v>
      </c>
      <c r="F28" s="27"/>
      <c r="G28" s="38">
        <v>43.766866115605467</v>
      </c>
      <c r="H28" s="24">
        <v>19.469100135821222</v>
      </c>
    </row>
    <row r="29" spans="1:8" x14ac:dyDescent="0.2">
      <c r="A29" s="30" t="s">
        <v>10</v>
      </c>
      <c r="B29" s="31" t="s">
        <v>3</v>
      </c>
      <c r="C29" s="80">
        <v>2302.5662864483888</v>
      </c>
      <c r="D29" s="80">
        <v>773.78802688841336</v>
      </c>
      <c r="E29" s="80">
        <v>2256.1729313568326</v>
      </c>
      <c r="F29" s="22" t="s">
        <v>240</v>
      </c>
      <c r="G29" s="37">
        <v>-2.0148542678055037</v>
      </c>
      <c r="H29" s="33">
        <v>191.5750635777402</v>
      </c>
    </row>
    <row r="30" spans="1:8" x14ac:dyDescent="0.2">
      <c r="A30" s="30"/>
      <c r="B30" s="25" t="s">
        <v>241</v>
      </c>
      <c r="C30" s="82">
        <v>1893.5409275796746</v>
      </c>
      <c r="D30" s="82">
        <v>225.66951530811212</v>
      </c>
      <c r="E30" s="82">
        <v>838.3394809967931</v>
      </c>
      <c r="F30" s="27"/>
      <c r="G30" s="28">
        <v>-55.726360661854869</v>
      </c>
      <c r="H30" s="29">
        <v>271.48991074500589</v>
      </c>
    </row>
    <row r="31" spans="1:8" x14ac:dyDescent="0.2">
      <c r="A31" s="39" t="s">
        <v>11</v>
      </c>
      <c r="B31" s="31" t="s">
        <v>3</v>
      </c>
      <c r="C31" s="80">
        <v>607.81922434697947</v>
      </c>
      <c r="D31" s="80">
        <v>593.00593686028049</v>
      </c>
      <c r="E31" s="80">
        <v>527.0954120770881</v>
      </c>
      <c r="F31" s="22" t="s">
        <v>240</v>
      </c>
      <c r="G31" s="23">
        <v>-13.28089159348626</v>
      </c>
      <c r="H31" s="24">
        <v>-11.114648384830886</v>
      </c>
    </row>
    <row r="32" spans="1:8" x14ac:dyDescent="0.2">
      <c r="A32" s="34"/>
      <c r="B32" s="25" t="s">
        <v>241</v>
      </c>
      <c r="C32" s="82">
        <v>262.93120032699858</v>
      </c>
      <c r="D32" s="82">
        <v>246.51905838508478</v>
      </c>
      <c r="E32" s="82">
        <v>222.00533916257521</v>
      </c>
      <c r="F32" s="27"/>
      <c r="G32" s="38">
        <v>-15.565235739815307</v>
      </c>
      <c r="H32" s="24">
        <v>-9.9439448548504998</v>
      </c>
    </row>
    <row r="33" spans="1:8" x14ac:dyDescent="0.2">
      <c r="A33" s="30" t="s">
        <v>12</v>
      </c>
      <c r="B33" s="31" t="s">
        <v>3</v>
      </c>
      <c r="C33" s="80">
        <v>1394.3954936555808</v>
      </c>
      <c r="D33" s="80">
        <v>1493.657688654961</v>
      </c>
      <c r="E33" s="80">
        <v>1609.3962658531739</v>
      </c>
      <c r="F33" s="22" t="s">
        <v>240</v>
      </c>
      <c r="G33" s="37">
        <v>15.41892333816584</v>
      </c>
      <c r="H33" s="33">
        <v>7.7486681237141681</v>
      </c>
    </row>
    <row r="34" spans="1:8" x14ac:dyDescent="0.2">
      <c r="A34" s="30"/>
      <c r="B34" s="25" t="s">
        <v>241</v>
      </c>
      <c r="C34" s="82">
        <v>651.86936651844553</v>
      </c>
      <c r="D34" s="82">
        <v>780.01778428583316</v>
      </c>
      <c r="E34" s="82">
        <v>808.89411421755653</v>
      </c>
      <c r="F34" s="27"/>
      <c r="G34" s="28">
        <v>24.088376561972979</v>
      </c>
      <c r="H34" s="29">
        <v>3.7020091738243934</v>
      </c>
    </row>
    <row r="35" spans="1:8" x14ac:dyDescent="0.2">
      <c r="A35" s="39" t="s">
        <v>13</v>
      </c>
      <c r="B35" s="31" t="s">
        <v>3</v>
      </c>
      <c r="C35" s="80">
        <v>143.74115385315406</v>
      </c>
      <c r="D35" s="80">
        <v>189.00435847148509</v>
      </c>
      <c r="E35" s="80">
        <v>140.82068321646645</v>
      </c>
      <c r="F35" s="22" t="s">
        <v>240</v>
      </c>
      <c r="G35" s="23">
        <v>-2.0317567783483668</v>
      </c>
      <c r="H35" s="24">
        <v>-25.493420175433712</v>
      </c>
    </row>
    <row r="36" spans="1:8" x14ac:dyDescent="0.2">
      <c r="A36" s="34"/>
      <c r="B36" s="25" t="s">
        <v>241</v>
      </c>
      <c r="C36" s="82">
        <v>94.89232920539061</v>
      </c>
      <c r="D36" s="82">
        <v>113.79724607921291</v>
      </c>
      <c r="E36" s="82">
        <v>87.347711370995484</v>
      </c>
      <c r="F36" s="27"/>
      <c r="G36" s="28">
        <v>-7.9507141384053313</v>
      </c>
      <c r="H36" s="29">
        <v>-23.242684352665449</v>
      </c>
    </row>
    <row r="37" spans="1:8" x14ac:dyDescent="0.2">
      <c r="A37" s="30" t="s">
        <v>14</v>
      </c>
      <c r="B37" s="31" t="s">
        <v>3</v>
      </c>
      <c r="C37" s="85">
        <v>1069.6740028511836</v>
      </c>
      <c r="D37" s="85">
        <v>1258.060364658754</v>
      </c>
      <c r="E37" s="83">
        <v>1302.0330733021324</v>
      </c>
      <c r="F37" s="22" t="s">
        <v>240</v>
      </c>
      <c r="G37" s="23">
        <v>21.72241915121829</v>
      </c>
      <c r="H37" s="24">
        <v>3.4952781184951931</v>
      </c>
    </row>
    <row r="38" spans="1:8" ht="13.5" thickBot="1" x14ac:dyDescent="0.25">
      <c r="A38" s="41"/>
      <c r="B38" s="42" t="s">
        <v>241</v>
      </c>
      <c r="C38" s="86">
        <v>662.49776396796972</v>
      </c>
      <c r="D38" s="86">
        <v>628.90855637301138</v>
      </c>
      <c r="E38" s="86">
        <v>695.60712276695779</v>
      </c>
      <c r="F38" s="44"/>
      <c r="G38" s="45">
        <v>4.997655931800054</v>
      </c>
      <c r="H38" s="46">
        <v>10.605447440340882</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10</v>
      </c>
    </row>
    <row r="62" spans="1:8" ht="12.75" customHeight="1" x14ac:dyDescent="0.2">
      <c r="A62" s="54" t="s">
        <v>243</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26</v>
      </c>
      <c r="B7" s="19" t="s">
        <v>3</v>
      </c>
      <c r="C7" s="20">
        <v>905544.03497757844</v>
      </c>
      <c r="D7" s="20">
        <v>951813.97167414054</v>
      </c>
      <c r="E7" s="21">
        <v>976800.79596074822</v>
      </c>
      <c r="F7" s="22" t="s">
        <v>240</v>
      </c>
      <c r="G7" s="23">
        <v>7.8689448807350431</v>
      </c>
      <c r="H7" s="24">
        <v>2.6251793974676048</v>
      </c>
    </row>
    <row r="8" spans="1:8" x14ac:dyDescent="0.2">
      <c r="A8" s="206"/>
      <c r="B8" s="25" t="s">
        <v>241</v>
      </c>
      <c r="C8" s="26">
        <v>464596.61337817641</v>
      </c>
      <c r="D8" s="26">
        <v>487977.85986547085</v>
      </c>
      <c r="E8" s="26">
        <v>500910.53116591927</v>
      </c>
      <c r="F8" s="27"/>
      <c r="G8" s="28">
        <v>7.8162252461758186</v>
      </c>
      <c r="H8" s="29">
        <v>2.6502578014530656</v>
      </c>
    </row>
    <row r="9" spans="1:8" x14ac:dyDescent="0.2">
      <c r="A9" s="30" t="s">
        <v>28</v>
      </c>
      <c r="B9" s="31" t="s">
        <v>3</v>
      </c>
      <c r="C9" s="20">
        <v>834648.18798206281</v>
      </c>
      <c r="D9" s="20">
        <v>874362.06733931229</v>
      </c>
      <c r="E9" s="21">
        <v>893994.50490768009</v>
      </c>
      <c r="F9" s="22" t="s">
        <v>240</v>
      </c>
      <c r="G9" s="32">
        <v>7.1103391560819631</v>
      </c>
      <c r="H9" s="33">
        <v>2.2453441545227832</v>
      </c>
    </row>
    <row r="10" spans="1:8" x14ac:dyDescent="0.2">
      <c r="A10" s="34"/>
      <c r="B10" s="25" t="s">
        <v>241</v>
      </c>
      <c r="C10" s="26">
        <v>427186.48070254113</v>
      </c>
      <c r="D10" s="26">
        <v>450577.61789237673</v>
      </c>
      <c r="E10" s="26">
        <v>459645.29493273539</v>
      </c>
      <c r="F10" s="27"/>
      <c r="G10" s="35">
        <v>7.5982774962384667</v>
      </c>
      <c r="H10" s="29">
        <v>2.0124561629966564</v>
      </c>
    </row>
    <row r="11" spans="1:8" x14ac:dyDescent="0.2">
      <c r="A11" s="30" t="s">
        <v>29</v>
      </c>
      <c r="B11" s="31" t="s">
        <v>3</v>
      </c>
      <c r="C11" s="20">
        <v>29354.423497757845</v>
      </c>
      <c r="D11" s="20">
        <v>32860.952167414056</v>
      </c>
      <c r="E11" s="21">
        <v>39044.450286341322</v>
      </c>
      <c r="F11" s="22" t="s">
        <v>240</v>
      </c>
      <c r="G11" s="37">
        <v>33.01044828669049</v>
      </c>
      <c r="H11" s="33">
        <v>18.817160523604713</v>
      </c>
    </row>
    <row r="12" spans="1:8" x14ac:dyDescent="0.2">
      <c r="A12" s="34"/>
      <c r="B12" s="25" t="s">
        <v>241</v>
      </c>
      <c r="C12" s="26">
        <v>14552.566337817638</v>
      </c>
      <c r="D12" s="26">
        <v>17285.620986547085</v>
      </c>
      <c r="E12" s="26">
        <v>20128.618116591926</v>
      </c>
      <c r="F12" s="27"/>
      <c r="G12" s="28">
        <v>38.316621613906307</v>
      </c>
      <c r="H12" s="29">
        <v>16.447179608169506</v>
      </c>
    </row>
    <row r="13" spans="1:8" x14ac:dyDescent="0.2">
      <c r="A13" s="30" t="s">
        <v>27</v>
      </c>
      <c r="B13" s="31" t="s">
        <v>3</v>
      </c>
      <c r="C13" s="20">
        <v>11188.027049327355</v>
      </c>
      <c r="D13" s="20">
        <v>11475.585650224215</v>
      </c>
      <c r="E13" s="21">
        <v>11989.146920514881</v>
      </c>
      <c r="F13" s="22" t="s">
        <v>240</v>
      </c>
      <c r="G13" s="23">
        <v>7.1605106749870657</v>
      </c>
      <c r="H13" s="24">
        <v>4.4752510760148567</v>
      </c>
    </row>
    <row r="14" spans="1:8" x14ac:dyDescent="0.2">
      <c r="A14" s="34"/>
      <c r="B14" s="25" t="s">
        <v>241</v>
      </c>
      <c r="C14" s="26">
        <v>4636.1699013452917</v>
      </c>
      <c r="D14" s="26">
        <v>4853.986295964125</v>
      </c>
      <c r="E14" s="26">
        <v>5036.3854349775784</v>
      </c>
      <c r="F14" s="27"/>
      <c r="G14" s="38">
        <v>8.6324604608678044</v>
      </c>
      <c r="H14" s="24">
        <v>3.7577184584371537</v>
      </c>
    </row>
    <row r="15" spans="1:8" x14ac:dyDescent="0.2">
      <c r="A15" s="30" t="s">
        <v>30</v>
      </c>
      <c r="B15" s="31" t="s">
        <v>3</v>
      </c>
      <c r="C15" s="20">
        <v>14655.36939910314</v>
      </c>
      <c r="D15" s="20">
        <v>14735.780866965621</v>
      </c>
      <c r="E15" s="21">
        <v>15470.425114859949</v>
      </c>
      <c r="F15" s="22" t="s">
        <v>240</v>
      </c>
      <c r="G15" s="37">
        <v>5.5614818948656932</v>
      </c>
      <c r="H15" s="33">
        <v>4.985444982703541</v>
      </c>
    </row>
    <row r="16" spans="1:8" x14ac:dyDescent="0.2">
      <c r="A16" s="34"/>
      <c r="B16" s="25" t="s">
        <v>241</v>
      </c>
      <c r="C16" s="26">
        <v>7868.2265351270553</v>
      </c>
      <c r="D16" s="26">
        <v>7948.6483946188346</v>
      </c>
      <c r="E16" s="26">
        <v>8331.8472466367712</v>
      </c>
      <c r="F16" s="27"/>
      <c r="G16" s="28">
        <v>5.8923152433387571</v>
      </c>
      <c r="H16" s="29">
        <v>4.8209309683060013</v>
      </c>
    </row>
    <row r="17" spans="1:9" x14ac:dyDescent="0.2">
      <c r="A17" s="30" t="s">
        <v>31</v>
      </c>
      <c r="B17" s="31" t="s">
        <v>3</v>
      </c>
      <c r="C17" s="20">
        <v>15698.027049327355</v>
      </c>
      <c r="D17" s="20">
        <v>18379.585650224217</v>
      </c>
      <c r="E17" s="21">
        <v>16944.147483996789</v>
      </c>
      <c r="F17" s="22" t="s">
        <v>240</v>
      </c>
      <c r="G17" s="37">
        <v>7.9380703750464647</v>
      </c>
      <c r="H17" s="33">
        <v>-7.809959340459443</v>
      </c>
    </row>
    <row r="18" spans="1:9" ht="13.5" thickBot="1" x14ac:dyDescent="0.25">
      <c r="A18" s="56"/>
      <c r="B18" s="42" t="s">
        <v>241</v>
      </c>
      <c r="C18" s="43">
        <v>10353.169901345293</v>
      </c>
      <c r="D18" s="43">
        <v>7311.986295964125</v>
      </c>
      <c r="E18" s="43">
        <v>7768.3854349775784</v>
      </c>
      <c r="F18" s="44"/>
      <c r="G18" s="57">
        <v>-24.966116571040203</v>
      </c>
      <c r="H18" s="46">
        <v>6.2417942340149608</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26</v>
      </c>
      <c r="B35" s="19" t="s">
        <v>3</v>
      </c>
      <c r="C35" s="80">
        <v>15502.439866948975</v>
      </c>
      <c r="D35" s="80">
        <v>16417.970641978663</v>
      </c>
      <c r="E35" s="83">
        <v>18145.756082665161</v>
      </c>
      <c r="F35" s="22" t="s">
        <v>240</v>
      </c>
      <c r="G35" s="23">
        <v>17.050968998445896</v>
      </c>
      <c r="H35" s="24">
        <v>10.523745463819807</v>
      </c>
    </row>
    <row r="36" spans="1:9" ht="12.75" customHeight="1" x14ac:dyDescent="0.2">
      <c r="A36" s="206"/>
      <c r="B36" s="25" t="s">
        <v>241</v>
      </c>
      <c r="C36" s="82">
        <v>7792.8489512579672</v>
      </c>
      <c r="D36" s="82">
        <v>8200.8739952118849</v>
      </c>
      <c r="E36" s="82">
        <v>9083.0625456222697</v>
      </c>
      <c r="F36" s="27"/>
      <c r="G36" s="28">
        <v>16.556378834418808</v>
      </c>
      <c r="H36" s="29">
        <v>10.757250397036387</v>
      </c>
    </row>
    <row r="37" spans="1:9" x14ac:dyDescent="0.2">
      <c r="A37" s="30" t="s">
        <v>28</v>
      </c>
      <c r="B37" s="31" t="s">
        <v>3</v>
      </c>
      <c r="C37" s="80">
        <v>12905.803856264894</v>
      </c>
      <c r="D37" s="80">
        <v>13580.769686566022</v>
      </c>
      <c r="E37" s="83">
        <v>15057.120793512924</v>
      </c>
      <c r="F37" s="22" t="s">
        <v>240</v>
      </c>
      <c r="G37" s="32">
        <v>16.669375741393353</v>
      </c>
      <c r="H37" s="33">
        <v>10.870894220430642</v>
      </c>
    </row>
    <row r="38" spans="1:9" x14ac:dyDescent="0.2">
      <c r="A38" s="34"/>
      <c r="B38" s="25" t="s">
        <v>241</v>
      </c>
      <c r="C38" s="82">
        <v>6502.8043269073069</v>
      </c>
      <c r="D38" s="82">
        <v>6830.9993150404853</v>
      </c>
      <c r="E38" s="82">
        <v>7577.9819880552841</v>
      </c>
      <c r="F38" s="27"/>
      <c r="G38" s="35">
        <v>16.534061415612754</v>
      </c>
      <c r="H38" s="29">
        <v>10.935188814469555</v>
      </c>
    </row>
    <row r="39" spans="1:9" x14ac:dyDescent="0.2">
      <c r="A39" s="30" t="s">
        <v>29</v>
      </c>
      <c r="B39" s="31" t="s">
        <v>3</v>
      </c>
      <c r="C39" s="80">
        <v>929.77291269380703</v>
      </c>
      <c r="D39" s="80">
        <v>988.33799893854564</v>
      </c>
      <c r="E39" s="83">
        <v>1188.6193520547504</v>
      </c>
      <c r="F39" s="22" t="s">
        <v>240</v>
      </c>
      <c r="G39" s="37">
        <v>27.839748375868936</v>
      </c>
      <c r="H39" s="33">
        <v>20.264459459345161</v>
      </c>
    </row>
    <row r="40" spans="1:9" x14ac:dyDescent="0.2">
      <c r="A40" s="34"/>
      <c r="B40" s="25" t="s">
        <v>241</v>
      </c>
      <c r="C40" s="82">
        <v>473.55826123134989</v>
      </c>
      <c r="D40" s="82">
        <v>506.07545012470518</v>
      </c>
      <c r="E40" s="82">
        <v>607.54733581648668</v>
      </c>
      <c r="F40" s="27"/>
      <c r="G40" s="28">
        <v>28.294105615798429</v>
      </c>
      <c r="H40" s="29">
        <v>20.050742565516117</v>
      </c>
    </row>
    <row r="41" spans="1:9" x14ac:dyDescent="0.2">
      <c r="A41" s="30" t="s">
        <v>27</v>
      </c>
      <c r="B41" s="31" t="s">
        <v>3</v>
      </c>
      <c r="C41" s="80">
        <v>326.40791946298395</v>
      </c>
      <c r="D41" s="80">
        <v>418.04889219756342</v>
      </c>
      <c r="E41" s="83">
        <v>337.56612551977929</v>
      </c>
      <c r="F41" s="22" t="s">
        <v>240</v>
      </c>
      <c r="G41" s="23">
        <v>3.4184850891954852</v>
      </c>
      <c r="H41" s="24">
        <v>-19.25199855325755</v>
      </c>
    </row>
    <row r="42" spans="1:9" x14ac:dyDescent="0.2">
      <c r="A42" s="34"/>
      <c r="B42" s="25" t="s">
        <v>241</v>
      </c>
      <c r="C42" s="82">
        <v>132.36517563886119</v>
      </c>
      <c r="D42" s="82">
        <v>210.22881822234811</v>
      </c>
      <c r="E42" s="82">
        <v>157.1768670275778</v>
      </c>
      <c r="F42" s="27"/>
      <c r="G42" s="38">
        <v>18.744878529388757</v>
      </c>
      <c r="H42" s="24">
        <v>-25.235337211789883</v>
      </c>
    </row>
    <row r="43" spans="1:9" x14ac:dyDescent="0.2">
      <c r="A43" s="30" t="s">
        <v>30</v>
      </c>
      <c r="B43" s="31" t="s">
        <v>3</v>
      </c>
      <c r="C43" s="80">
        <v>791.47903614085703</v>
      </c>
      <c r="D43" s="80">
        <v>831.51656987079014</v>
      </c>
      <c r="E43" s="83">
        <v>930.27416153946365</v>
      </c>
      <c r="F43" s="22" t="s">
        <v>240</v>
      </c>
      <c r="G43" s="37">
        <v>17.536172034998245</v>
      </c>
      <c r="H43" s="33">
        <v>11.876803812101969</v>
      </c>
    </row>
    <row r="44" spans="1:9" x14ac:dyDescent="0.2">
      <c r="A44" s="34"/>
      <c r="B44" s="25" t="s">
        <v>241</v>
      </c>
      <c r="C44" s="82">
        <v>378.93004867105799</v>
      </c>
      <c r="D44" s="82">
        <v>422.8050621327539</v>
      </c>
      <c r="E44" s="82">
        <v>463.43366969587294</v>
      </c>
      <c r="F44" s="27"/>
      <c r="G44" s="28">
        <v>22.300585905281679</v>
      </c>
      <c r="H44" s="29">
        <v>9.6093001720878988</v>
      </c>
    </row>
    <row r="45" spans="1:9" x14ac:dyDescent="0.2">
      <c r="A45" s="30" t="s">
        <v>31</v>
      </c>
      <c r="B45" s="31" t="s">
        <v>3</v>
      </c>
      <c r="C45" s="80">
        <v>548.97614238643359</v>
      </c>
      <c r="D45" s="80">
        <v>599.29749440574335</v>
      </c>
      <c r="E45" s="83">
        <v>645.48771473331988</v>
      </c>
      <c r="F45" s="22" t="s">
        <v>240</v>
      </c>
      <c r="G45" s="37">
        <v>17.58028535217295</v>
      </c>
      <c r="H45" s="33">
        <v>7.7073942005010849</v>
      </c>
    </row>
    <row r="46" spans="1:9" ht="13.5" thickBot="1" x14ac:dyDescent="0.25">
      <c r="A46" s="56"/>
      <c r="B46" s="42" t="s">
        <v>241</v>
      </c>
      <c r="C46" s="86">
        <v>305.19113880939045</v>
      </c>
      <c r="D46" s="86">
        <v>230.76534969159314</v>
      </c>
      <c r="E46" s="86">
        <v>276.92268502705161</v>
      </c>
      <c r="F46" s="44"/>
      <c r="G46" s="57">
        <v>-9.2625408105292735</v>
      </c>
      <c r="H46" s="46">
        <v>20.001848369846485</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08">
        <v>11</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26</v>
      </c>
      <c r="B7" s="19" t="s">
        <v>3</v>
      </c>
      <c r="C7" s="20">
        <v>905544.03497757844</v>
      </c>
      <c r="D7" s="20">
        <v>951813.97167414054</v>
      </c>
      <c r="E7" s="21">
        <v>976800.79596074822</v>
      </c>
      <c r="F7" s="22" t="s">
        <v>240</v>
      </c>
      <c r="G7" s="23">
        <v>7.8689448807350431</v>
      </c>
      <c r="H7" s="24">
        <v>2.6251793974676048</v>
      </c>
    </row>
    <row r="8" spans="1:8" ht="12.75" customHeight="1" x14ac:dyDescent="0.2">
      <c r="A8" s="206"/>
      <c r="B8" s="25" t="s">
        <v>241</v>
      </c>
      <c r="C8" s="26">
        <v>464596.61337817641</v>
      </c>
      <c r="D8" s="26">
        <v>487977.85986547085</v>
      </c>
      <c r="E8" s="26">
        <v>500910.53116591927</v>
      </c>
      <c r="F8" s="27"/>
      <c r="G8" s="28">
        <v>7.8162252461758186</v>
      </c>
      <c r="H8" s="29">
        <v>2.6502578014530656</v>
      </c>
    </row>
    <row r="9" spans="1:8" x14ac:dyDescent="0.2">
      <c r="A9" s="30" t="s">
        <v>34</v>
      </c>
      <c r="B9" s="31" t="s">
        <v>3</v>
      </c>
      <c r="C9" s="20">
        <v>9026.7504000000008</v>
      </c>
      <c r="D9" s="20">
        <v>9110.9699999999993</v>
      </c>
      <c r="E9" s="21">
        <v>10430.352650174433</v>
      </c>
      <c r="F9" s="22" t="s">
        <v>240</v>
      </c>
      <c r="G9" s="32">
        <v>15.549363702074132</v>
      </c>
      <c r="H9" s="33">
        <v>14.481253370106955</v>
      </c>
    </row>
    <row r="10" spans="1:8" x14ac:dyDescent="0.2">
      <c r="A10" s="34"/>
      <c r="B10" s="25" t="s">
        <v>241</v>
      </c>
      <c r="C10" s="26">
        <v>4232.3735999999999</v>
      </c>
      <c r="D10" s="26">
        <v>4213.1617999999999</v>
      </c>
      <c r="E10" s="26">
        <v>4845.4744000000001</v>
      </c>
      <c r="F10" s="27"/>
      <c r="G10" s="35">
        <v>14.485980160163564</v>
      </c>
      <c r="H10" s="29">
        <v>15.008030311107447</v>
      </c>
    </row>
    <row r="11" spans="1:8" x14ac:dyDescent="0.2">
      <c r="A11" s="30" t="s">
        <v>35</v>
      </c>
      <c r="B11" s="31" t="s">
        <v>3</v>
      </c>
      <c r="C11" s="20">
        <v>3099.940032</v>
      </c>
      <c r="D11" s="20">
        <v>3013.5176000000001</v>
      </c>
      <c r="E11" s="21">
        <v>3338.0485208960167</v>
      </c>
      <c r="F11" s="22" t="s">
        <v>240</v>
      </c>
      <c r="G11" s="37">
        <v>7.6810675831814592</v>
      </c>
      <c r="H11" s="33">
        <v>10.76917290597595</v>
      </c>
    </row>
    <row r="12" spans="1:8" x14ac:dyDescent="0.2">
      <c r="A12" s="34"/>
      <c r="B12" s="25" t="s">
        <v>241</v>
      </c>
      <c r="C12" s="26">
        <v>1429.3898880000002</v>
      </c>
      <c r="D12" s="26">
        <v>1391.132944</v>
      </c>
      <c r="E12" s="26">
        <v>1540.3579520000001</v>
      </c>
      <c r="F12" s="27"/>
      <c r="G12" s="28">
        <v>7.7633167081702368</v>
      </c>
      <c r="H12" s="29">
        <v>10.726868962712174</v>
      </c>
    </row>
    <row r="13" spans="1:8" x14ac:dyDescent="0.2">
      <c r="A13" s="30" t="s">
        <v>36</v>
      </c>
      <c r="B13" s="31" t="s">
        <v>3</v>
      </c>
      <c r="C13" s="20">
        <v>144885.03456</v>
      </c>
      <c r="D13" s="20">
        <v>148326.84133333334</v>
      </c>
      <c r="E13" s="21">
        <v>165099.08744378164</v>
      </c>
      <c r="F13" s="22" t="s">
        <v>240</v>
      </c>
      <c r="G13" s="23">
        <v>13.951788012591848</v>
      </c>
      <c r="H13" s="24">
        <v>11.307627102202105</v>
      </c>
    </row>
    <row r="14" spans="1:8" x14ac:dyDescent="0.2">
      <c r="A14" s="34"/>
      <c r="B14" s="25" t="s">
        <v>241</v>
      </c>
      <c r="C14" s="26">
        <v>73181.612373333337</v>
      </c>
      <c r="D14" s="26">
        <v>71396.429520000005</v>
      </c>
      <c r="E14" s="26">
        <v>80735.388160000002</v>
      </c>
      <c r="F14" s="27"/>
      <c r="G14" s="38">
        <v>10.321958674716484</v>
      </c>
      <c r="H14" s="24">
        <v>13.080428114943629</v>
      </c>
    </row>
    <row r="15" spans="1:8" x14ac:dyDescent="0.2">
      <c r="A15" s="30" t="s">
        <v>18</v>
      </c>
      <c r="B15" s="31" t="s">
        <v>3</v>
      </c>
      <c r="C15" s="20">
        <v>4883.2428799999998</v>
      </c>
      <c r="D15" s="20">
        <v>3335.0839999999998</v>
      </c>
      <c r="E15" s="21">
        <v>2889.3596918729281</v>
      </c>
      <c r="F15" s="22" t="s">
        <v>240</v>
      </c>
      <c r="G15" s="37">
        <v>-40.831128762677302</v>
      </c>
      <c r="H15" s="33">
        <v>-13.364710098068642</v>
      </c>
    </row>
    <row r="16" spans="1:8" x14ac:dyDescent="0.2">
      <c r="A16" s="34"/>
      <c r="B16" s="25" t="s">
        <v>241</v>
      </c>
      <c r="C16" s="26">
        <v>3233.8499200000001</v>
      </c>
      <c r="D16" s="26">
        <v>1749.0949599999999</v>
      </c>
      <c r="E16" s="26">
        <v>1628.2556799999998</v>
      </c>
      <c r="F16" s="27"/>
      <c r="G16" s="28">
        <v>-49.649621340498086</v>
      </c>
      <c r="H16" s="29">
        <v>-6.9086746439427316</v>
      </c>
    </row>
    <row r="17" spans="1:9" x14ac:dyDescent="0.2">
      <c r="A17" s="30" t="s">
        <v>37</v>
      </c>
      <c r="B17" s="31" t="s">
        <v>3</v>
      </c>
      <c r="C17" s="20">
        <v>2548.4100480000002</v>
      </c>
      <c r="D17" s="20">
        <v>1804.2764</v>
      </c>
      <c r="E17" s="21">
        <v>2307.4887224901722</v>
      </c>
      <c r="F17" s="22" t="s">
        <v>240</v>
      </c>
      <c r="G17" s="37">
        <v>-9.4537896559819217</v>
      </c>
      <c r="H17" s="33">
        <v>27.88997974424386</v>
      </c>
    </row>
    <row r="18" spans="1:9" x14ac:dyDescent="0.2">
      <c r="A18" s="34"/>
      <c r="B18" s="25" t="s">
        <v>241</v>
      </c>
      <c r="C18" s="26">
        <v>1225.084832</v>
      </c>
      <c r="D18" s="26">
        <v>794.69941599999993</v>
      </c>
      <c r="E18" s="26">
        <v>1045.536928</v>
      </c>
      <c r="F18" s="27"/>
      <c r="G18" s="28">
        <v>-14.655956821119148</v>
      </c>
      <c r="H18" s="29">
        <v>31.563822364756845</v>
      </c>
    </row>
    <row r="19" spans="1:9" x14ac:dyDescent="0.2">
      <c r="A19" s="30" t="s">
        <v>38</v>
      </c>
      <c r="B19" s="31" t="s">
        <v>3</v>
      </c>
      <c r="C19" s="20">
        <v>5079.5667199999998</v>
      </c>
      <c r="D19" s="20">
        <v>4491.8626666666669</v>
      </c>
      <c r="E19" s="21">
        <v>4338.4518279692011</v>
      </c>
      <c r="F19" s="22" t="s">
        <v>240</v>
      </c>
      <c r="G19" s="23">
        <v>-14.590120238263125</v>
      </c>
      <c r="H19" s="24">
        <v>-3.4153056333601057</v>
      </c>
    </row>
    <row r="20" spans="1:9" x14ac:dyDescent="0.2">
      <c r="A20" s="30"/>
      <c r="B20" s="25" t="s">
        <v>241</v>
      </c>
      <c r="C20" s="26">
        <v>2417.9831466666665</v>
      </c>
      <c r="D20" s="26">
        <v>2187.8882400000002</v>
      </c>
      <c r="E20" s="26">
        <v>2096.92992</v>
      </c>
      <c r="F20" s="27"/>
      <c r="G20" s="38">
        <v>-13.277728056510952</v>
      </c>
      <c r="H20" s="24">
        <v>-4.1573567761395367</v>
      </c>
    </row>
    <row r="21" spans="1:9" x14ac:dyDescent="0.2">
      <c r="A21" s="39" t="s">
        <v>39</v>
      </c>
      <c r="B21" s="31" t="s">
        <v>3</v>
      </c>
      <c r="C21" s="20">
        <v>260980.90111999999</v>
      </c>
      <c r="D21" s="20">
        <v>249931.11600000001</v>
      </c>
      <c r="E21" s="21">
        <v>301092.95714650326</v>
      </c>
      <c r="F21" s="22" t="s">
        <v>240</v>
      </c>
      <c r="G21" s="37">
        <v>15.369728533529582</v>
      </c>
      <c r="H21" s="33">
        <v>20.470376784338967</v>
      </c>
    </row>
    <row r="22" spans="1:9" x14ac:dyDescent="0.2">
      <c r="A22" s="34"/>
      <c r="B22" s="25" t="s">
        <v>241</v>
      </c>
      <c r="C22" s="26">
        <v>144568.64608000001</v>
      </c>
      <c r="D22" s="26">
        <v>107375.65304</v>
      </c>
      <c r="E22" s="26">
        <v>139815.52831999998</v>
      </c>
      <c r="F22" s="27"/>
      <c r="G22" s="28">
        <v>-3.2877929543379594</v>
      </c>
      <c r="H22" s="29">
        <v>30.211574376097474</v>
      </c>
    </row>
    <row r="23" spans="1:9" x14ac:dyDescent="0.2">
      <c r="A23" s="39" t="s">
        <v>40</v>
      </c>
      <c r="B23" s="31" t="s">
        <v>3</v>
      </c>
      <c r="C23" s="20">
        <v>208428.00160000002</v>
      </c>
      <c r="D23" s="20">
        <v>251652.88</v>
      </c>
      <c r="E23" s="21">
        <v>252012.51352280541</v>
      </c>
      <c r="F23" s="22" t="s">
        <v>240</v>
      </c>
      <c r="G23" s="23">
        <v>20.911063575061121</v>
      </c>
      <c r="H23" s="24">
        <v>0.14290856627805226</v>
      </c>
    </row>
    <row r="24" spans="1:9" x14ac:dyDescent="0.2">
      <c r="A24" s="34"/>
      <c r="B24" s="25" t="s">
        <v>241</v>
      </c>
      <c r="C24" s="26">
        <v>102383.4944</v>
      </c>
      <c r="D24" s="26">
        <v>120635.64720000001</v>
      </c>
      <c r="E24" s="26">
        <v>121786.8976</v>
      </c>
      <c r="F24" s="27"/>
      <c r="G24" s="38">
        <v>18.951690713146817</v>
      </c>
      <c r="H24" s="24">
        <v>0.95432024175354968</v>
      </c>
    </row>
    <row r="25" spans="1:9" x14ac:dyDescent="0.2">
      <c r="A25" s="30" t="s">
        <v>41</v>
      </c>
      <c r="B25" s="31" t="s">
        <v>3</v>
      </c>
      <c r="C25" s="20">
        <v>312814.12640000001</v>
      </c>
      <c r="D25" s="20">
        <v>315189.89500000002</v>
      </c>
      <c r="E25" s="21">
        <v>347052.19084691233</v>
      </c>
      <c r="F25" s="22" t="s">
        <v>240</v>
      </c>
      <c r="G25" s="37">
        <v>10.945178480568885</v>
      </c>
      <c r="H25" s="33">
        <v>10.108920480116382</v>
      </c>
    </row>
    <row r="26" spans="1:9" x14ac:dyDescent="0.2">
      <c r="A26" s="34"/>
      <c r="B26" s="25" t="s">
        <v>241</v>
      </c>
      <c r="C26" s="26">
        <v>156538.8076</v>
      </c>
      <c r="D26" s="26">
        <v>155346.06630000001</v>
      </c>
      <c r="E26" s="26">
        <v>171915.16039999999</v>
      </c>
      <c r="F26" s="27"/>
      <c r="G26" s="28">
        <v>9.8227098032398743</v>
      </c>
      <c r="H26" s="29">
        <v>10.665924470853483</v>
      </c>
    </row>
    <row r="27" spans="1:9" x14ac:dyDescent="0.2">
      <c r="A27" s="30" t="s">
        <v>24</v>
      </c>
      <c r="B27" s="31" t="s">
        <v>3</v>
      </c>
      <c r="C27" s="20">
        <v>180300.33439999999</v>
      </c>
      <c r="D27" s="20">
        <v>190521.25333333333</v>
      </c>
      <c r="E27" s="21">
        <v>190155.21752172569</v>
      </c>
      <c r="F27" s="22" t="s">
        <v>240</v>
      </c>
      <c r="G27" s="23">
        <v>5.4658152213197866</v>
      </c>
      <c r="H27" s="24">
        <v>-0.19212334855221513</v>
      </c>
    </row>
    <row r="28" spans="1:9" ht="13.5" thickBot="1" x14ac:dyDescent="0.25">
      <c r="A28" s="56"/>
      <c r="B28" s="42" t="s">
        <v>241</v>
      </c>
      <c r="C28" s="43">
        <v>87335.66293333334</v>
      </c>
      <c r="D28" s="43">
        <v>120853.7648</v>
      </c>
      <c r="E28" s="43">
        <v>109339.5984</v>
      </c>
      <c r="F28" s="44"/>
      <c r="G28" s="57">
        <v>25.194673891080569</v>
      </c>
      <c r="H28" s="46">
        <v>-9.5273543352618901</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26</v>
      </c>
      <c r="B35" s="19" t="s">
        <v>3</v>
      </c>
      <c r="C35" s="80">
        <v>15502.439866948975</v>
      </c>
      <c r="D35" s="80">
        <v>16417.970641978663</v>
      </c>
      <c r="E35" s="83">
        <v>18145.756082665164</v>
      </c>
      <c r="F35" s="22" t="s">
        <v>240</v>
      </c>
      <c r="G35" s="23">
        <v>17.05096899844591</v>
      </c>
      <c r="H35" s="24">
        <v>10.523745463819822</v>
      </c>
    </row>
    <row r="36" spans="1:8" ht="12.75" customHeight="1" x14ac:dyDescent="0.2">
      <c r="A36" s="206"/>
      <c r="B36" s="25" t="s">
        <v>241</v>
      </c>
      <c r="C36" s="82">
        <v>7792.8489512579672</v>
      </c>
      <c r="D36" s="82">
        <v>8200.8739952118849</v>
      </c>
      <c r="E36" s="82">
        <v>9083.0625456222715</v>
      </c>
      <c r="F36" s="27"/>
      <c r="G36" s="28">
        <v>16.556378834418823</v>
      </c>
      <c r="H36" s="29">
        <v>10.757250397036415</v>
      </c>
    </row>
    <row r="37" spans="1:8" x14ac:dyDescent="0.2">
      <c r="A37" s="30" t="s">
        <v>34</v>
      </c>
      <c r="B37" s="31" t="s">
        <v>3</v>
      </c>
      <c r="C37" s="84">
        <v>1173.4909154312008</v>
      </c>
      <c r="D37" s="84">
        <v>1215.8517696644108</v>
      </c>
      <c r="E37" s="83">
        <v>1458.2300236537651</v>
      </c>
      <c r="F37" s="22" t="s">
        <v>240</v>
      </c>
      <c r="G37" s="32">
        <v>24.264278868996314</v>
      </c>
      <c r="H37" s="33">
        <v>19.934852260506531</v>
      </c>
    </row>
    <row r="38" spans="1:8" x14ac:dyDescent="0.2">
      <c r="A38" s="34"/>
      <c r="B38" s="25" t="s">
        <v>241</v>
      </c>
      <c r="C38" s="82">
        <v>637.13450385757358</v>
      </c>
      <c r="D38" s="82">
        <v>653.6432813996505</v>
      </c>
      <c r="E38" s="82">
        <v>786.52387017502917</v>
      </c>
      <c r="F38" s="27"/>
      <c r="G38" s="35">
        <v>23.447068933320622</v>
      </c>
      <c r="H38" s="29">
        <v>20.329221236825163</v>
      </c>
    </row>
    <row r="39" spans="1:8" x14ac:dyDescent="0.2">
      <c r="A39" s="30" t="s">
        <v>35</v>
      </c>
      <c r="B39" s="31" t="s">
        <v>3</v>
      </c>
      <c r="C39" s="84">
        <v>55.412940768714726</v>
      </c>
      <c r="D39" s="84">
        <v>58.943539796359211</v>
      </c>
      <c r="E39" s="83">
        <v>58.044428827300891</v>
      </c>
      <c r="F39" s="22" t="s">
        <v>240</v>
      </c>
      <c r="G39" s="37">
        <v>4.7488691668063723</v>
      </c>
      <c r="H39" s="33">
        <v>-1.5253766098280011</v>
      </c>
    </row>
    <row r="40" spans="1:8" x14ac:dyDescent="0.2">
      <c r="A40" s="34"/>
      <c r="B40" s="25" t="s">
        <v>241</v>
      </c>
      <c r="C40" s="82">
        <v>33.011774154702081</v>
      </c>
      <c r="D40" s="82">
        <v>25.161754158025349</v>
      </c>
      <c r="E40" s="82">
        <v>27.363311480902475</v>
      </c>
      <c r="F40" s="27"/>
      <c r="G40" s="28">
        <v>-17.110448676067463</v>
      </c>
      <c r="H40" s="29">
        <v>8.7496178090387104</v>
      </c>
    </row>
    <row r="41" spans="1:8" x14ac:dyDescent="0.2">
      <c r="A41" s="30" t="s">
        <v>36</v>
      </c>
      <c r="B41" s="31" t="s">
        <v>3</v>
      </c>
      <c r="C41" s="84">
        <v>2649.3064202585674</v>
      </c>
      <c r="D41" s="84">
        <v>2896.8526582126128</v>
      </c>
      <c r="E41" s="83">
        <v>3112.5575048829037</v>
      </c>
      <c r="F41" s="22" t="s">
        <v>240</v>
      </c>
      <c r="G41" s="23">
        <v>17.485749518514496</v>
      </c>
      <c r="H41" s="24">
        <v>7.4461794271367268</v>
      </c>
    </row>
    <row r="42" spans="1:8" x14ac:dyDescent="0.2">
      <c r="A42" s="34"/>
      <c r="B42" s="25" t="s">
        <v>241</v>
      </c>
      <c r="C42" s="82">
        <v>1262.2653719910591</v>
      </c>
      <c r="D42" s="82">
        <v>1381.5271360771783</v>
      </c>
      <c r="E42" s="82">
        <v>1483.9257609347721</v>
      </c>
      <c r="F42" s="27"/>
      <c r="G42" s="38">
        <v>17.560522047283357</v>
      </c>
      <c r="H42" s="24">
        <v>7.4119879504034145</v>
      </c>
    </row>
    <row r="43" spans="1:8" x14ac:dyDescent="0.2">
      <c r="A43" s="30" t="s">
        <v>18</v>
      </c>
      <c r="B43" s="31" t="s">
        <v>3</v>
      </c>
      <c r="C43" s="84">
        <v>400.10805758700963</v>
      </c>
      <c r="D43" s="84">
        <v>275.64287647593477</v>
      </c>
      <c r="E43" s="83">
        <v>242.76438778730949</v>
      </c>
      <c r="F43" s="22" t="s">
        <v>240</v>
      </c>
      <c r="G43" s="37">
        <v>-39.325293958990905</v>
      </c>
      <c r="H43" s="33">
        <v>-11.92792975787124</v>
      </c>
    </row>
    <row r="44" spans="1:8" x14ac:dyDescent="0.2">
      <c r="A44" s="34"/>
      <c r="B44" s="25" t="s">
        <v>241</v>
      </c>
      <c r="C44" s="82">
        <v>264.16874485668865</v>
      </c>
      <c r="D44" s="82">
        <v>151.6872075126567</v>
      </c>
      <c r="E44" s="82">
        <v>141.44494198822775</v>
      </c>
      <c r="F44" s="27"/>
      <c r="G44" s="28">
        <v>-46.456594603967424</v>
      </c>
      <c r="H44" s="29">
        <v>-6.7522276218146686</v>
      </c>
    </row>
    <row r="45" spans="1:8" x14ac:dyDescent="0.2">
      <c r="A45" s="30" t="s">
        <v>37</v>
      </c>
      <c r="B45" s="31" t="s">
        <v>3</v>
      </c>
      <c r="C45" s="84">
        <v>104.2841681353503</v>
      </c>
      <c r="D45" s="84">
        <v>68.836603252269086</v>
      </c>
      <c r="E45" s="83">
        <v>103.22651562616005</v>
      </c>
      <c r="F45" s="22" t="s">
        <v>240</v>
      </c>
      <c r="G45" s="37">
        <v>-1.0142023742448885</v>
      </c>
      <c r="H45" s="33">
        <v>49.958758493443469</v>
      </c>
    </row>
    <row r="46" spans="1:8" x14ac:dyDescent="0.2">
      <c r="A46" s="34"/>
      <c r="B46" s="25" t="s">
        <v>241</v>
      </c>
      <c r="C46" s="82">
        <v>52.097515822929147</v>
      </c>
      <c r="D46" s="82">
        <v>32.008884730416611</v>
      </c>
      <c r="E46" s="82">
        <v>49.13361161942462</v>
      </c>
      <c r="F46" s="27"/>
      <c r="G46" s="28">
        <v>-5.6891468944092196</v>
      </c>
      <c r="H46" s="29">
        <v>53.499917392420571</v>
      </c>
    </row>
    <row r="47" spans="1:8" x14ac:dyDescent="0.2">
      <c r="A47" s="30" t="s">
        <v>38</v>
      </c>
      <c r="B47" s="31" t="s">
        <v>3</v>
      </c>
      <c r="C47" s="84">
        <v>105.82605388393576</v>
      </c>
      <c r="D47" s="84">
        <v>86.835306075921949</v>
      </c>
      <c r="E47" s="83">
        <v>99.642621725062554</v>
      </c>
      <c r="F47" s="22" t="s">
        <v>240</v>
      </c>
      <c r="G47" s="23">
        <v>-5.8430149589200937</v>
      </c>
      <c r="H47" s="24">
        <v>14.748972771447242</v>
      </c>
    </row>
    <row r="48" spans="1:8" x14ac:dyDescent="0.2">
      <c r="A48" s="30"/>
      <c r="B48" s="25" t="s">
        <v>241</v>
      </c>
      <c r="C48" s="82">
        <v>49.76825542935871</v>
      </c>
      <c r="D48" s="82">
        <v>39.749740831337036</v>
      </c>
      <c r="E48" s="82">
        <v>46.020925163208439</v>
      </c>
      <c r="F48" s="27"/>
      <c r="G48" s="38">
        <v>-7.5295592216794773</v>
      </c>
      <c r="H48" s="24">
        <v>15.776667220248797</v>
      </c>
    </row>
    <row r="49" spans="1:9" x14ac:dyDescent="0.2">
      <c r="A49" s="39" t="s">
        <v>39</v>
      </c>
      <c r="B49" s="31" t="s">
        <v>3</v>
      </c>
      <c r="C49" s="84">
        <v>1683.7532472702133</v>
      </c>
      <c r="D49" s="84">
        <v>1589.0848721890411</v>
      </c>
      <c r="E49" s="83">
        <v>1765.5962991575782</v>
      </c>
      <c r="F49" s="22" t="s">
        <v>240</v>
      </c>
      <c r="G49" s="37">
        <v>4.8607509455469824</v>
      </c>
      <c r="H49" s="33">
        <v>11.107740691369372</v>
      </c>
    </row>
    <row r="50" spans="1:9" x14ac:dyDescent="0.2">
      <c r="A50" s="34"/>
      <c r="B50" s="25" t="s">
        <v>241</v>
      </c>
      <c r="C50" s="82">
        <v>892.47476714259221</v>
      </c>
      <c r="D50" s="82">
        <v>715.64034266029489</v>
      </c>
      <c r="E50" s="82">
        <v>837.08931377556712</v>
      </c>
      <c r="F50" s="27"/>
      <c r="G50" s="28">
        <v>-6.2058284901825118</v>
      </c>
      <c r="H50" s="29">
        <v>16.970671421876844</v>
      </c>
    </row>
    <row r="51" spans="1:9" x14ac:dyDescent="0.2">
      <c r="A51" s="39" t="s">
        <v>40</v>
      </c>
      <c r="B51" s="31" t="s">
        <v>3</v>
      </c>
      <c r="C51" s="84">
        <v>850.75359543371451</v>
      </c>
      <c r="D51" s="84">
        <v>1149.7553216366809</v>
      </c>
      <c r="E51" s="83">
        <v>975.10106773648795</v>
      </c>
      <c r="F51" s="22" t="s">
        <v>240</v>
      </c>
      <c r="G51" s="23">
        <v>14.616155955165965</v>
      </c>
      <c r="H51" s="24">
        <v>-15.190558426950531</v>
      </c>
    </row>
    <row r="52" spans="1:9" x14ac:dyDescent="0.2">
      <c r="A52" s="34"/>
      <c r="B52" s="25" t="s">
        <v>241</v>
      </c>
      <c r="C52" s="82">
        <v>413.60537468702842</v>
      </c>
      <c r="D52" s="82">
        <v>559.960686570235</v>
      </c>
      <c r="E52" s="82">
        <v>474.61888332247776</v>
      </c>
      <c r="F52" s="27"/>
      <c r="G52" s="38">
        <v>14.751623738356329</v>
      </c>
      <c r="H52" s="24">
        <v>-15.240677657297098</v>
      </c>
    </row>
    <row r="53" spans="1:9" x14ac:dyDescent="0.2">
      <c r="A53" s="30" t="s">
        <v>41</v>
      </c>
      <c r="B53" s="31" t="s">
        <v>3</v>
      </c>
      <c r="C53" s="84">
        <v>7376.5297567928401</v>
      </c>
      <c r="D53" s="84">
        <v>7809.7645151006627</v>
      </c>
      <c r="E53" s="83">
        <v>9064.0682498511978</v>
      </c>
      <c r="F53" s="22" t="s">
        <v>240</v>
      </c>
      <c r="G53" s="37">
        <v>22.877132590759913</v>
      </c>
      <c r="H53" s="33">
        <v>16.060711335473201</v>
      </c>
    </row>
    <row r="54" spans="1:9" x14ac:dyDescent="0.2">
      <c r="A54" s="34"/>
      <c r="B54" s="25" t="s">
        <v>241</v>
      </c>
      <c r="C54" s="82">
        <v>3675.6158107062124</v>
      </c>
      <c r="D54" s="82">
        <v>3877.3200106495456</v>
      </c>
      <c r="E54" s="82">
        <v>4505.5139036256123</v>
      </c>
      <c r="F54" s="27"/>
      <c r="G54" s="28">
        <v>22.578477611890222</v>
      </c>
      <c r="H54" s="29">
        <v>16.201755110505545</v>
      </c>
    </row>
    <row r="55" spans="1:9" x14ac:dyDescent="0.2">
      <c r="A55" s="30" t="s">
        <v>24</v>
      </c>
      <c r="B55" s="31" t="s">
        <v>3</v>
      </c>
      <c r="C55" s="84">
        <v>1102.9747113874296</v>
      </c>
      <c r="D55" s="84">
        <v>1266.4031795747712</v>
      </c>
      <c r="E55" s="83">
        <v>1332.5911938020536</v>
      </c>
      <c r="F55" s="22" t="s">
        <v>240</v>
      </c>
      <c r="G55" s="23">
        <v>20.817928103336996</v>
      </c>
      <c r="H55" s="24">
        <v>5.2264567315368566</v>
      </c>
    </row>
    <row r="56" spans="1:9" ht="13.5" thickBot="1" x14ac:dyDescent="0.25">
      <c r="A56" s="56"/>
      <c r="B56" s="42" t="s">
        <v>241</v>
      </c>
      <c r="C56" s="86">
        <v>512.70683260982105</v>
      </c>
      <c r="D56" s="86">
        <v>764.17495062254477</v>
      </c>
      <c r="E56" s="86">
        <v>731.42802353704997</v>
      </c>
      <c r="F56" s="44"/>
      <c r="G56" s="57">
        <v>42.660088966218154</v>
      </c>
      <c r="H56" s="46">
        <v>-4.2852657050348313</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0">
        <v>12</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17</v>
      </c>
      <c r="B7" s="19" t="s">
        <v>3</v>
      </c>
      <c r="C7" s="20">
        <v>479818.33846073353</v>
      </c>
      <c r="D7" s="20">
        <v>455343.2281054082</v>
      </c>
      <c r="E7" s="21">
        <v>394585.92468955647</v>
      </c>
      <c r="F7" s="22" t="s">
        <v>240</v>
      </c>
      <c r="G7" s="23">
        <v>-17.763475661352217</v>
      </c>
      <c r="H7" s="24">
        <v>-13.343188097613904</v>
      </c>
    </row>
    <row r="8" spans="1:8" x14ac:dyDescent="0.2">
      <c r="A8" s="206"/>
      <c r="B8" s="25" t="s">
        <v>241</v>
      </c>
      <c r="C8" s="26">
        <v>216206.78834397183</v>
      </c>
      <c r="D8" s="26">
        <v>231159.27541463924</v>
      </c>
      <c r="E8" s="26">
        <v>192202.61101519037</v>
      </c>
      <c r="F8" s="27"/>
      <c r="G8" s="28">
        <v>-11.10241612330519</v>
      </c>
      <c r="H8" s="29">
        <v>-16.852736854089372</v>
      </c>
    </row>
    <row r="9" spans="1:8" x14ac:dyDescent="0.2">
      <c r="A9" s="30" t="s">
        <v>18</v>
      </c>
      <c r="B9" s="31" t="s">
        <v>3</v>
      </c>
      <c r="C9" s="20">
        <v>27408.687252173913</v>
      </c>
      <c r="D9" s="20">
        <v>29627.100888004174</v>
      </c>
      <c r="E9" s="21">
        <v>25606.122576066267</v>
      </c>
      <c r="F9" s="22" t="s">
        <v>240</v>
      </c>
      <c r="G9" s="32">
        <v>-6.57661806099334</v>
      </c>
      <c r="H9" s="33">
        <v>-13.571960102130603</v>
      </c>
    </row>
    <row r="10" spans="1:8" x14ac:dyDescent="0.2">
      <c r="A10" s="34"/>
      <c r="B10" s="25" t="s">
        <v>241</v>
      </c>
      <c r="C10" s="26">
        <v>12376.969608294783</v>
      </c>
      <c r="D10" s="26">
        <v>12979.410973913044</v>
      </c>
      <c r="E10" s="26">
        <v>11330.582617391305</v>
      </c>
      <c r="F10" s="27"/>
      <c r="G10" s="35">
        <v>-8.4543068620142066</v>
      </c>
      <c r="H10" s="29">
        <v>-12.703414352436127</v>
      </c>
    </row>
    <row r="11" spans="1:8" x14ac:dyDescent="0.2">
      <c r="A11" s="30" t="s">
        <v>19</v>
      </c>
      <c r="B11" s="31" t="s">
        <v>3</v>
      </c>
      <c r="C11" s="20">
        <v>69574.624173913035</v>
      </c>
      <c r="D11" s="20">
        <v>78453.00296001391</v>
      </c>
      <c r="E11" s="21">
        <v>61670.535140072752</v>
      </c>
      <c r="F11" s="22" t="s">
        <v>240</v>
      </c>
      <c r="G11" s="37">
        <v>-11.360591778523627</v>
      </c>
      <c r="H11" s="33">
        <v>-21.391746888892044</v>
      </c>
    </row>
    <row r="12" spans="1:8" x14ac:dyDescent="0.2">
      <c r="A12" s="34"/>
      <c r="B12" s="25" t="s">
        <v>241</v>
      </c>
      <c r="C12" s="26">
        <v>32818.565360982611</v>
      </c>
      <c r="D12" s="26">
        <v>43004.369913043476</v>
      </c>
      <c r="E12" s="26">
        <v>32072.275391304345</v>
      </c>
      <c r="F12" s="27"/>
      <c r="G12" s="28">
        <v>-2.2739871821622017</v>
      </c>
      <c r="H12" s="29">
        <v>-25.420892211289811</v>
      </c>
    </row>
    <row r="13" spans="1:8" x14ac:dyDescent="0.2">
      <c r="A13" s="30" t="s">
        <v>20</v>
      </c>
      <c r="B13" s="31" t="s">
        <v>3</v>
      </c>
      <c r="C13" s="20">
        <v>36547.916273291921</v>
      </c>
      <c r="D13" s="20">
        <v>28999.858552387577</v>
      </c>
      <c r="E13" s="21">
        <v>36446.286356187476</v>
      </c>
      <c r="F13" s="22" t="s">
        <v>240</v>
      </c>
      <c r="G13" s="23">
        <v>-0.27807308177159484</v>
      </c>
      <c r="H13" s="24">
        <v>25.677462496405283</v>
      </c>
    </row>
    <row r="14" spans="1:8" x14ac:dyDescent="0.2">
      <c r="A14" s="34"/>
      <c r="B14" s="25" t="s">
        <v>241</v>
      </c>
      <c r="C14" s="26">
        <v>16063.983505229813</v>
      </c>
      <c r="D14" s="26">
        <v>13811.033291925465</v>
      </c>
      <c r="E14" s="26">
        <v>16887.178757763977</v>
      </c>
      <c r="F14" s="27"/>
      <c r="G14" s="38">
        <v>5.1244777004792326</v>
      </c>
      <c r="H14" s="24">
        <v>22.273101518312615</v>
      </c>
    </row>
    <row r="15" spans="1:8" x14ac:dyDescent="0.2">
      <c r="A15" s="30" t="s">
        <v>21</v>
      </c>
      <c r="B15" s="31" t="s">
        <v>3</v>
      </c>
      <c r="C15" s="20">
        <v>6986.5589130434782</v>
      </c>
      <c r="D15" s="20">
        <v>7879.9170777797099</v>
      </c>
      <c r="E15" s="21">
        <v>7247.2809566639326</v>
      </c>
      <c r="F15" s="22" t="s">
        <v>240</v>
      </c>
      <c r="G15" s="37">
        <v>3.7317661937080686</v>
      </c>
      <c r="H15" s="33">
        <v>-8.0284616560207809</v>
      </c>
    </row>
    <row r="16" spans="1:8" x14ac:dyDescent="0.2">
      <c r="A16" s="34"/>
      <c r="B16" s="25" t="s">
        <v>241</v>
      </c>
      <c r="C16" s="26">
        <v>3248.4118556920289</v>
      </c>
      <c r="D16" s="26">
        <v>4171.4680434782613</v>
      </c>
      <c r="E16" s="26">
        <v>3667.1771376811594</v>
      </c>
      <c r="F16" s="27"/>
      <c r="G16" s="28">
        <v>12.891385101164104</v>
      </c>
      <c r="H16" s="29">
        <v>-12.089051157553953</v>
      </c>
    </row>
    <row r="17" spans="1:8" x14ac:dyDescent="0.2">
      <c r="A17" s="30" t="s">
        <v>22</v>
      </c>
      <c r="B17" s="31" t="s">
        <v>3</v>
      </c>
      <c r="C17" s="20">
        <v>6720.5589130434782</v>
      </c>
      <c r="D17" s="20">
        <v>7994.9170777797099</v>
      </c>
      <c r="E17" s="21">
        <v>9145.3667772187237</v>
      </c>
      <c r="F17" s="22" t="s">
        <v>240</v>
      </c>
      <c r="G17" s="37">
        <v>36.080449491620413</v>
      </c>
      <c r="H17" s="33">
        <v>14.389763999384826</v>
      </c>
    </row>
    <row r="18" spans="1:8" x14ac:dyDescent="0.2">
      <c r="A18" s="34"/>
      <c r="B18" s="25" t="s">
        <v>241</v>
      </c>
      <c r="C18" s="26">
        <v>2828.4118556920289</v>
      </c>
      <c r="D18" s="26">
        <v>3052.4680434782608</v>
      </c>
      <c r="E18" s="26">
        <v>3603.1771376811594</v>
      </c>
      <c r="F18" s="27"/>
      <c r="G18" s="28">
        <v>27.392237111082537</v>
      </c>
      <c r="H18" s="29">
        <v>18.041436842541685</v>
      </c>
    </row>
    <row r="19" spans="1:8" x14ac:dyDescent="0.2">
      <c r="A19" s="30" t="s">
        <v>189</v>
      </c>
      <c r="B19" s="31" t="s">
        <v>3</v>
      </c>
      <c r="C19" s="20">
        <v>287166.7906832298</v>
      </c>
      <c r="D19" s="20">
        <v>258952.14638096894</v>
      </c>
      <c r="E19" s="21">
        <v>223003.85497998999</v>
      </c>
      <c r="F19" s="22" t="s">
        <v>240</v>
      </c>
      <c r="G19" s="23">
        <v>-22.343438651308801</v>
      </c>
      <c r="H19" s="24">
        <v>-13.882214109201485</v>
      </c>
    </row>
    <row r="20" spans="1:8" x14ac:dyDescent="0.2">
      <c r="A20" s="30"/>
      <c r="B20" s="25" t="s">
        <v>241</v>
      </c>
      <c r="C20" s="26">
        <v>127284.95876307454</v>
      </c>
      <c r="D20" s="26">
        <v>131489.58322981367</v>
      </c>
      <c r="E20" s="26">
        <v>107994.94689440994</v>
      </c>
      <c r="F20" s="27"/>
      <c r="G20" s="38">
        <v>-15.154981433879087</v>
      </c>
      <c r="H20" s="24">
        <v>-17.868059019048289</v>
      </c>
    </row>
    <row r="21" spans="1:8" x14ac:dyDescent="0.2">
      <c r="A21" s="39" t="s">
        <v>12</v>
      </c>
      <c r="B21" s="31" t="s">
        <v>3</v>
      </c>
      <c r="C21" s="20">
        <v>2391.1353478260871</v>
      </c>
      <c r="D21" s="20">
        <v>2548.7502466678261</v>
      </c>
      <c r="E21" s="21">
        <v>2635.8692569980767</v>
      </c>
      <c r="F21" s="22" t="s">
        <v>240</v>
      </c>
      <c r="G21" s="37">
        <v>10.235050449757722</v>
      </c>
      <c r="H21" s="33">
        <v>3.4181069896569056</v>
      </c>
    </row>
    <row r="22" spans="1:8" x14ac:dyDescent="0.2">
      <c r="A22" s="34"/>
      <c r="B22" s="25" t="s">
        <v>241</v>
      </c>
      <c r="C22" s="26">
        <v>1068.0471134152174</v>
      </c>
      <c r="D22" s="26">
        <v>1170.2808260869565</v>
      </c>
      <c r="E22" s="26">
        <v>1199.1062826086954</v>
      </c>
      <c r="F22" s="27"/>
      <c r="G22" s="28">
        <v>12.270916474311662</v>
      </c>
      <c r="H22" s="29">
        <v>2.4631230281813714</v>
      </c>
    </row>
    <row r="23" spans="1:8" x14ac:dyDescent="0.2">
      <c r="A23" s="39" t="s">
        <v>23</v>
      </c>
      <c r="B23" s="31" t="s">
        <v>3</v>
      </c>
      <c r="C23" s="20">
        <v>13589.558913043478</v>
      </c>
      <c r="D23" s="20">
        <v>13380.91707777971</v>
      </c>
      <c r="E23" s="21">
        <v>12156.731989128049</v>
      </c>
      <c r="F23" s="22" t="s">
        <v>240</v>
      </c>
      <c r="G23" s="23">
        <v>-10.543586683598534</v>
      </c>
      <c r="H23" s="24">
        <v>-9.1487383229101482</v>
      </c>
    </row>
    <row r="24" spans="1:8" x14ac:dyDescent="0.2">
      <c r="A24" s="34"/>
      <c r="B24" s="25" t="s">
        <v>241</v>
      </c>
      <c r="C24" s="26">
        <v>6694.4118556920293</v>
      </c>
      <c r="D24" s="26">
        <v>6928.4680434782613</v>
      </c>
      <c r="E24" s="26">
        <v>6189.1771376811594</v>
      </c>
      <c r="F24" s="27"/>
      <c r="G24" s="28">
        <v>-7.547111365448572</v>
      </c>
      <c r="H24" s="29">
        <v>-10.670337239889463</v>
      </c>
    </row>
    <row r="25" spans="1:8" x14ac:dyDescent="0.2">
      <c r="A25" s="30" t="s">
        <v>24</v>
      </c>
      <c r="B25" s="31" t="s">
        <v>3</v>
      </c>
      <c r="C25" s="20">
        <v>41764.117826086956</v>
      </c>
      <c r="D25" s="20">
        <v>40776.834155559423</v>
      </c>
      <c r="E25" s="21">
        <v>32355.158523309176</v>
      </c>
      <c r="F25" s="22" t="s">
        <v>240</v>
      </c>
      <c r="G25" s="23">
        <v>-22.52881131587246</v>
      </c>
      <c r="H25" s="24">
        <v>-20.653088467148834</v>
      </c>
    </row>
    <row r="26" spans="1:8" ht="13.5" thickBot="1" x14ac:dyDescent="0.25">
      <c r="A26" s="41"/>
      <c r="B26" s="42" t="s">
        <v>241</v>
      </c>
      <c r="C26" s="43">
        <v>20022.823711384059</v>
      </c>
      <c r="D26" s="43">
        <v>22061.936086956521</v>
      </c>
      <c r="E26" s="43">
        <v>16786.354275362319</v>
      </c>
      <c r="F26" s="44"/>
      <c r="G26" s="45">
        <v>-16.163901169352215</v>
      </c>
      <c r="H26" s="46">
        <v>-23.912596749445015</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x14ac:dyDescent="0.2">
      <c r="A35" s="205" t="s">
        <v>17</v>
      </c>
      <c r="B35" s="19" t="s">
        <v>3</v>
      </c>
      <c r="C35" s="80">
        <v>8740.3543440821541</v>
      </c>
      <c r="D35" s="80">
        <v>9329.6259879792087</v>
      </c>
      <c r="E35" s="83">
        <v>9113.2416862857535</v>
      </c>
      <c r="F35" s="22" t="s">
        <v>240</v>
      </c>
      <c r="G35" s="23">
        <v>4.2662725963286761</v>
      </c>
      <c r="H35" s="24">
        <v>-2.3193245042433261</v>
      </c>
    </row>
    <row r="36" spans="1:8" x14ac:dyDescent="0.2">
      <c r="A36" s="206"/>
      <c r="B36" s="25" t="s">
        <v>241</v>
      </c>
      <c r="C36" s="82">
        <v>4291.2065040304733</v>
      </c>
      <c r="D36" s="82">
        <v>4964.3175105394357</v>
      </c>
      <c r="E36" s="82">
        <v>4717.4220546755651</v>
      </c>
      <c r="F36" s="27"/>
      <c r="G36" s="28">
        <v>9.9323010963180849</v>
      </c>
      <c r="H36" s="29">
        <v>-4.9734017886588049</v>
      </c>
    </row>
    <row r="37" spans="1:8" x14ac:dyDescent="0.2">
      <c r="A37" s="30" t="s">
        <v>18</v>
      </c>
      <c r="B37" s="31" t="s">
        <v>3</v>
      </c>
      <c r="C37" s="80">
        <v>2536.459741980294</v>
      </c>
      <c r="D37" s="80">
        <v>2849.0976717462172</v>
      </c>
      <c r="E37" s="83">
        <v>2974.2393416887289</v>
      </c>
      <c r="F37" s="22" t="s">
        <v>240</v>
      </c>
      <c r="G37" s="32">
        <v>17.259473606572854</v>
      </c>
      <c r="H37" s="33">
        <v>4.3923264261352131</v>
      </c>
    </row>
    <row r="38" spans="1:8" x14ac:dyDescent="0.2">
      <c r="A38" s="34"/>
      <c r="B38" s="25" t="s">
        <v>241</v>
      </c>
      <c r="C38" s="82">
        <v>1382.8968774969635</v>
      </c>
      <c r="D38" s="82">
        <v>1509.9517785550565</v>
      </c>
      <c r="E38" s="82">
        <v>1591.0911481397993</v>
      </c>
      <c r="F38" s="27"/>
      <c r="G38" s="35">
        <v>15.054938226461715</v>
      </c>
      <c r="H38" s="29">
        <v>5.3736397901652708</v>
      </c>
    </row>
    <row r="39" spans="1:8" x14ac:dyDescent="0.2">
      <c r="A39" s="30" t="s">
        <v>19</v>
      </c>
      <c r="B39" s="31" t="s">
        <v>3</v>
      </c>
      <c r="C39" s="80">
        <v>2983.9453053103271</v>
      </c>
      <c r="D39" s="80">
        <v>3386.5920524151948</v>
      </c>
      <c r="E39" s="83">
        <v>3042.3638356287624</v>
      </c>
      <c r="F39" s="22" t="s">
        <v>240</v>
      </c>
      <c r="G39" s="37">
        <v>1.9577614312994172</v>
      </c>
      <c r="H39" s="33">
        <v>-10.16444294023961</v>
      </c>
    </row>
    <row r="40" spans="1:8" x14ac:dyDescent="0.2">
      <c r="A40" s="34"/>
      <c r="B40" s="25" t="s">
        <v>241</v>
      </c>
      <c r="C40" s="82">
        <v>1399.4047500481042</v>
      </c>
      <c r="D40" s="82">
        <v>1857.2711508051621</v>
      </c>
      <c r="E40" s="82">
        <v>1579.3156544532058</v>
      </c>
      <c r="F40" s="27"/>
      <c r="G40" s="28">
        <v>12.856245085556338</v>
      </c>
      <c r="H40" s="29">
        <v>-14.965800563447999</v>
      </c>
    </row>
    <row r="41" spans="1:8" x14ac:dyDescent="0.2">
      <c r="A41" s="30" t="s">
        <v>20</v>
      </c>
      <c r="B41" s="31" t="s">
        <v>3</v>
      </c>
      <c r="C41" s="80">
        <v>402.88467715266017</v>
      </c>
      <c r="D41" s="80">
        <v>336.74564946206692</v>
      </c>
      <c r="E41" s="83">
        <v>453.13012731644284</v>
      </c>
      <c r="F41" s="22" t="s">
        <v>240</v>
      </c>
      <c r="G41" s="23">
        <v>12.471422472278277</v>
      </c>
      <c r="H41" s="24">
        <v>34.56153866881246</v>
      </c>
    </row>
    <row r="42" spans="1:8" x14ac:dyDescent="0.2">
      <c r="A42" s="34"/>
      <c r="B42" s="25" t="s">
        <v>241</v>
      </c>
      <c r="C42" s="82">
        <v>188.52537640227021</v>
      </c>
      <c r="D42" s="82">
        <v>163.97812336460279</v>
      </c>
      <c r="E42" s="82">
        <v>217.70331637530018</v>
      </c>
      <c r="F42" s="27"/>
      <c r="G42" s="38">
        <v>15.476929700313065</v>
      </c>
      <c r="H42" s="24">
        <v>32.76363450704963</v>
      </c>
    </row>
    <row r="43" spans="1:8" x14ac:dyDescent="0.2">
      <c r="A43" s="30" t="s">
        <v>21</v>
      </c>
      <c r="B43" s="31" t="s">
        <v>3</v>
      </c>
      <c r="C43" s="80">
        <v>67.030808103509273</v>
      </c>
      <c r="D43" s="80">
        <v>76.292620688562749</v>
      </c>
      <c r="E43" s="83">
        <v>76.265701358769093</v>
      </c>
      <c r="F43" s="22" t="s">
        <v>240</v>
      </c>
      <c r="G43" s="37">
        <v>13.777087754930918</v>
      </c>
      <c r="H43" s="33">
        <v>-3.5284316557365969E-2</v>
      </c>
    </row>
    <row r="44" spans="1:8" x14ac:dyDescent="0.2">
      <c r="A44" s="34"/>
      <c r="B44" s="25" t="s">
        <v>241</v>
      </c>
      <c r="C44" s="82">
        <v>32.533745274813356</v>
      </c>
      <c r="D44" s="82">
        <v>37.979412955675052</v>
      </c>
      <c r="E44" s="82">
        <v>37.643951238984762</v>
      </c>
      <c r="F44" s="27"/>
      <c r="G44" s="28">
        <v>15.707401410459724</v>
      </c>
      <c r="H44" s="29">
        <v>-0.88327251682852648</v>
      </c>
    </row>
    <row r="45" spans="1:8" x14ac:dyDescent="0.2">
      <c r="A45" s="30" t="s">
        <v>22</v>
      </c>
      <c r="B45" s="31" t="s">
        <v>3</v>
      </c>
      <c r="C45" s="80">
        <v>33.438433235771839</v>
      </c>
      <c r="D45" s="80">
        <v>39.469825771610353</v>
      </c>
      <c r="E45" s="83">
        <v>51.187997517468389</v>
      </c>
      <c r="F45" s="22" t="s">
        <v>240</v>
      </c>
      <c r="G45" s="37">
        <v>53.081327574607741</v>
      </c>
      <c r="H45" s="33">
        <v>29.688937097580549</v>
      </c>
    </row>
    <row r="46" spans="1:8" x14ac:dyDescent="0.2">
      <c r="A46" s="34"/>
      <c r="B46" s="25" t="s">
        <v>241</v>
      </c>
      <c r="C46" s="82">
        <v>13.55058862249099</v>
      </c>
      <c r="D46" s="82">
        <v>14.696012636411679</v>
      </c>
      <c r="E46" s="82">
        <v>19.589304844865193</v>
      </c>
      <c r="F46" s="27"/>
      <c r="G46" s="28">
        <v>44.564235477942759</v>
      </c>
      <c r="H46" s="29">
        <v>33.296733811521193</v>
      </c>
    </row>
    <row r="47" spans="1:8" x14ac:dyDescent="0.2">
      <c r="A47" s="30" t="s">
        <v>189</v>
      </c>
      <c r="B47" s="31" t="s">
        <v>3</v>
      </c>
      <c r="C47" s="80">
        <v>1488.2956952963566</v>
      </c>
      <c r="D47" s="80">
        <v>1408.6781784667883</v>
      </c>
      <c r="E47" s="83">
        <v>1295.1612879307643</v>
      </c>
      <c r="F47" s="22" t="s">
        <v>240</v>
      </c>
      <c r="G47" s="23">
        <v>-12.976884094738622</v>
      </c>
      <c r="H47" s="24">
        <v>-8.0583977427389613</v>
      </c>
    </row>
    <row r="48" spans="1:8" x14ac:dyDescent="0.2">
      <c r="A48" s="30"/>
      <c r="B48" s="25" t="s">
        <v>241</v>
      </c>
      <c r="C48" s="82">
        <v>698.63474915626773</v>
      </c>
      <c r="D48" s="82">
        <v>732.18799387885633</v>
      </c>
      <c r="E48" s="82">
        <v>649.9474486392329</v>
      </c>
      <c r="F48" s="27"/>
      <c r="G48" s="38">
        <v>-6.9689205376391499</v>
      </c>
      <c r="H48" s="24">
        <v>-11.232162494763671</v>
      </c>
    </row>
    <row r="49" spans="1:8" x14ac:dyDescent="0.2">
      <c r="A49" s="39" t="s">
        <v>12</v>
      </c>
      <c r="B49" s="31" t="s">
        <v>3</v>
      </c>
      <c r="C49" s="80">
        <v>25.390669657697376</v>
      </c>
      <c r="D49" s="80">
        <v>31.571571064705406</v>
      </c>
      <c r="E49" s="83">
        <v>42.315258975498018</v>
      </c>
      <c r="F49" s="22" t="s">
        <v>240</v>
      </c>
      <c r="G49" s="37">
        <v>66.656726844814926</v>
      </c>
      <c r="H49" s="33">
        <v>34.029627124901708</v>
      </c>
    </row>
    <row r="50" spans="1:8" x14ac:dyDescent="0.2">
      <c r="A50" s="34"/>
      <c r="B50" s="25" t="s">
        <v>241</v>
      </c>
      <c r="C50" s="82">
        <v>11.223950179834342</v>
      </c>
      <c r="D50" s="82">
        <v>15.08522091561386</v>
      </c>
      <c r="E50" s="82">
        <v>19.687777915666693</v>
      </c>
      <c r="F50" s="27"/>
      <c r="G50" s="28">
        <v>75.408635999106622</v>
      </c>
      <c r="H50" s="29">
        <v>30.510371878538336</v>
      </c>
    </row>
    <row r="51" spans="1:8" x14ac:dyDescent="0.2">
      <c r="A51" s="39" t="s">
        <v>23</v>
      </c>
      <c r="B51" s="31" t="s">
        <v>3</v>
      </c>
      <c r="C51" s="80">
        <v>346.31066871556163</v>
      </c>
      <c r="D51" s="80">
        <v>368.32905341325869</v>
      </c>
      <c r="E51" s="83">
        <v>390.55779160300312</v>
      </c>
      <c r="F51" s="22" t="s">
        <v>240</v>
      </c>
      <c r="G51" s="23">
        <v>12.776713767309133</v>
      </c>
      <c r="H51" s="24">
        <v>6.035021669823081</v>
      </c>
    </row>
    <row r="52" spans="1:8" x14ac:dyDescent="0.2">
      <c r="A52" s="34"/>
      <c r="B52" s="25" t="s">
        <v>241</v>
      </c>
      <c r="C52" s="82">
        <v>148.55539200936423</v>
      </c>
      <c r="D52" s="82">
        <v>167.97787313696097</v>
      </c>
      <c r="E52" s="82">
        <v>174.44347999878724</v>
      </c>
      <c r="F52" s="27"/>
      <c r="G52" s="28">
        <v>17.426555602768801</v>
      </c>
      <c r="H52" s="29">
        <v>3.8490824660903655</v>
      </c>
    </row>
    <row r="53" spans="1:8" x14ac:dyDescent="0.2">
      <c r="A53" s="30" t="s">
        <v>24</v>
      </c>
      <c r="B53" s="31" t="s">
        <v>3</v>
      </c>
      <c r="C53" s="80">
        <v>856.59834462997514</v>
      </c>
      <c r="D53" s="80">
        <v>832.84936495080433</v>
      </c>
      <c r="E53" s="83">
        <v>804.69767568731311</v>
      </c>
      <c r="F53" s="22" t="s">
        <v>240</v>
      </c>
      <c r="G53" s="23">
        <v>-6.058927065179148</v>
      </c>
      <c r="H53" s="24">
        <v>-3.3801657836593364</v>
      </c>
    </row>
    <row r="54" spans="1:8" ht="13.5" thickBot="1" x14ac:dyDescent="0.25">
      <c r="A54" s="41"/>
      <c r="B54" s="42" t="s">
        <v>241</v>
      </c>
      <c r="C54" s="86">
        <v>415.88107484036522</v>
      </c>
      <c r="D54" s="86">
        <v>465.18994429109597</v>
      </c>
      <c r="E54" s="86">
        <v>427.9999730697233</v>
      </c>
      <c r="F54" s="44"/>
      <c r="G54" s="45">
        <v>2.9140297461263174</v>
      </c>
      <c r="H54" s="46">
        <v>-7.9945776295845263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13</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2020-123998358-267</_dlc_DocId>
    <_dlc_DocIdUrl xmlns="6edf9311-6556-4af2-85ff-d57844cfe120">
      <Url>https://finansnorge.sharepoint.com/sites/intranett/arkiv/_layouts/15/DocIdRedir.aspx?ID=2020-123998358-267</Url>
      <Description>2020-123998358-267</Description>
    </_dlc_DocIdUrl>
  </documentManagement>
</p:properties>
</file>

<file path=customXml/itemProps1.xml><?xml version="1.0" encoding="utf-8"?>
<ds:datastoreItem xmlns:ds="http://schemas.openxmlformats.org/officeDocument/2006/customXml" ds:itemID="{57D08FCE-2676-4CE2-8BB4-D3CCAB8473C6}"/>
</file>

<file path=customXml/itemProps2.xml><?xml version="1.0" encoding="utf-8"?>
<ds:datastoreItem xmlns:ds="http://schemas.openxmlformats.org/officeDocument/2006/customXml" ds:itemID="{B4FF1D05-9E76-412E-A81E-8098B631F774}"/>
</file>

<file path=customXml/itemProps3.xml><?xml version="1.0" encoding="utf-8"?>
<ds:datastoreItem xmlns:ds="http://schemas.openxmlformats.org/officeDocument/2006/customXml" ds:itemID="{8FCFE99A-3773-470F-BD16-A33144B7C3A1}"/>
</file>

<file path=customXml/itemProps4.xml><?xml version="1.0" encoding="utf-8"?>
<ds:datastoreItem xmlns:ds="http://schemas.openxmlformats.org/officeDocument/2006/customXml" ds:itemID="{C960B618-452A-4A3C-99B4-D092A3E48C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2022-09-02T07:41:51Z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6447e64e-b461-424e-bdb0-7f07001245b1</vt:lpwstr>
  </property>
</Properties>
</file>