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13_ncr:1_{F1FD9C34-446A-46CA-8E66-D9CC540638FB}" xr6:coauthVersionLast="46" xr6:coauthVersionMax="46"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2">'Tab1'!$A$1:$G$52</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4" i="19" l="1"/>
  <c r="T223" i="19"/>
  <c r="T222" i="19"/>
  <c r="T221" i="19"/>
  <c r="Q224" i="19"/>
  <c r="Q223" i="19"/>
  <c r="Q222" i="19"/>
  <c r="Q221" i="19"/>
  <c r="N224" i="19"/>
  <c r="N223" i="19"/>
  <c r="N222" i="19"/>
  <c r="N221" i="19"/>
  <c r="D224" i="19"/>
  <c r="C224" i="19"/>
  <c r="D223" i="19"/>
  <c r="C223" i="19"/>
  <c r="D222" i="19"/>
  <c r="C222" i="19"/>
  <c r="D221" i="19"/>
  <c r="C221" i="19"/>
  <c r="B124" i="21"/>
  <c r="X91" i="19" l="1"/>
  <c r="Y131" i="19"/>
  <c r="Y125" i="19"/>
  <c r="Y70" i="19"/>
  <c r="S228" i="19"/>
  <c r="S226" i="19" s="1"/>
  <c r="R228" i="19"/>
  <c r="R226" i="19" s="1"/>
  <c r="P228" i="19"/>
  <c r="P226" i="19" s="1"/>
  <c r="O228" i="19"/>
  <c r="O226" i="19" s="1"/>
  <c r="M228" i="19"/>
  <c r="M226" i="19" s="1"/>
  <c r="L228" i="19"/>
  <c r="L226" i="19" s="1"/>
  <c r="G227" i="19"/>
  <c r="E227"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X131" i="19"/>
  <c r="W131" i="19"/>
  <c r="T131" i="19"/>
  <c r="Q131" i="19"/>
  <c r="N131" i="19"/>
  <c r="Y130" i="19"/>
  <c r="X130" i="19"/>
  <c r="T130" i="19"/>
  <c r="Q130" i="19"/>
  <c r="N130" i="19"/>
  <c r="Y129" i="19"/>
  <c r="X129" i="19"/>
  <c r="T129" i="19"/>
  <c r="Q129" i="19"/>
  <c r="N129" i="19"/>
  <c r="T128" i="19"/>
  <c r="Q128" i="19"/>
  <c r="N128" i="19"/>
  <c r="D128" i="19"/>
  <c r="D129" i="19" s="1"/>
  <c r="C128" i="19"/>
  <c r="T127" i="19"/>
  <c r="Q127" i="19"/>
  <c r="N127" i="19"/>
  <c r="T126" i="19"/>
  <c r="Q126" i="19"/>
  <c r="N126" i="19"/>
  <c r="X125" i="19"/>
  <c r="W125" i="19"/>
  <c r="T125" i="19"/>
  <c r="Q125" i="19"/>
  <c r="N125" i="19"/>
  <c r="C125" i="19"/>
  <c r="Y124" i="19"/>
  <c r="X124" i="19"/>
  <c r="W124" i="19"/>
  <c r="T124" i="19"/>
  <c r="Q124" i="19"/>
  <c r="N124" i="19"/>
  <c r="D124" i="19"/>
  <c r="D125" i="19" s="1"/>
  <c r="C124" i="19"/>
  <c r="C126" i="19" s="1"/>
  <c r="Y123" i="19"/>
  <c r="X123" i="19"/>
  <c r="W123" i="19"/>
  <c r="T123" i="19"/>
  <c r="Q123" i="19"/>
  <c r="N123" i="19"/>
  <c r="Y122" i="19"/>
  <c r="X122" i="19"/>
  <c r="T122" i="19"/>
  <c r="Q122" i="19"/>
  <c r="N122" i="19"/>
  <c r="T121" i="19"/>
  <c r="Q121" i="19"/>
  <c r="N121" i="19"/>
  <c r="C121" i="19"/>
  <c r="C122" i="19" s="1"/>
  <c r="T120" i="19"/>
  <c r="Q120" i="19"/>
  <c r="N120" i="19"/>
  <c r="D120" i="19"/>
  <c r="C120" i="19"/>
  <c r="T119" i="19"/>
  <c r="Q119" i="19"/>
  <c r="N119" i="19"/>
  <c r="T118" i="19"/>
  <c r="Q118" i="19"/>
  <c r="N118" i="19"/>
  <c r="Y117" i="19"/>
  <c r="X117" i="19"/>
  <c r="W117" i="19"/>
  <c r="T117" i="19"/>
  <c r="Q117" i="19"/>
  <c r="N117" i="19"/>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Y104" i="19" s="1"/>
  <c r="X101" i="19"/>
  <c r="W101" i="19"/>
  <c r="N101" i="19"/>
  <c r="N100" i="19"/>
  <c r="N99" i="19"/>
  <c r="N98" i="19"/>
  <c r="N97" i="19"/>
  <c r="N96" i="19"/>
  <c r="N95" i="19"/>
  <c r="N94" i="19"/>
  <c r="N93" i="19"/>
  <c r="Y92" i="19"/>
  <c r="W92" i="19"/>
  <c r="N92" i="19"/>
  <c r="Y91" i="19"/>
  <c r="W91" i="19"/>
  <c r="N91" i="19"/>
  <c r="Y90" i="19"/>
  <c r="X90" i="19"/>
  <c r="W90" i="19"/>
  <c r="N90" i="19"/>
  <c r="Y89" i="19"/>
  <c r="X89" i="19"/>
  <c r="W89" i="19"/>
  <c r="N89" i="19"/>
  <c r="Y88" i="19"/>
  <c r="X88" i="19"/>
  <c r="N88" i="19"/>
  <c r="Y87" i="19"/>
  <c r="X87" i="19"/>
  <c r="N87" i="19"/>
  <c r="Y86" i="19"/>
  <c r="X86" i="19"/>
  <c r="W86" i="19"/>
  <c r="N86"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AD61" i="19"/>
  <c r="P61" i="19"/>
  <c r="AD32" i="19"/>
  <c r="W32" i="19"/>
  <c r="B18" i="21" s="1"/>
  <c r="I32" i="19"/>
  <c r="B14" i="21" s="1"/>
  <c r="A32" i="19"/>
  <c r="AD6" i="19"/>
  <c r="W6" i="19"/>
  <c r="B17" i="21" s="1"/>
  <c r="I6" i="19"/>
  <c r="B13" i="21" s="1"/>
  <c r="A6" i="19"/>
  <c r="B11" i="21" s="1"/>
  <c r="A51" i="23"/>
  <c r="AD62" i="19"/>
  <c r="B123" i="21"/>
  <c r="I61" i="19" s="1"/>
  <c r="B61" i="21"/>
  <c r="H24" i="21"/>
  <c r="H26" i="21" s="1"/>
  <c r="B20" i="21"/>
  <c r="B19" i="21"/>
  <c r="B15" i="21"/>
  <c r="B12" i="21"/>
  <c r="X115" i="19" l="1"/>
  <c r="X104" i="19"/>
  <c r="Y115" i="19"/>
  <c r="W115" i="19"/>
  <c r="X78" i="19"/>
  <c r="W104" i="19"/>
  <c r="Y78" i="19"/>
  <c r="Z78" i="19"/>
  <c r="H28" i="21"/>
  <c r="H29" i="21" s="1"/>
  <c r="H31" i="21" s="1"/>
  <c r="H27" i="21"/>
  <c r="W82" i="19"/>
  <c r="W100" i="19" s="1"/>
  <c r="W111" i="19" s="1"/>
  <c r="A62" i="19"/>
  <c r="P62" i="19"/>
  <c r="D121" i="19"/>
  <c r="D122" i="19" s="1"/>
  <c r="Y82" i="19"/>
  <c r="Y100" i="19" s="1"/>
  <c r="Y111" i="19" s="1"/>
  <c r="Z70" i="19"/>
  <c r="C129" i="19"/>
  <c r="C130" i="19" s="1"/>
  <c r="Y121" i="19"/>
  <c r="D130" i="19"/>
  <c r="W87" i="19"/>
  <c r="A61" i="19"/>
  <c r="W62" i="19"/>
  <c r="A52" i="23"/>
  <c r="Y85" i="19"/>
  <c r="Y93" i="19" s="1"/>
  <c r="Y95" i="19" s="1"/>
  <c r="C117" i="19"/>
  <c r="C118" i="19" s="1"/>
  <c r="W128" i="19"/>
  <c r="W129" i="19"/>
  <c r="W130" i="19"/>
  <c r="H53" i="24"/>
  <c r="A53" i="24"/>
  <c r="B62" i="21"/>
  <c r="D126" i="19"/>
  <c r="D117" i="19"/>
  <c r="D118" i="19" s="1"/>
  <c r="X128" i="19"/>
  <c r="X121" i="19"/>
  <c r="P32" i="19"/>
  <c r="B16" i="21" s="1"/>
  <c r="I62" i="19"/>
  <c r="X70" i="19"/>
  <c r="H52" i="24"/>
  <c r="A52" i="24"/>
  <c r="W61" i="19"/>
  <c r="W88" i="19"/>
  <c r="W121" i="19"/>
  <c r="W122" i="19"/>
  <c r="Y128" i="19"/>
  <c r="X82" i="19"/>
  <c r="X100" i="19" s="1"/>
  <c r="X111" i="19" s="1"/>
  <c r="O227" i="19"/>
  <c r="W93" i="19" l="1"/>
  <c r="W95" i="19" s="1"/>
  <c r="P227" i="19"/>
  <c r="S227" i="19"/>
  <c r="X92" i="19"/>
  <c r="X93" i="19" s="1"/>
  <c r="X95" i="19" s="1"/>
  <c r="R227" i="19"/>
  <c r="L227" i="19"/>
  <c r="M227" i="19"/>
  <c r="H32" i="21"/>
  <c r="H33" i="21"/>
  <c r="H34" i="21" s="1"/>
  <c r="H35" i="21" s="1"/>
  <c r="H36" i="21" s="1"/>
  <c r="H37" i="21" s="1"/>
  <c r="H38" i="21" s="1"/>
  <c r="H40" i="21" s="1"/>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<sst xmlns="http://schemas.openxmlformats.org/spreadsheetml/2006/main" count="1536" uniqueCount="244">
  <si>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</si>
  <si>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</si>
  <si>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</si>
  <si>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</si>
  <si>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</si>
  <si>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</si>
  <si>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</si>
  <si>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</si>
  <si>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</si>
  <si>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</si>
  <si>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</si>
  <si>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</si>
  <si>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</si>
  <si>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</si>
  <si>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</si>
  <si>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</si>
  <si>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</si>
  <si>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</si>
  <si>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</si>
  <si>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</si>
  <si>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</si>
  <si>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</si>
  <si>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</si>
  <si>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</si>
  <si>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</si>
  <si>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</si>
  <si>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</si>
  <si>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</si>
  <si>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</si>
  <si>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</si>
  <si>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</si>
  <si>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</si>
  <si>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</si>
  <si>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</si>
  <si>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</si>
  <si>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</si>
  <si>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</si>
  <si>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</si>
  <si>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</si>
  <si>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</si>
  <si>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</si>
  <si>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</si>
  <si>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</si>
  <si>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</si>
  <si>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</si>
  <si>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</si>
  <si>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</si>
  <si>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</si>
  <si>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</si>
  <si>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</si>
  <si>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</si>
  <si>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</si>
  <si>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</si>
  <si>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</si>
  <si>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</si>
  <si>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</si>
  <si>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</si>
  <si>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</si>
  <si>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</si>
  <si>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</si>
  <si>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</si>
  <si>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</si>
  <si>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</si>
  <si>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</si>
  <si>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</si>
  <si>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</si>
  <si>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</si>
  <si>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</si>
  <si>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</si>
  <si>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</si>
  <si>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</si>
  <si>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</si>
  <si>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</si>
  <si>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</si>
  <si>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</si>
  <si>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</si>
  <si>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</si>
  <si>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</si>
  <si>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</si>
  <si>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</si>
  <si>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</si>
  <si>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</si>
  <si>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</si>
  <si>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</si>
  <si>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</si>
  <si>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</si>
  <si>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</si>
  <si>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</si>
  <si>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</si>
  <si>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</si>
  <si>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</si>
  <si>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</si>
  <si>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</si>
  <si>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</si>
  <si>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</si>
  <si>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</si>
  <si>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</si>
  <si>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</si>
  <si>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</si>
  <si>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</si>
  <si>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</si>
  <si>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</si>
  <si>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</si>
  <si>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</si>
  <si>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</si>
  <si>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</si>
  <si>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</si>
  <si>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</si>
  <si>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</si>
  <si>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</si>
  <si>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</si>
  <si>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</si>
  <si>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</si>
  <si>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</si>
  <si>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</si>
  <si>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</si>
  <si>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</si>
  <si>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</si>
  <si>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</si>
  <si>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</si>
  <si>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</si>
  <si>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</si>
  <si>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</si>
  <si>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</si>
  <si>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</si>
  <si>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</si>
  <si>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</si>
  <si>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</si>
  <si>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</si>
  <si>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</si>
  <si>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</si>
  <si>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</si>
  <si>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</si>
  <si>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</si>
  <si>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</si>
  <si>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</si>
  <si>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</si>
  <si>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</si>
  <si>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</si>
  <si>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</si>
  <si>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</si>
  <si>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</si>
  <si>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</si>
  <si>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</si>
  <si>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</si>
  <si>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</si>
  <si>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</si>
  <si>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</si>
  <si>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</si>
  <si>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</si>
  <si>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</si>
  <si>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</si>
  <si>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</si>
  <si>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</si>
  <si>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</si>
  <si>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</si>
  <si>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</si>
  <si>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</si>
  <si>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</si>
  <si>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</si>
  <si>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</si>
  <si>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</si>
  <si>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</si>
  <si>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</si>
  <si>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</si>
  <si>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</si>
  <si>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</si>
  <si>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</si>
  <si>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</si>
  <si>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</si>
  <si>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</si>
  <si>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</si>
  <si>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</si>
  <si>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</si>
  <si>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</si>
  <si>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</si>
  <si>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</si>
  <si>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</si>
  <si>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</si>
  <si>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</si>
  <si>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</si>
  <si>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</si>
  <si>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</si>
  <si>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</si>
  <si>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</si>
  <si>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</si>
  <si>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</si>
  <si>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</si>
  <si>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</si>
  <si>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</si>
  <si>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</si>
  <si>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</si>
  <si>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</si>
  <si>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</si>
  <si>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</si>
  <si>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</si>
  <si>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</si>
  <si>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</si>
  <si>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</si>
  <si>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</si>
  <si>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</si>
  <si>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</si>
  <si>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</si>
  <si>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</si>
  <si>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</si>
  <si>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</si>
  <si>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</si>
  <si>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</si>
  <si>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</si>
  <si>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</si>
  <si>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</si>
  <si>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</si>
  <si>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</si>
  <si>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</si>
  <si>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</si>
  <si>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</si>
  <si>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</si>
  <si>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</si>
  <si>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</si>
  <si>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</si>
  <si>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</si>
  <si>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</si>
  <si>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</si>
  <si>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</si>
  <si>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</si>
  <si>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</si>
  <si>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</si>
  <si>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</si>
  <si>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</si>
  <si>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</si>
  <si>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</si>
  <si>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</si>
  <si>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</si>
  <si>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</si>
  <si>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</si>
  <si>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2019</t>
  </si>
  <si>
    <t>2020</t>
  </si>
  <si>
    <t>2021</t>
  </si>
  <si>
    <t>19-21</t>
  </si>
  <si>
    <t>20-21</t>
  </si>
  <si>
    <t>*</t>
  </si>
  <si>
    <t>Hittil i år</t>
  </si>
  <si>
    <t>Finans Norge / Skadeforsikringsstatistikk</t>
  </si>
  <si>
    <t>Skadestatistikk for landbasert forsikring 2. kvartal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</si>
</sst>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3" fillId="0" borderId="0" xfId="15"/>
    <xf numFmtId="0" fontId="26" fillId="0" borderId="0" xfId="15" applyFont="1"/>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E0B76B72-0E22-4B75-BCB2-3B23A8973479}"/>
    <cellStyle name="Normal 2 3" xfId="16" xr:uid="{95DFF5A9-3DE8-498D-8819-09AAD2945359}"/>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'Tab2'!$B$71:$B$224</c:f>
              <c:numCache>
                <c:formatCode>General</c:formatCode>
                <c:ptCount val="15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'Tab2'!$C$71:$C$224</c:f>
              <c:numCache>
                <c:formatCode>General</c:formatCode>
                <c:ptCount val="154"/>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'Tab2'!$B$71:$B$224</c:f>
              <c:numCache>
                <c:formatCode>General</c:formatCode>
                <c:ptCount val="15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'Tab2'!$D$71:$D$224</c:f>
              <c:numCache>
                <c:formatCode>General</c:formatCode>
                <c:ptCount val="154"/>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'Tab2'!$K$103:$K$224</c:f>
              <c:numCache>
                <c:formatCode>General</c:formatCode>
                <c:ptCount val="12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'Tab2'!$T$103:$T$224</c:f>
              <c:numCache>
                <c:formatCode>#\ ##0.0</c:formatCode>
                <c:ptCount val="122"/>
                <c:pt idx="0">
                  <c:v>255.88609941520471</c:v>
                </c:pt>
                <c:pt idx="1">
                  <c:v>318.36807736720556</c:v>
                </c:pt>
                <c:pt idx="2">
                  <c:v>370.01485565819871</c:v>
                </c:pt>
                <c:pt idx="3">
                  <c:v>331.40005727376865</c:v>
                </c:pt>
                <c:pt idx="4">
                  <c:v>322.59991428571431</c:v>
                </c:pt>
                <c:pt idx="5">
                  <c:v>294.76630925507908</c:v>
                </c:pt>
                <c:pt idx="6">
                  <c:v>386.29034385569338</c:v>
                </c:pt>
                <c:pt idx="7">
                  <c:v>191.58475923852183</c:v>
                </c:pt>
                <c:pt idx="8">
                  <c:v>305.62992761692658</c:v>
                </c:pt>
                <c:pt idx="9">
                  <c:v>329.30409691629967</c:v>
                </c:pt>
                <c:pt idx="10">
                  <c:v>374.39190397350995</c:v>
                </c:pt>
                <c:pt idx="11">
                  <c:v>282.69596153846157</c:v>
                </c:pt>
                <c:pt idx="12">
                  <c:v>277.88411538461543</c:v>
                </c:pt>
                <c:pt idx="13">
                  <c:v>334.59909487459112</c:v>
                </c:pt>
                <c:pt idx="14">
                  <c:v>373.21849077090138</c:v>
                </c:pt>
                <c:pt idx="15">
                  <c:v>362.08362850971923</c:v>
                </c:pt>
                <c:pt idx="16">
                  <c:v>306.57487687366171</c:v>
                </c:pt>
                <c:pt idx="17">
                  <c:v>354.64993623804469</c:v>
                </c:pt>
                <c:pt idx="18">
                  <c:v>372.43229011689681</c:v>
                </c:pt>
                <c:pt idx="19">
                  <c:v>341.03832452431323</c:v>
                </c:pt>
                <c:pt idx="20">
                  <c:v>329.70340764331218</c:v>
                </c:pt>
                <c:pt idx="21">
                  <c:v>361.9383648790747</c:v>
                </c:pt>
                <c:pt idx="22">
                  <c:v>381.87415706806286</c:v>
                </c:pt>
                <c:pt idx="23">
                  <c:v>305.29989615784029</c:v>
                </c:pt>
                <c:pt idx="24">
                  <c:v>301.8407297019528</c:v>
                </c:pt>
                <c:pt idx="25">
                  <c:v>359.50942681678606</c:v>
                </c:pt>
                <c:pt idx="26">
                  <c:v>318.21226202661222</c:v>
                </c:pt>
                <c:pt idx="27">
                  <c:v>294.17544207317059</c:v>
                </c:pt>
                <c:pt idx="28">
                  <c:v>291.98166163142002</c:v>
                </c:pt>
                <c:pt idx="29">
                  <c:v>320.29906720160483</c:v>
                </c:pt>
                <c:pt idx="30">
                  <c:v>328.43983967935878</c:v>
                </c:pt>
                <c:pt idx="31">
                  <c:v>319.60310824230385</c:v>
                </c:pt>
                <c:pt idx="32">
                  <c:v>251.0796646942801</c:v>
                </c:pt>
                <c:pt idx="33">
                  <c:v>304.66001467710373</c:v>
                </c:pt>
                <c:pt idx="34">
                  <c:v>350.13632743362848</c:v>
                </c:pt>
                <c:pt idx="35">
                  <c:v>290.40770048309173</c:v>
                </c:pt>
                <c:pt idx="36">
                  <c:v>296.02514340344175</c:v>
                </c:pt>
                <c:pt idx="37">
                  <c:v>274.52932921027599</c:v>
                </c:pt>
                <c:pt idx="38">
                  <c:v>287.96820037986703</c:v>
                </c:pt>
                <c:pt idx="39">
                  <c:v>314.81999063670418</c:v>
                </c:pt>
                <c:pt idx="40">
                  <c:v>236.74149907749077</c:v>
                </c:pt>
                <c:pt idx="41">
                  <c:v>271.5334443430657</c:v>
                </c:pt>
                <c:pt idx="42">
                  <c:v>229.29715541165589</c:v>
                </c:pt>
                <c:pt idx="43">
                  <c:v>371.8999310027599</c:v>
                </c:pt>
                <c:pt idx="44">
                  <c:v>283.15271271729188</c:v>
                </c:pt>
                <c:pt idx="45">
                  <c:v>331.96270454545459</c:v>
                </c:pt>
                <c:pt idx="46">
                  <c:v>263.25759580291975</c:v>
                </c:pt>
                <c:pt idx="47">
                  <c:v>273.32153153153172</c:v>
                </c:pt>
                <c:pt idx="48">
                  <c:v>249.72473821989533</c:v>
                </c:pt>
                <c:pt idx="49">
                  <c:v>282.96911843276939</c:v>
                </c:pt>
                <c:pt idx="50">
                  <c:v>263.85601429848083</c:v>
                </c:pt>
                <c:pt idx="51">
                  <c:v>306.79792628774442</c:v>
                </c:pt>
                <c:pt idx="52">
                  <c:v>248.4660435168739</c:v>
                </c:pt>
                <c:pt idx="53">
                  <c:v>314.97649029982369</c:v>
                </c:pt>
                <c:pt idx="54">
                  <c:v>222.53723893805298</c:v>
                </c:pt>
                <c:pt idx="55">
                  <c:v>223.46593421052646</c:v>
                </c:pt>
                <c:pt idx="56">
                  <c:v>219.65421723834655</c:v>
                </c:pt>
                <c:pt idx="57">
                  <c:v>207.02007378472234</c:v>
                </c:pt>
                <c:pt idx="58">
                  <c:v>207.87927888792348</c:v>
                </c:pt>
                <c:pt idx="59">
                  <c:v>191.43681034482771</c:v>
                </c:pt>
                <c:pt idx="60">
                  <c:v>201.98611492281304</c:v>
                </c:pt>
                <c:pt idx="61">
                  <c:v>233.5826844783715</c:v>
                </c:pt>
                <c:pt idx="62">
                  <c:v>222.77863171355506</c:v>
                </c:pt>
                <c:pt idx="63">
                  <c:v>189.3704075630252</c:v>
                </c:pt>
                <c:pt idx="64">
                  <c:v>222.79871489361705</c:v>
                </c:pt>
                <c:pt idx="65">
                  <c:v>212.83165680473374</c:v>
                </c:pt>
                <c:pt idx="66">
                  <c:v>202.98188879456706</c:v>
                </c:pt>
                <c:pt idx="67">
                  <c:v>184.86571192052992</c:v>
                </c:pt>
                <c:pt idx="68">
                  <c:v>205.3916201804758</c:v>
                </c:pt>
                <c:pt idx="69">
                  <c:v>241.4994590163935</c:v>
                </c:pt>
                <c:pt idx="70">
                  <c:v>236.67364337936635</c:v>
                </c:pt>
                <c:pt idx="71">
                  <c:v>338.10261427425843</c:v>
                </c:pt>
                <c:pt idx="72">
                  <c:v>266.73025600000005</c:v>
                </c:pt>
                <c:pt idx="73">
                  <c:v>292.73978122513927</c:v>
                </c:pt>
                <c:pt idx="74">
                  <c:v>289.07530303030296</c:v>
                </c:pt>
                <c:pt idx="75">
                  <c:v>341.42823064770948</c:v>
                </c:pt>
                <c:pt idx="76">
                  <c:v>295.39388888888897</c:v>
                </c:pt>
                <c:pt idx="77">
                  <c:v>244.58662529092325</c:v>
                </c:pt>
                <c:pt idx="78">
                  <c:v>245.59052816901402</c:v>
                </c:pt>
                <c:pt idx="79">
                  <c:v>248.51879844961243</c:v>
                </c:pt>
                <c:pt idx="80">
                  <c:v>187.97428955453154</c:v>
                </c:pt>
                <c:pt idx="81">
                  <c:v>236.12941221374041</c:v>
                </c:pt>
                <c:pt idx="82">
                  <c:v>202.18864374033998</c:v>
                </c:pt>
                <c:pt idx="83">
                  <c:v>217.02577273845125</c:v>
                </c:pt>
                <c:pt idx="84">
                  <c:v>208.67681112544903</c:v>
                </c:pt>
                <c:pt idx="85">
                  <c:v>218.7341017117871</c:v>
                </c:pt>
                <c:pt idx="86">
                  <c:v>228.59709009617217</c:v>
                </c:pt>
                <c:pt idx="87">
                  <c:v>225.59404042907033</c:v>
                </c:pt>
                <c:pt idx="88">
                  <c:v>197.35998537984355</c:v>
                </c:pt>
                <c:pt idx="89">
                  <c:v>205.13719994109528</c:v>
                </c:pt>
                <c:pt idx="90">
                  <c:v>200.92095930112913</c:v>
                </c:pt>
                <c:pt idx="91">
                  <c:v>208.16701099188924</c:v>
                </c:pt>
                <c:pt idx="92">
                  <c:v>190.19851709043829</c:v>
                </c:pt>
                <c:pt idx="93">
                  <c:v>191.41550134876107</c:v>
                </c:pt>
                <c:pt idx="94">
                  <c:v>202.08120260534042</c:v>
                </c:pt>
                <c:pt idx="95">
                  <c:v>198.93557432120915</c:v>
                </c:pt>
                <c:pt idx="96">
                  <c:v>175.55992521922258</c:v>
                </c:pt>
                <c:pt idx="97">
                  <c:v>189.15501482091034</c:v>
                </c:pt>
                <c:pt idx="98">
                  <c:v>146.82863762900573</c:v>
                </c:pt>
                <c:pt idx="99">
                  <c:v>174.99053719349592</c:v>
                </c:pt>
                <c:pt idx="100">
                  <c:v>140.92508548473768</c:v>
                </c:pt>
                <c:pt idx="101">
                  <c:v>165.39607097776255</c:v>
                </c:pt>
                <c:pt idx="102">
                  <c:v>160.53075092891066</c:v>
                </c:pt>
                <c:pt idx="103">
                  <c:v>157.62658677916238</c:v>
                </c:pt>
                <c:pt idx="104">
                  <c:v>150.77656403037184</c:v>
                </c:pt>
                <c:pt idx="105">
                  <c:v>127.2576754945279</c:v>
                </c:pt>
                <c:pt idx="106">
                  <c:v>135.89463679565512</c:v>
                </c:pt>
                <c:pt idx="107">
                  <c:v>130.67210242587603</c:v>
                </c:pt>
                <c:pt idx="108">
                  <c:v>121.1800935203741</c:v>
                </c:pt>
                <c:pt idx="109">
                  <c:v>140.64047600999402</c:v>
                </c:pt>
                <c:pt idx="110">
                  <c:v>154.30187916138175</c:v>
                </c:pt>
                <c:pt idx="111">
                  <c:v>118.64501282119105</c:v>
                </c:pt>
                <c:pt idx="112">
                  <c:v>124.25469262926967</c:v>
                </c:pt>
                <c:pt idx="113">
                  <c:v>143.16970382418373</c:v>
                </c:pt>
                <c:pt idx="114">
                  <c:v>146.36378579740693</c:v>
                </c:pt>
                <c:pt idx="115">
                  <c:v>133.44338209652892</c:v>
                </c:pt>
                <c:pt idx="116">
                  <c:v>146.64900846924428</c:v>
                </c:pt>
                <c:pt idx="117">
                  <c:v>125.51254594874635</c:v>
                </c:pt>
                <c:pt idx="118">
                  <c:v>158.09775421538563</c:v>
                </c:pt>
                <c:pt idx="119">
                  <c:v>113.0152480686935</c:v>
                </c:pt>
                <c:pt idx="120">
                  <c:v>113.51563921852136</c:v>
                </c:pt>
                <c:pt idx="121">
                  <c:v>112.69663265020007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'Tab2'!$K$103:$K$224</c:f>
              <c:numCache>
                <c:formatCode>General</c:formatCode>
                <c:ptCount val="12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'Tab2'!$R$103:$R$224</c:f>
              <c:numCache>
                <c:formatCode>#,##0</c:formatCode>
                <c:ptCount val="122"/>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71.758625561753647</c:v>
                </c:pt>
                <c:pt idx="1">
                  <c:v>715.64034266029489</c:v>
                </c:pt>
                <c:pt idx="2">
                  <c:v>151.68720751265673</c:v>
                </c:pt>
                <c:pt idx="3">
                  <c:v>678.80503555767564</c:v>
                </c:pt>
                <c:pt idx="4" formatCode="0.000">
                  <c:v>6582.9827839195041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4062.097701355669</c:v>
                </c:pt>
                <c:pt idx="1">
                  <c:v>3198.9516949800391</c:v>
                </c:pt>
                <c:pt idx="2">
                  <c:v>1082.4285095044327</c:v>
                </c:pt>
                <c:pt idx="3">
                  <c:v>844.52767250232239</c:v>
                </c:pt>
                <c:pt idx="4">
                  <c:v>305.60577524503333</c:v>
                </c:pt>
                <c:pt idx="5">
                  <c:v>1164.6768455025992</c:v>
                </c:pt>
                <c:pt idx="6">
                  <c:v>210.51216448811601</c:v>
                </c:pt>
                <c:pt idx="7">
                  <c:v>585.27563423107085</c:v>
                </c:pt>
                <c:pt idx="8">
                  <c:v>235.6731699503423</c:v>
                </c:pt>
                <c:pt idx="9">
                  <c:v>512.81725711120714</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4291.2065040304733</c:v>
                </c:pt>
                <c:pt idx="1">
                  <c:v>3215.9968028142866</c:v>
                </c:pt>
                <c:pt idx="2">
                  <c:v>917.48112890574225</c:v>
                </c:pt>
                <c:pt idx="3">
                  <c:v>966.10268894516707</c:v>
                </c:pt>
                <c:pt idx="4">
                  <c:v>401.42631068577151</c:v>
                </c:pt>
                <c:pt idx="5">
                  <c:v>1893.5409275796746</c:v>
                </c:pt>
                <c:pt idx="6">
                  <c:v>262.93120032699858</c:v>
                </c:pt>
                <c:pt idx="7">
                  <c:v>651.86936651844553</c:v>
                </c:pt>
                <c:pt idx="8">
                  <c:v>94.89232920539061</c:v>
                </c:pt>
                <c:pt idx="9">
                  <c:v>662.49776396796972</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2021</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4964.3175105394348</c:v>
                </c:pt>
                <c:pt idx="1">
                  <c:v>3185.2108121119513</c:v>
                </c:pt>
                <c:pt idx="2">
                  <c:v>934.05641670497062</c:v>
                </c:pt>
                <c:pt idx="3">
                  <c:v>1230.7896372137748</c:v>
                </c:pt>
                <c:pt idx="4">
                  <c:v>485.77042894766703</c:v>
                </c:pt>
                <c:pt idx="5">
                  <c:v>225.66951530811212</c:v>
                </c:pt>
                <c:pt idx="6">
                  <c:v>246.51905838508478</c:v>
                </c:pt>
                <c:pt idx="7">
                  <c:v>780.01778428583316</c:v>
                </c:pt>
                <c:pt idx="8">
                  <c:v>113.79724607921291</c:v>
                </c:pt>
                <c:pt idx="9">
                  <c:v>628.90855637301138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14807.76701594203</c:v>
                </c:pt>
                <c:pt idx="1">
                  <c:v>42098.168316205534</c:v>
                </c:pt>
                <c:pt idx="2">
                  <c:v>17067.714015527949</c:v>
                </c:pt>
                <c:pt idx="3" formatCode="_ * #\ ##0_ ;_ * \-#\ ##0_ ;_ * &quot;-&quot;??_ ;_ @_ ">
                  <c:v>151351.72026880819</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14515.715485746958</c:v>
                </c:pt>
                <c:pt idx="1">
                  <c:v>42736.006414462448</c:v>
                </c:pt>
                <c:pt idx="2">
                  <c:v>17552.031031701117</c:v>
                </c:pt>
                <c:pt idx="3" formatCode="_ * #\ ##0_ ;_ * \-#\ ##0_ ;_ * &quot;-&quot;??_ ;_ @_ ">
                  <c:v>162737.46653599822</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2021</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15152.744923188406</c:v>
                </c:pt>
                <c:pt idx="1">
                  <c:v>55420.008292490114</c:v>
                </c:pt>
                <c:pt idx="2">
                  <c:v>14942.033661490683</c:v>
                </c:pt>
                <c:pt idx="3" formatCode="_ * #\ ##0_ ;_ * \-#\ ##0_ ;_ * &quot;-&quot;??_ ;_ @_ ">
                  <c:v>170017.65894677088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2731.2454755245499</c:v>
                </c:pt>
                <c:pt idx="1">
                  <c:v>2158.0585421578689</c:v>
                </c:pt>
                <c:pt idx="2">
                  <c:v>263.97470566479683</c:v>
                </c:pt>
                <c:pt idx="3">
                  <c:v>2107.7706729884912</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2968.7342736953419</c:v>
                </c:pt>
                <c:pt idx="1">
                  <c:v>2190.37256130268</c:v>
                </c:pt>
                <c:pt idx="2">
                  <c:v>271.44270382783304</c:v>
                </c:pt>
                <c:pt idx="3">
                  <c:v>2076.6537680189058</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2021</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2936.3112729622235</c:v>
                </c:pt>
                <c:pt idx="1">
                  <c:v>2885.0781957753375</c:v>
                </c:pt>
                <c:pt idx="2">
                  <c:v>228.67941788130074</c:v>
                </c:pt>
                <c:pt idx="3">
                  <c:v>2099.4594360325236</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164509.61538461538</c:v>
                </c:pt>
                <c:pt idx="1">
                  <c:v>62005.236871937072</c:v>
                </c:pt>
                <c:pt idx="2">
                  <c:v>98699.424545248432</c:v>
                </c:pt>
                <c:pt idx="3">
                  <c:v>23125.531931836278</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2020</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294870</c:v>
                </c:pt>
                <c:pt idx="1">
                  <c:v>66159.205778553864</c:v>
                </c:pt>
                <c:pt idx="2">
                  <c:v>106839.91951412651</c:v>
                </c:pt>
                <c:pt idx="3">
                  <c:v>21334.431123936934</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2021</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62196</c:v>
                </c:pt>
                <c:pt idx="1">
                  <c:v>76519.52491323532</c:v>
                </c:pt>
                <c:pt idx="2">
                  <c:v>118109</c:v>
                </c:pt>
                <c:pt idx="3">
                  <c:v>24373.170409300845</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4431.5187032418953</c:v>
                </c:pt>
                <c:pt idx="1">
                  <c:v>5862.3879999999999</c:v>
                </c:pt>
                <c:pt idx="2">
                  <c:v>5021.5564408163264</c:v>
                </c:pt>
                <c:pt idx="3">
                  <c:v>7919.3159106367393</c:v>
                </c:pt>
                <c:pt idx="4">
                  <c:v>13899.584999999999</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2020</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5589.2439507481295</c:v>
                </c:pt>
                <c:pt idx="1">
                  <c:v>5601.33677102</c:v>
                </c:pt>
                <c:pt idx="2">
                  <c:v>4272.1273306122448</c:v>
                </c:pt>
                <c:pt idx="3">
                  <c:v>9385.896054622508</c:v>
                </c:pt>
                <c:pt idx="4">
                  <c:v>12597.658333333333</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2021</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5363.9700748129671</c:v>
                </c:pt>
                <c:pt idx="1">
                  <c:v>6032.4699999999993</c:v>
                </c:pt>
                <c:pt idx="2">
                  <c:v>4512.3466285714285</c:v>
                </c:pt>
                <c:pt idx="3">
                  <c:v>11835</c:v>
                </c:pt>
                <c:pt idx="4">
                  <c:v>14157.14</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'Tab2'!$K$71:$K$224</c:f>
              <c:numCache>
                <c:formatCode>General</c:formatCode>
                <c:ptCount val="15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'Tab2'!$N$71:$N$224</c:f>
              <c:numCache>
                <c:formatCode>#\ ##0.0</c:formatCode>
                <c:ptCount val="154"/>
                <c:pt idx="0">
                  <c:v>235.15885687732347</c:v>
                </c:pt>
                <c:pt idx="1">
                  <c:v>196.98220292504575</c:v>
                </c:pt>
                <c:pt idx="2">
                  <c:v>180.13968354430384</c:v>
                </c:pt>
                <c:pt idx="3">
                  <c:v>220.664243772242</c:v>
                </c:pt>
                <c:pt idx="4">
                  <c:v>236.6244240837697</c:v>
                </c:pt>
                <c:pt idx="5">
                  <c:v>223.82939003436425</c:v>
                </c:pt>
                <c:pt idx="6">
                  <c:v>221.92283645655877</c:v>
                </c:pt>
                <c:pt idx="7">
                  <c:v>248.22182885906039</c:v>
                </c:pt>
                <c:pt idx="8">
                  <c:v>268.23652317880794</c:v>
                </c:pt>
                <c:pt idx="9">
                  <c:v>293.19008943089432</c:v>
                </c:pt>
                <c:pt idx="10">
                  <c:v>259.80088709677426</c:v>
                </c:pt>
                <c:pt idx="11">
                  <c:v>294.64919841269847</c:v>
                </c:pt>
                <c:pt idx="12">
                  <c:v>273.18504687500001</c:v>
                </c:pt>
                <c:pt idx="13">
                  <c:v>292.31965384615387</c:v>
                </c:pt>
                <c:pt idx="14">
                  <c:v>235.27773134328362</c:v>
                </c:pt>
                <c:pt idx="15">
                  <c:v>275.32891970802922</c:v>
                </c:pt>
                <c:pt idx="16">
                  <c:v>300.79157446808512</c:v>
                </c:pt>
                <c:pt idx="17">
                  <c:v>296.82571927374306</c:v>
                </c:pt>
                <c:pt idx="18">
                  <c:v>242.90505532503462</c:v>
                </c:pt>
                <c:pt idx="19">
                  <c:v>285.78508831521742</c:v>
                </c:pt>
                <c:pt idx="20">
                  <c:v>272.01007978723408</c:v>
                </c:pt>
                <c:pt idx="21">
                  <c:v>193.90108865710562</c:v>
                </c:pt>
                <c:pt idx="22">
                  <c:v>302.00583766233768</c:v>
                </c:pt>
                <c:pt idx="23">
                  <c:v>400.0732778489118</c:v>
                </c:pt>
                <c:pt idx="24">
                  <c:v>282.64259822560206</c:v>
                </c:pt>
                <c:pt idx="25">
                  <c:v>228.44284557907849</c:v>
                </c:pt>
                <c:pt idx="26">
                  <c:v>201.01099255583128</c:v>
                </c:pt>
                <c:pt idx="27">
                  <c:v>253.5972972972973</c:v>
                </c:pt>
                <c:pt idx="28">
                  <c:v>271.53604495747271</c:v>
                </c:pt>
                <c:pt idx="29">
                  <c:v>218.45146882494006</c:v>
                </c:pt>
                <c:pt idx="30">
                  <c:v>189.45566308243733</c:v>
                </c:pt>
                <c:pt idx="31">
                  <c:v>220.5193889541716</c:v>
                </c:pt>
                <c:pt idx="32">
                  <c:v>237.96126900584801</c:v>
                </c:pt>
                <c:pt idx="33">
                  <c:v>228.79883949191679</c:v>
                </c:pt>
                <c:pt idx="34">
                  <c:v>239.45324480369521</c:v>
                </c:pt>
                <c:pt idx="35">
                  <c:v>247.56479954180998</c:v>
                </c:pt>
                <c:pt idx="36">
                  <c:v>231.27107428571432</c:v>
                </c:pt>
                <c:pt idx="37">
                  <c:v>199.2761455981942</c:v>
                </c:pt>
                <c:pt idx="38">
                  <c:v>230.25795941375418</c:v>
                </c:pt>
                <c:pt idx="39">
                  <c:v>190.00865061590159</c:v>
                </c:pt>
                <c:pt idx="40">
                  <c:v>238.40875835189308</c:v>
                </c:pt>
                <c:pt idx="41">
                  <c:v>198.40916299559478</c:v>
                </c:pt>
                <c:pt idx="42">
                  <c:v>229.22657836644592</c:v>
                </c:pt>
                <c:pt idx="43">
                  <c:v>271.18190109890105</c:v>
                </c:pt>
                <c:pt idx="44">
                  <c:v>324.79961538461544</c:v>
                </c:pt>
                <c:pt idx="45">
                  <c:v>283.94877317339154</c:v>
                </c:pt>
                <c:pt idx="46">
                  <c:v>288.4887242128122</c:v>
                </c:pt>
                <c:pt idx="47">
                  <c:v>237.78626349892022</c:v>
                </c:pt>
                <c:pt idx="48">
                  <c:v>286.48258565310493</c:v>
                </c:pt>
                <c:pt idx="49">
                  <c:v>246.46010095642944</c:v>
                </c:pt>
                <c:pt idx="50">
                  <c:v>299.47478214665244</c:v>
                </c:pt>
                <c:pt idx="51">
                  <c:v>284.33636363636379</c:v>
                </c:pt>
                <c:pt idx="52">
                  <c:v>623.5478343949045</c:v>
                </c:pt>
                <c:pt idx="53">
                  <c:v>386.1114405888539</c:v>
                </c:pt>
                <c:pt idx="54">
                  <c:v>393.00942408376989</c:v>
                </c:pt>
                <c:pt idx="55">
                  <c:v>379.02657320872294</c:v>
                </c:pt>
                <c:pt idx="56">
                  <c:v>410.32980986639262</c:v>
                </c:pt>
                <c:pt idx="57">
                  <c:v>450.26714943705235</c:v>
                </c:pt>
                <c:pt idx="58">
                  <c:v>476.83819344933471</c:v>
                </c:pt>
                <c:pt idx="59">
                  <c:v>425.44984247967488</c:v>
                </c:pt>
                <c:pt idx="60">
                  <c:v>448.83912386706953</c:v>
                </c:pt>
                <c:pt idx="61">
                  <c:v>397.6288615847543</c:v>
                </c:pt>
                <c:pt idx="62">
                  <c:v>404.12516533066133</c:v>
                </c:pt>
                <c:pt idx="63">
                  <c:v>464.49606256206562</c:v>
                </c:pt>
                <c:pt idx="64">
                  <c:v>506.63187869822497</c:v>
                </c:pt>
                <c:pt idx="65">
                  <c:v>509.09285225048927</c:v>
                </c:pt>
                <c:pt idx="66">
                  <c:v>685.04933628318588</c:v>
                </c:pt>
                <c:pt idx="67">
                  <c:v>620.40271497584502</c:v>
                </c:pt>
                <c:pt idx="68">
                  <c:v>517.14695506692169</c:v>
                </c:pt>
                <c:pt idx="69">
                  <c:v>375.56207421503336</c:v>
                </c:pt>
                <c:pt idx="70">
                  <c:v>465.59066951566956</c:v>
                </c:pt>
                <c:pt idx="71">
                  <c:v>709.88247191011237</c:v>
                </c:pt>
                <c:pt idx="72">
                  <c:v>974.2323846863469</c:v>
                </c:pt>
                <c:pt idx="73">
                  <c:v>644.9454379562045</c:v>
                </c:pt>
                <c:pt idx="74">
                  <c:v>579.24656799259969</c:v>
                </c:pt>
                <c:pt idx="75">
                  <c:v>732.86586016559318</c:v>
                </c:pt>
                <c:pt idx="76">
                  <c:v>667.46205397987194</c:v>
                </c:pt>
                <c:pt idx="77">
                  <c:v>580.75702272727278</c:v>
                </c:pt>
                <c:pt idx="78">
                  <c:v>717.71583029197086</c:v>
                </c:pt>
                <c:pt idx="79">
                  <c:v>653.9992522522524</c:v>
                </c:pt>
                <c:pt idx="80">
                  <c:v>855.34134380453759</c:v>
                </c:pt>
                <c:pt idx="81">
                  <c:v>565.52046749777412</c:v>
                </c:pt>
                <c:pt idx="82">
                  <c:v>601.64202412868633</c:v>
                </c:pt>
                <c:pt idx="83">
                  <c:v>655.40036856127881</c:v>
                </c:pt>
                <c:pt idx="84">
                  <c:v>719.00989786856132</c:v>
                </c:pt>
                <c:pt idx="85">
                  <c:v>475.36075396825396</c:v>
                </c:pt>
                <c:pt idx="86">
                  <c:v>628.44626991150437</c:v>
                </c:pt>
                <c:pt idx="87">
                  <c:v>587.40400877193031</c:v>
                </c:pt>
                <c:pt idx="88">
                  <c:v>574.92462620932281</c:v>
                </c:pt>
                <c:pt idx="89">
                  <c:v>438.74680555555562</c:v>
                </c:pt>
                <c:pt idx="90">
                  <c:v>609.09987402258901</c:v>
                </c:pt>
                <c:pt idx="91">
                  <c:v>645.49256896551731</c:v>
                </c:pt>
                <c:pt idx="92">
                  <c:v>784.60741852487149</c:v>
                </c:pt>
                <c:pt idx="93">
                  <c:v>575.4012977099236</c:v>
                </c:pt>
                <c:pt idx="94">
                  <c:v>662.06982949701614</c:v>
                </c:pt>
                <c:pt idx="95">
                  <c:v>690.72231932773138</c:v>
                </c:pt>
                <c:pt idx="96">
                  <c:v>864.57613617021286</c:v>
                </c:pt>
                <c:pt idx="97">
                  <c:v>679.73936601859691</c:v>
                </c:pt>
                <c:pt idx="98">
                  <c:v>868.48104414261513</c:v>
                </c:pt>
                <c:pt idx="99">
                  <c:v>734.28453642384068</c:v>
                </c:pt>
                <c:pt idx="100">
                  <c:v>759.34603363412634</c:v>
                </c:pt>
                <c:pt idx="101">
                  <c:v>702.9633934426231</c:v>
                </c:pt>
                <c:pt idx="102">
                  <c:v>918.11080016247013</c:v>
                </c:pt>
                <c:pt idx="103">
                  <c:v>881.75054931836439</c:v>
                </c:pt>
                <c:pt idx="104">
                  <c:v>925.298768</c:v>
                </c:pt>
                <c:pt idx="105">
                  <c:v>751.19540970564856</c:v>
                </c:pt>
                <c:pt idx="106">
                  <c:v>992.30896730462507</c:v>
                </c:pt>
                <c:pt idx="107">
                  <c:v>937.93941943128004</c:v>
                </c:pt>
                <c:pt idx="108">
                  <c:v>2057.4592816697445</c:v>
                </c:pt>
                <c:pt idx="109">
                  <c:v>1049.4064243011774</c:v>
                </c:pt>
                <c:pt idx="110">
                  <c:v>1054.4548218895704</c:v>
                </c:pt>
                <c:pt idx="111">
                  <c:v>1078.7521542462487</c:v>
                </c:pt>
                <c:pt idx="112">
                  <c:v>1274.8872161327517</c:v>
                </c:pt>
                <c:pt idx="113">
                  <c:v>927.06829197214904</c:v>
                </c:pt>
                <c:pt idx="114">
                  <c:v>1105.3865833390562</c:v>
                </c:pt>
                <c:pt idx="115">
                  <c:v>931.58028892414688</c:v>
                </c:pt>
                <c:pt idx="116">
                  <c:v>1032.0633628555886</c:v>
                </c:pt>
                <c:pt idx="117">
                  <c:v>754.53271741770538</c:v>
                </c:pt>
                <c:pt idx="118">
                  <c:v>1040.2894665826284</c:v>
                </c:pt>
                <c:pt idx="119">
                  <c:v>979.53104559960457</c:v>
                </c:pt>
                <c:pt idx="120">
                  <c:v>1202.9665823687071</c:v>
                </c:pt>
                <c:pt idx="121">
                  <c:v>1177.9313650956178</c:v>
                </c:pt>
                <c:pt idx="122">
                  <c:v>857.11715115918253</c:v>
                </c:pt>
                <c:pt idx="123">
                  <c:v>1035.2974861508544</c:v>
                </c:pt>
                <c:pt idx="124">
                  <c:v>1021.081744432644</c:v>
                </c:pt>
                <c:pt idx="125">
                  <c:v>838.50967969717544</c:v>
                </c:pt>
                <c:pt idx="126">
                  <c:v>1233.4921894769541</c:v>
                </c:pt>
                <c:pt idx="127">
                  <c:v>986.25097752695069</c:v>
                </c:pt>
                <c:pt idx="128">
                  <c:v>1082.0454495588449</c:v>
                </c:pt>
                <c:pt idx="129">
                  <c:v>828.65658939066475</c:v>
                </c:pt>
                <c:pt idx="130">
                  <c:v>1096.905499730299</c:v>
                </c:pt>
                <c:pt idx="131">
                  <c:v>973.92637856958356</c:v>
                </c:pt>
                <c:pt idx="132">
                  <c:v>1119.6048537294707</c:v>
                </c:pt>
                <c:pt idx="133">
                  <c:v>861.80156314949977</c:v>
                </c:pt>
                <c:pt idx="134">
                  <c:v>1511.4466531689902</c:v>
                </c:pt>
                <c:pt idx="135">
                  <c:v>1025.5171852801182</c:v>
                </c:pt>
                <c:pt idx="136">
                  <c:v>1099.3400824693192</c:v>
                </c:pt>
                <c:pt idx="137">
                  <c:v>815.35337485308526</c:v>
                </c:pt>
                <c:pt idx="138">
                  <c:v>962.94090291921259</c:v>
                </c:pt>
                <c:pt idx="139">
                  <c:v>1202.3941037735849</c:v>
                </c:pt>
                <c:pt idx="140">
                  <c:v>1227.4707748830997</c:v>
                </c:pt>
                <c:pt idx="141">
                  <c:v>1116.6713976089763</c:v>
                </c:pt>
                <c:pt idx="142">
                  <c:v>1244.7018011074917</c:v>
                </c:pt>
                <c:pt idx="143">
                  <c:v>1098.1913735594512</c:v>
                </c:pt>
                <c:pt idx="144">
                  <c:v>1168.1826153555151</c:v>
                </c:pt>
                <c:pt idx="145">
                  <c:v>1018.5707897094017</c:v>
                </c:pt>
                <c:pt idx="146">
                  <c:v>1417.6227369074836</c:v>
                </c:pt>
                <c:pt idx="147">
                  <c:v>1320.2031421915767</c:v>
                </c:pt>
                <c:pt idx="148">
                  <c:v>1193.6087572945899</c:v>
                </c:pt>
                <c:pt idx="149">
                  <c:v>1002.6286202227799</c:v>
                </c:pt>
                <c:pt idx="150">
                  <c:v>1183.3670773091433</c:v>
                </c:pt>
                <c:pt idx="151">
                  <c:v>1243.8469699510392</c:v>
                </c:pt>
                <c:pt idx="152">
                  <c:v>1833.9023750822118</c:v>
                </c:pt>
                <c:pt idx="153">
                  <c:v>1033.049995774998</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'Tab2'!$K$71:$K$224</c:f>
              <c:numCache>
                <c:formatCode>General</c:formatCode>
                <c:ptCount val="15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'Tab2'!$L$71:$L$224</c:f>
              <c:numCache>
                <c:formatCode>#,##0</c:formatCode>
                <c:ptCount val="154"/>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'Tab2'!$K$103:$K$224</c:f>
              <c:numCache>
                <c:formatCode>General</c:formatCode>
                <c:ptCount val="12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'Tab2'!$Q$103:$Q$224</c:f>
              <c:numCache>
                <c:formatCode>#\ ##0.0</c:formatCode>
                <c:ptCount val="122"/>
                <c:pt idx="0">
                  <c:v>689.37434502923975</c:v>
                </c:pt>
                <c:pt idx="1">
                  <c:v>666.89353926096999</c:v>
                </c:pt>
                <c:pt idx="2">
                  <c:v>778.13275404157048</c:v>
                </c:pt>
                <c:pt idx="3">
                  <c:v>764.90715922107734</c:v>
                </c:pt>
                <c:pt idx="4">
                  <c:v>731.8818</c:v>
                </c:pt>
                <c:pt idx="5">
                  <c:v>727.207900677201</c:v>
                </c:pt>
                <c:pt idx="6">
                  <c:v>776.45945885005665</c:v>
                </c:pt>
                <c:pt idx="7">
                  <c:v>745.32425531914885</c:v>
                </c:pt>
                <c:pt idx="8">
                  <c:v>782.62159242761697</c:v>
                </c:pt>
                <c:pt idx="9">
                  <c:v>607.80029185022033</c:v>
                </c:pt>
                <c:pt idx="10">
                  <c:v>670.59130794702037</c:v>
                </c:pt>
                <c:pt idx="11">
                  <c:v>802.5471978021975</c:v>
                </c:pt>
                <c:pt idx="12">
                  <c:v>734.83764835164845</c:v>
                </c:pt>
                <c:pt idx="13">
                  <c:v>842.97824972737203</c:v>
                </c:pt>
                <c:pt idx="14">
                  <c:v>722.49530401737263</c:v>
                </c:pt>
                <c:pt idx="15">
                  <c:v>659.65422246220305</c:v>
                </c:pt>
                <c:pt idx="16">
                  <c:v>909.17617773019288</c:v>
                </c:pt>
                <c:pt idx="17">
                  <c:v>768.46359192348598</c:v>
                </c:pt>
                <c:pt idx="18">
                  <c:v>810.84209883103074</c:v>
                </c:pt>
                <c:pt idx="19">
                  <c:v>611.48849365750516</c:v>
                </c:pt>
                <c:pt idx="20">
                  <c:v>796.70022823779198</c:v>
                </c:pt>
                <c:pt idx="21">
                  <c:v>962.48307570977943</c:v>
                </c:pt>
                <c:pt idx="22">
                  <c:v>952.8840994764397</c:v>
                </c:pt>
                <c:pt idx="23">
                  <c:v>1081.2163343717555</c:v>
                </c:pt>
                <c:pt idx="24">
                  <c:v>1005.6535919835562</c:v>
                </c:pt>
                <c:pt idx="25">
                  <c:v>1063.4820266120776</c:v>
                </c:pt>
                <c:pt idx="26">
                  <c:v>1152.9592169907885</c:v>
                </c:pt>
                <c:pt idx="27">
                  <c:v>896.35304878048782</c:v>
                </c:pt>
                <c:pt idx="28">
                  <c:v>944.29452165156113</c:v>
                </c:pt>
                <c:pt idx="29">
                  <c:v>904.89976429287867</c:v>
                </c:pt>
                <c:pt idx="30">
                  <c:v>678.19066132264572</c:v>
                </c:pt>
                <c:pt idx="31">
                  <c:v>1147.0303972194629</c:v>
                </c:pt>
                <c:pt idx="32">
                  <c:v>1062.7702514792902</c:v>
                </c:pt>
                <c:pt idx="33">
                  <c:v>1338.3005968688847</c:v>
                </c:pt>
                <c:pt idx="34">
                  <c:v>871.88097345132712</c:v>
                </c:pt>
                <c:pt idx="35">
                  <c:v>1413.5088647342998</c:v>
                </c:pt>
                <c:pt idx="36">
                  <c:v>1225.8132074569792</c:v>
                </c:pt>
                <c:pt idx="37">
                  <c:v>1003.1852235965748</c:v>
                </c:pt>
                <c:pt idx="38">
                  <c:v>1048.8042450142455</c:v>
                </c:pt>
                <c:pt idx="39">
                  <c:v>1082.3950561797751</c:v>
                </c:pt>
                <c:pt idx="40">
                  <c:v>1265.2181273062731</c:v>
                </c:pt>
                <c:pt idx="41">
                  <c:v>1317.0014142335767</c:v>
                </c:pt>
                <c:pt idx="42">
                  <c:v>1695.7862812210917</c:v>
                </c:pt>
                <c:pt idx="43">
                  <c:v>1155.6952207911688</c:v>
                </c:pt>
                <c:pt idx="44">
                  <c:v>1173.817511436414</c:v>
                </c:pt>
                <c:pt idx="45">
                  <c:v>979.68094090909085</c:v>
                </c:pt>
                <c:pt idx="46">
                  <c:v>1278.3332253649637</c:v>
                </c:pt>
                <c:pt idx="47">
                  <c:v>1322.2281306306309</c:v>
                </c:pt>
                <c:pt idx="48">
                  <c:v>1483.6105759162308</c:v>
                </c:pt>
                <c:pt idx="49">
                  <c:v>1138.8392965271596</c:v>
                </c:pt>
                <c:pt idx="50">
                  <c:v>1202.1660142984806</c:v>
                </c:pt>
                <c:pt idx="51">
                  <c:v>1058.7236722912971</c:v>
                </c:pt>
                <c:pt idx="52">
                  <c:v>1021.0857193605686</c:v>
                </c:pt>
                <c:pt idx="53">
                  <c:v>976.78567460317458</c:v>
                </c:pt>
                <c:pt idx="54">
                  <c:v>903.29636725663704</c:v>
                </c:pt>
                <c:pt idx="55">
                  <c:v>973.15367543859736</c:v>
                </c:pt>
                <c:pt idx="56">
                  <c:v>983.69878627968353</c:v>
                </c:pt>
                <c:pt idx="57">
                  <c:v>1012.0227213541667</c:v>
                </c:pt>
                <c:pt idx="58">
                  <c:v>1130.564365768897</c:v>
                </c:pt>
                <c:pt idx="59">
                  <c:v>1072.8550258620687</c:v>
                </c:pt>
                <c:pt idx="60">
                  <c:v>1270.3934133790742</c:v>
                </c:pt>
                <c:pt idx="61">
                  <c:v>1075.9924681933844</c:v>
                </c:pt>
                <c:pt idx="62">
                  <c:v>1141.0905498721231</c:v>
                </c:pt>
                <c:pt idx="63">
                  <c:v>1085.4958823529414</c:v>
                </c:pt>
                <c:pt idx="64">
                  <c:v>1453.6484851063831</c:v>
                </c:pt>
                <c:pt idx="65">
                  <c:v>1377.0604775993238</c:v>
                </c:pt>
                <c:pt idx="66">
                  <c:v>902.20073005093434</c:v>
                </c:pt>
                <c:pt idx="67">
                  <c:v>1180.2665935430464</c:v>
                </c:pt>
                <c:pt idx="68">
                  <c:v>1236.1984085315835</c:v>
                </c:pt>
                <c:pt idx="69">
                  <c:v>1478.991909836066</c:v>
                </c:pt>
                <c:pt idx="70">
                  <c:v>1888.4346263200646</c:v>
                </c:pt>
                <c:pt idx="71">
                  <c:v>1454.7441860465119</c:v>
                </c:pt>
                <c:pt idx="72">
                  <c:v>1313.5088920000003</c:v>
                </c:pt>
                <c:pt idx="73">
                  <c:v>1341.0293675417663</c:v>
                </c:pt>
                <c:pt idx="74">
                  <c:v>1593.9048524720893</c:v>
                </c:pt>
                <c:pt idx="75">
                  <c:v>1472.6871800947874</c:v>
                </c:pt>
                <c:pt idx="76">
                  <c:v>2003.113228438229</c:v>
                </c:pt>
                <c:pt idx="77">
                  <c:v>1676.3161714507369</c:v>
                </c:pt>
                <c:pt idx="78">
                  <c:v>1573.8840923317684</c:v>
                </c:pt>
                <c:pt idx="79">
                  <c:v>1589.0655658914743</c:v>
                </c:pt>
                <c:pt idx="80">
                  <c:v>2040.3317933947776</c:v>
                </c:pt>
                <c:pt idx="81">
                  <c:v>1830.5401450381685</c:v>
                </c:pt>
                <c:pt idx="82">
                  <c:v>1553.4565610510044</c:v>
                </c:pt>
                <c:pt idx="83">
                  <c:v>1542.1151183818745</c:v>
                </c:pt>
                <c:pt idx="84">
                  <c:v>1365.9215174655785</c:v>
                </c:pt>
                <c:pt idx="85">
                  <c:v>1232.3150663866368</c:v>
                </c:pt>
                <c:pt idx="86">
                  <c:v>1361.8257475957028</c:v>
                </c:pt>
                <c:pt idx="87">
                  <c:v>1268.8650709821593</c:v>
                </c:pt>
                <c:pt idx="88">
                  <c:v>1350.0659204162753</c:v>
                </c:pt>
                <c:pt idx="89">
                  <c:v>1320.1391950887983</c:v>
                </c:pt>
                <c:pt idx="90">
                  <c:v>1542.162307947541</c:v>
                </c:pt>
                <c:pt idx="91">
                  <c:v>1401.6430871728999</c:v>
                </c:pt>
                <c:pt idx="92">
                  <c:v>1710.0032176403713</c:v>
                </c:pt>
                <c:pt idx="93">
                  <c:v>1325.6320141568635</c:v>
                </c:pt>
                <c:pt idx="94">
                  <c:v>1438.1416289808765</c:v>
                </c:pt>
                <c:pt idx="95">
                  <c:v>1255.2201334388492</c:v>
                </c:pt>
                <c:pt idx="96">
                  <c:v>1446.1499587226101</c:v>
                </c:pt>
                <c:pt idx="97">
                  <c:v>1351.8350060423886</c:v>
                </c:pt>
                <c:pt idx="98">
                  <c:v>1501.2791786671528</c:v>
                </c:pt>
                <c:pt idx="99">
                  <c:v>1573.0517159723267</c:v>
                </c:pt>
                <c:pt idx="100">
                  <c:v>1388.6997958710776</c:v>
                </c:pt>
                <c:pt idx="101">
                  <c:v>1074.5571633562124</c:v>
                </c:pt>
                <c:pt idx="102">
                  <c:v>1606.3132581171897</c:v>
                </c:pt>
                <c:pt idx="103">
                  <c:v>1302.7978672210272</c:v>
                </c:pt>
                <c:pt idx="104">
                  <c:v>1384.8691603055447</c:v>
                </c:pt>
                <c:pt idx="105">
                  <c:v>1784.3369719519187</c:v>
                </c:pt>
                <c:pt idx="106">
                  <c:v>1012.8397148676171</c:v>
                </c:pt>
                <c:pt idx="107">
                  <c:v>1269.8377695417789</c:v>
                </c:pt>
                <c:pt idx="108">
                  <c:v>1318.3558450233804</c:v>
                </c:pt>
                <c:pt idx="109">
                  <c:v>1526.4815344630601</c:v>
                </c:pt>
                <c:pt idx="110">
                  <c:v>1871.3336202063444</c:v>
                </c:pt>
                <c:pt idx="111">
                  <c:v>1478.4089485278173</c:v>
                </c:pt>
                <c:pt idx="112">
                  <c:v>1405.0325187876406</c:v>
                </c:pt>
                <c:pt idx="113">
                  <c:v>1362.2918017123636</c:v>
                </c:pt>
                <c:pt idx="114">
                  <c:v>1501.1533950536041</c:v>
                </c:pt>
                <c:pt idx="115">
                  <c:v>1229.9806642606613</c:v>
                </c:pt>
                <c:pt idx="116">
                  <c:v>1783.2593117517176</c:v>
                </c:pt>
                <c:pt idx="117">
                  <c:v>1194.4601995413352</c:v>
                </c:pt>
                <c:pt idx="118">
                  <c:v>1038.756021928436</c:v>
                </c:pt>
                <c:pt idx="119">
                  <c:v>1194.2306337854523</c:v>
                </c:pt>
                <c:pt idx="120">
                  <c:v>1472.5308063301509</c:v>
                </c:pt>
                <c:pt idx="121">
                  <c:v>1432.5855509512064</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'Tab2'!$K$103:$K$224</c:f>
              <c:numCache>
                <c:formatCode>General</c:formatCode>
                <c:ptCount val="12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'Tab2'!$O$103:$O$224</c:f>
              <c:numCache>
                <c:formatCode>#,##0</c:formatCode>
                <c:ptCount val="122"/>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666017</xdr:colOff>
      <xdr:row>18</xdr:row>
      <xdr:rowOff>109170</xdr:rowOff>
    </xdr:from>
    <xdr:to>
      <xdr:col>4</xdr:col>
      <xdr:colOff>786684</xdr:colOff>
      <xdr:row>21</xdr:row>
      <xdr:rowOff>71070</xdr:rowOff>
    </xdr:to>
    <xdr:sp macro="" textlink="">
      <xdr:nvSpPr>
        <xdr:cNvPr id="8" name="Text Box 6">
          <a:extLst>
            <a:ext uri="{FF2B5EF4-FFF2-40B4-BE49-F238E27FC236}">
              <a16:creationId xmlns:a16="http://schemas.microsoft.com/office/drawing/2014/main" id="{D7D8E14D-96C5-45EA-AFAB-2B1A079FF239}"/>
            </a:ext>
          </a:extLst>
        </xdr:cNvPr>
        <xdr:cNvSpPr txBox="1"/>
      </xdr:nvSpPr>
      <xdr:spPr>
        <a:xfrm>
          <a:off x="666017" y="434779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2021 </a:t>
          </a:r>
        </a:p>
        <a:p>
          <a:pPr>
            <a:spcAft>
              <a:spcPts val="0"/>
            </a:spcAft>
          </a:pPr>
          <a:r>
            <a:rPr lang="nb-NO" sz="1000">
              <a:effectLst/>
              <a:latin typeface="Arial"/>
              <a:ea typeface="ＭＳ 明朝"/>
              <a:cs typeface="Times New Roman"/>
            </a:rPr>
            <a:t>(publisert </a:t>
          </a:r>
          <a:r>
            <a:rPr lang="nb-NO" sz="1000">
              <a:solidFill>
                <a:schemeClr val="dk1"/>
              </a:solidFill>
              <a:effectLst/>
              <a:latin typeface="Arial"/>
              <a:ea typeface="ＭＳ 明朝"/>
              <a:cs typeface="Times New Roman"/>
            </a:rPr>
            <a:t>27. august 2021,</a:t>
          </a:r>
          <a:r>
            <a:rPr lang="nb-NO" sz="1000" baseline="0">
              <a:solidFill>
                <a:schemeClr val="dk1"/>
              </a:solidFill>
              <a:effectLst/>
              <a:latin typeface="Arial"/>
              <a:ea typeface="ＭＳ 明朝"/>
              <a:cs typeface="Times New Roman"/>
            </a:rPr>
            <a:t> </a:t>
          </a:r>
          <a:r>
            <a:rPr lang="nb-NO" sz="1000">
              <a:effectLst/>
              <a:latin typeface="Arial"/>
              <a:ea typeface="ＭＳ 明朝"/>
              <a:cs typeface="Times New Roman"/>
            </a:rPr>
            <a:t>revidert 1.desember 2021)</a:t>
          </a:r>
          <a:endParaRPr lang="nb-NO" sz="1200">
            <a:effectLst/>
            <a:ea typeface="ＭＳ 明朝"/>
            <a:cs typeface="Times New Roman"/>
          </a:endParaRPr>
        </a:p>
      </xdr:txBody>
    </xdr:sp>
    <xdr:clientData/>
  </xdr:twoCellAnchor>
  <xdr:twoCellAnchor>
    <xdr:from>
      <xdr:col>0</xdr:col>
      <xdr:colOff>666750</xdr:colOff>
      <xdr:row>13</xdr:row>
      <xdr:rowOff>117231</xdr:rowOff>
    </xdr:from>
    <xdr:to>
      <xdr:col>7</xdr:col>
      <xdr:colOff>466725</xdr:colOff>
      <xdr:row>17</xdr:row>
      <xdr:rowOff>101600</xdr:rowOff>
    </xdr:to>
    <xdr:sp macro="" textlink="">
      <xdr:nvSpPr>
        <xdr:cNvPr id="9" name="Text Box 4">
          <a:extLst>
            <a:ext uri="{FF2B5EF4-FFF2-40B4-BE49-F238E27FC236}">
              <a16:creationId xmlns:a16="http://schemas.microsoft.com/office/drawing/2014/main" id="{5C184A80-92DB-4CC2-B401-A3C4E818A58D}"/>
            </a:ext>
          </a:extLst>
        </xdr:cNvPr>
        <xdr:cNvSpPr txBox="1"/>
      </xdr:nvSpPr>
      <xdr:spPr>
        <a:xfrm>
          <a:off x="666750"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654050</xdr:colOff>
      <xdr:row>16</xdr:row>
      <xdr:rowOff>410309</xdr:rowOff>
    </xdr:from>
    <xdr:to>
      <xdr:col>7</xdr:col>
      <xdr:colOff>295303</xdr:colOff>
      <xdr:row>18</xdr:row>
      <xdr:rowOff>43961</xdr:rowOff>
    </xdr:to>
    <xdr:sp macro="" textlink="">
      <xdr:nvSpPr>
        <xdr:cNvPr id="10" name="Text Box 5">
          <a:extLst>
            <a:ext uri="{FF2B5EF4-FFF2-40B4-BE49-F238E27FC236}">
              <a16:creationId xmlns:a16="http://schemas.microsoft.com/office/drawing/2014/main" id="{CD250A4E-7B7D-41AD-9444-58294D876EB4}"/>
            </a:ext>
          </a:extLst>
        </xdr:cNvPr>
        <xdr:cNvSpPr txBox="1"/>
      </xdr:nvSpPr>
      <xdr:spPr>
        <a:xfrm>
          <a:off x="65405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395654</xdr:colOff>
      <xdr:row>5</xdr:row>
      <xdr:rowOff>14653</xdr:rowOff>
    </xdr:from>
    <xdr:to>
      <xdr:col>9</xdr:col>
      <xdr:colOff>698989</xdr:colOff>
      <xdr:row>12</xdr:row>
      <xdr:rowOff>269807</xdr:rowOff>
    </xdr:to>
    <xdr:pic>
      <xdr:nvPicPr>
        <xdr:cNvPr id="11" name="Bilde 7">
          <a:extLst>
            <a:ext uri="{FF2B5EF4-FFF2-40B4-BE49-F238E27FC236}">
              <a16:creationId xmlns:a16="http://schemas.microsoft.com/office/drawing/2014/main" id="{A187C966-6B4C-486B-AC56-A3801260A9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654" y="824278"/>
          <a:ext cx="7780460" cy="1344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190162</xdr:colOff>
      <xdr:row>47</xdr:row>
      <xdr:rowOff>42863</xdr:rowOff>
    </xdr:to>
    <xdr:sp macro="" textlink="">
      <xdr:nvSpPr>
        <xdr:cNvPr id="5" name="Text Box 1">
          <a:extLst>
            <a:ext uri="{FF2B5EF4-FFF2-40B4-BE49-F238E27FC236}">
              <a16:creationId xmlns:a16="http://schemas.microsoft.com/office/drawing/2014/main" id="{BC8088E9-9621-485D-921B-281D32B4E0DF}"/>
            </a:ext>
          </a:extLst>
        </xdr:cNvPr>
        <xdr:cNvSpPr txBox="1">
          <a:spLocks noChangeArrowheads="1"/>
        </xdr:cNvSpPr>
      </xdr:nvSpPr>
      <xdr:spPr bwMode="auto">
        <a:xfrm>
          <a:off x="0" y="261938"/>
          <a:ext cx="2702381" cy="8496300"/>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HOVEDTREKK – kald vinter med mange frostskader og branner. Koronatiltak ga lite reiseaktivitet</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Merk at korona-begrensende tiltak først ble innført fra 12.mars i fjor, mens det hittil i år mer eller mindre har vært slike tiltak i hele 1.halvår. Betydningen i år har vært størst på reise siden «unødvendige fritidsreiser, særlig til utlandet» ble frarådet, selv om det ble sluppet opp noe i juni. For næringslivet har det også vært mye nedstenginger særlig innen reiseliv og restaurant, dette kan ha medført mindre aktivitet på en del områder.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Erstatningene for landbasert forsikring totalt hittil i år ble på 23,1 milliarder kr, mot 22,9 milliarder i fjor til samme tid. Det er økning i brann- og vannskader på boliger og næringsbygg som skyldes kald vinter og økt bruk av egen bolig. På reiseforsikring er det naturlig nok stor reduksjon fra i fjor, siden det stort sett har vært reiserestriksjoner i år, mot at det i fjor, når koronatiltakene slo inn, medførte store avbestillingsskader. På motorvogn er det økning på 5 prosent både i antall meldte skader og i erstatningsbeløp. Noe av økningen kan skyldes kald vinter med dårlige kjøreforhold, men også at nyttetrafikken har tatt seg opp i år. Lastebil og buss har økt erstatning med 7 prosent fra i fjor, men da var det riktignok et ekstraordinært halvår. De totale motorvognerstatningene hittil i år er på 8,2 milliarder kr, mot nesten 7,8 milliarder i fjor til samme tid.</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4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Motor – kald vinter og mer privatbilbruk – men færre «kø-skader»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For motorkjøretøy samlet er det økning i antall meldte skader fra i fjor på 5 prosent, hvor antallet ansvarsskader er redusert med rundt 2 prosent fra samme periode i fjor og hele 17 prosent fra 2019. Brannskadene har økt noe fra første halvår 2019, mens det er stor reduksjon fra i fjor. Men da må en huske at parkeringshusbrannen ved Sola flyplass i begynnelsen av januar og som rammet mange biler (noe over 1000). Det er stor reduksjon av glasskader hittil i år med nesten 26 prosent i antall og 20 prosent i beløp. Muligens kan dette skyldes mindre køkjøring. Redningsskadeerstatningene øker derimot med over 35 prosent fra i fjor til samme tid.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5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rtl="0" eaLnBrk="1" fontAlgn="auto" latinLnBrk="0" hangingPunct="1"/>
          <a:r>
            <a:rPr kumimoji="0" lang="en-US"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Hus, hjem, hytte – kald vinter ga økte brann- og vannskader</a:t>
          </a:r>
        </a:p>
        <a:p>
          <a:r>
            <a:rPr lang="en-US" sz="1000" b="0" i="0" baseline="0">
              <a:effectLst/>
              <a:latin typeface="Times New Roman" panose="02020603050405020304" pitchFamily="18" charset="0"/>
              <a:ea typeface="+mn-ea"/>
              <a:cs typeface="Times New Roman" panose="02020603050405020304" pitchFamily="18" charset="0"/>
            </a:rPr>
            <a:t>Erstatninger på private bygninger og innbo hittil i år er på drøye 4,9 mrd.kr, hvor brann utgjør 1,5 mrd.kr og vannskadene på nesten 1,9 mrd.kr. Erstatning etter brann økte med 9 prosent og erstatning etter vannskader økte med hele 33 prosent fra i fjor. Økningen skyldes dels svært kald vinter på østlandsområdet i vinter, samt mye hjemmetilværelse med økt bruk av vanntilkoblede maskiner og elektriske apparater.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twoCellAnchor>
    <xdr:from>
      <xdr:col>2</xdr:col>
      <xdr:colOff>210348</xdr:colOff>
      <xdr:row>2</xdr:row>
      <xdr:rowOff>0</xdr:rowOff>
    </xdr:from>
    <xdr:to>
      <xdr:col>7</xdr:col>
      <xdr:colOff>19511</xdr:colOff>
      <xdr:row>46</xdr:row>
      <xdr:rowOff>147638</xdr:rowOff>
    </xdr:to>
    <xdr:sp macro="" textlink="">
      <xdr:nvSpPr>
        <xdr:cNvPr id="6" name="Text Box 2">
          <a:extLst>
            <a:ext uri="{FF2B5EF4-FFF2-40B4-BE49-F238E27FC236}">
              <a16:creationId xmlns:a16="http://schemas.microsoft.com/office/drawing/2014/main" id="{9D17D639-A381-4952-9AFE-93E10645D2CA}"/>
            </a:ext>
          </a:extLst>
        </xdr:cNvPr>
        <xdr:cNvSpPr txBox="1">
          <a:spLocks noChangeArrowheads="1"/>
        </xdr:cNvSpPr>
      </xdr:nvSpPr>
      <xdr:spPr bwMode="auto">
        <a:xfrm>
          <a:off x="2718598" y="269875"/>
          <a:ext cx="2730163" cy="8418513"/>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Næringsbygg og landbruk – kald vinter – frostskader og brann…</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På næring ble erstatningene på bygg og innbo/løsøre 1 prosent lavere enn i fjor. Brannerstatningene ble redusert med 10 prosent, men vannskadeerstatningene økte med nesten 30 prosent. Til sammen ble det erstattet skader for nesten 3,2 mrd.kr hittil i år. Årsaken til reduksjonen på brann skyldes hovedsakelig den store brannen i et parkeringshus ved Sola i januar i fjor. Uten denne skaden ville årets brannskader vært over 300 mill.kr høyere enn i fjor. I år har det vært en del større branner i avfallsanlegg og på skoler.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5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r>
            <a:rPr kumimoji="0" lang="nb-NO"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Reise – forbud mot unødvendige reiser utenlands – forsiktig åpning først i juni</a:t>
          </a:r>
        </a:p>
        <a:p>
          <a:r>
            <a:rPr kumimoji="0" lang="nb-NO" sz="1000" b="0"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Koronaeffekten har slått mest ut på reiseforsikring, men med motsatt fortegn fra i fjor da det var ekstraordinært mange avbestillingssaker.  Hittil i år er det meldt 62 200 skader, mens det i fjor på samme tid var hele 294 900 hvor det da hovedsakelig var avbestilling som sto for brorparten. I første halvår 2019 (et normalår) var det 164 500 meldte reiseskader. Hittil i år er det naturlig nok få reisesykeskader og avbestillingsaker.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5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Fritidsbåt – juni 2020 svært varm – mer normalt i år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I fjor var været i juni svært varmt og gunstig i store deler av landet. I år er det fortsatt mange skader, men noe færre enn til samme tid i fjor. Hittil i år er det 5400 skader mot 5600 i fjor til samme tid, mens det i 2019 var 4400. Tross færre skader hittil i år sammenlignet med på samme tid i fjor så har havariskadene likevel hatt en økning. Totalt ble det erstattet båtskader for rundt 247 mill.kr første halvår 2021 mot 263 mill.kr i fjor. Erstatning etter havari står for 148,1 mill.kr i år mot 146,9 i fjor.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5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Behandlingsforsikring – økt bruk/behov som følge av hjemmekontor?</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Behandlingsforsikring har økende portefølje, så dermed øker også bruken. Antall saker har økt med 27 prosent fra i fjor; en del mer enn porteføljeveksten. Men i fjor var det en del nedstenging av blant annet fysioterapitilbudet, slik at da var færre som fikk brukt tilbudet. I år er det størst vekst i bruk av psykolog. Totalt er det erstatningsbeløp på 830 mill.kr som er en økning på 20 prosent fra i fjor. Utredning hos legespesialist/diagnostisering utgjør nesten 294 mill.kr av totalen på 830 mill.kr og operasjoner står for nesten 247 mill.kr. </a:t>
          </a: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200" b="0" i="0" strike="noStrike">
            <a:solidFill>
              <a:srgbClr val="000000"/>
            </a:solidFill>
            <a:latin typeface="Times New Roman"/>
            <a:cs typeface="Times New Roman"/>
          </a:endParaRPr>
        </a:p>
        <a:p>
          <a:pPr rtl="0"/>
          <a:r>
            <a:rPr lang="en-US" sz="1050" b="0" i="0">
              <a:effectLst/>
              <a:latin typeface="Times New Roman" panose="02020603050405020304" pitchFamily="18" charset="0"/>
              <a:ea typeface="+mn-ea"/>
              <a:cs typeface="Times New Roman" panose="02020603050405020304" pitchFamily="18" charset="0"/>
            </a:rPr>
            <a:t>   Codan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Danica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DNB Livsforsikring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Eika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Euro Accident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Euro Insurance LTD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Fremtind Livsforsikring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Fremtind Skadeforsikring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Frende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Gjensidige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HDI Global Specialty SE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If Skadeforsikring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Jernbanepersonalets bank og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KLP skadeforsikring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KNIF Trygghet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Landkreditt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Møretrygd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Nordea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Oslo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Oslo Pensjonsforsikring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Protector Forsikring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Skogbrand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Storebrand Forsikring    </a:t>
          </a:r>
          <a:endParaRPr lang="nb-NO" sz="1050">
            <a:effectLst/>
            <a:latin typeface="Times New Roman" panose="02020603050405020304" pitchFamily="18" charset="0"/>
            <a:cs typeface="Times New Roman" panose="02020603050405020304" pitchFamily="18" charset="0"/>
          </a:endParaRPr>
        </a:p>
        <a:p>
          <a:pPr rtl="0" eaLnBrk="1" fontAlgn="auto" latinLnBrk="0" hangingPunct="1"/>
          <a:r>
            <a:rPr lang="en-US" sz="1050" b="0" i="0">
              <a:effectLst/>
              <a:latin typeface="Times New Roman" panose="02020603050405020304" pitchFamily="18" charset="0"/>
              <a:ea typeface="+mn-ea"/>
              <a:cs typeface="Times New Roman" panose="02020603050405020304" pitchFamily="18" charset="0"/>
            </a:rPr>
            <a:t>   Telenor Forsikring</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Tryg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W R Berkley    </a:t>
          </a:r>
          <a:endParaRPr lang="nb-NO" sz="1050">
            <a:effectLst/>
            <a:latin typeface="Times New Roman" panose="02020603050405020304" pitchFamily="18" charset="0"/>
            <a:cs typeface="Times New Roman" panose="02020603050405020304" pitchFamily="18" charset="0"/>
          </a:endParaRPr>
        </a:p>
        <a:p>
          <a:pPr rtl="0"/>
          <a:r>
            <a:rPr lang="en-US" sz="1050" b="0" i="0">
              <a:effectLst/>
              <a:latin typeface="Times New Roman" panose="02020603050405020304" pitchFamily="18" charset="0"/>
              <a:ea typeface="+mn-ea"/>
              <a:cs typeface="Times New Roman" panose="02020603050405020304" pitchFamily="18" charset="0"/>
            </a:rPr>
            <a:t>   WaterCircles    </a:t>
          </a:r>
          <a:endParaRPr lang="nb-NO" sz="105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0" customWidth="1"/>
    <col min="2" max="4" width="11.42578125" style="150"/>
    <col min="5" max="5" width="14.140625" style="150" bestFit="1" customWidth="1"/>
    <col min="6" max="7" width="11.42578125" style="150"/>
    <col min="8" max="8" width="13.42578125" style="150" customWidth="1"/>
    <col min="9" max="9" width="11.42578125" style="150"/>
    <col min="10" max="10" width="13.42578125" style="150" bestFit="1" customWidth="1"/>
    <col min="11" max="256" width="11.42578125" style="150"/>
    <col min="257" max="257" width="16.28515625" style="150" customWidth="1"/>
    <col min="258" max="260" width="11.42578125" style="150"/>
    <col min="261" max="261" width="14.140625" style="150" bestFit="1" customWidth="1"/>
    <col min="262" max="263" width="11.42578125" style="150"/>
    <col min="264" max="264" width="13.42578125" style="150" customWidth="1"/>
    <col min="265" max="265" width="11.42578125" style="150"/>
    <col min="266" max="266" width="13.42578125" style="150" bestFit="1" customWidth="1"/>
    <col min="267" max="512" width="11.42578125" style="150"/>
    <col min="513" max="513" width="16.28515625" style="150" customWidth="1"/>
    <col min="514" max="516" width="11.42578125" style="150"/>
    <col min="517" max="517" width="14.140625" style="150" bestFit="1" customWidth="1"/>
    <col min="518" max="519" width="11.42578125" style="150"/>
    <col min="520" max="520" width="13.42578125" style="150" customWidth="1"/>
    <col min="521" max="521" width="11.42578125" style="150"/>
    <col min="522" max="522" width="13.42578125" style="150" bestFit="1" customWidth="1"/>
    <col min="523" max="768" width="11.42578125" style="150"/>
    <col min="769" max="769" width="16.28515625" style="150" customWidth="1"/>
    <col min="770" max="772" width="11.42578125" style="150"/>
    <col min="773" max="773" width="14.140625" style="150" bestFit="1" customWidth="1"/>
    <col min="774" max="775" width="11.42578125" style="150"/>
    <col min="776" max="776" width="13.42578125" style="150" customWidth="1"/>
    <col min="777" max="777" width="11.42578125" style="150"/>
    <col min="778" max="778" width="13.42578125" style="150" bestFit="1" customWidth="1"/>
    <col min="779" max="1024" width="11.42578125" style="150"/>
    <col min="1025" max="1025" width="16.28515625" style="150" customWidth="1"/>
    <col min="1026" max="1028" width="11.42578125" style="150"/>
    <col min="1029" max="1029" width="14.140625" style="150" bestFit="1" customWidth="1"/>
    <col min="1030" max="1031" width="11.42578125" style="150"/>
    <col min="1032" max="1032" width="13.42578125" style="150" customWidth="1"/>
    <col min="1033" max="1033" width="11.42578125" style="150"/>
    <col min="1034" max="1034" width="13.42578125" style="150" bestFit="1" customWidth="1"/>
    <col min="1035" max="1280" width="11.42578125" style="150"/>
    <col min="1281" max="1281" width="16.28515625" style="150" customWidth="1"/>
    <col min="1282" max="1284" width="11.42578125" style="150"/>
    <col min="1285" max="1285" width="14.140625" style="150" bestFit="1" customWidth="1"/>
    <col min="1286" max="1287" width="11.42578125" style="150"/>
    <col min="1288" max="1288" width="13.42578125" style="150" customWidth="1"/>
    <col min="1289" max="1289" width="11.42578125" style="150"/>
    <col min="1290" max="1290" width="13.42578125" style="150" bestFit="1" customWidth="1"/>
    <col min="1291" max="1536" width="11.42578125" style="150"/>
    <col min="1537" max="1537" width="16.28515625" style="150" customWidth="1"/>
    <col min="1538" max="1540" width="11.42578125" style="150"/>
    <col min="1541" max="1541" width="14.140625" style="150" bestFit="1" customWidth="1"/>
    <col min="1542" max="1543" width="11.42578125" style="150"/>
    <col min="1544" max="1544" width="13.42578125" style="150" customWidth="1"/>
    <col min="1545" max="1545" width="11.42578125" style="150"/>
    <col min="1546" max="1546" width="13.42578125" style="150" bestFit="1" customWidth="1"/>
    <col min="1547" max="1792" width="11.42578125" style="150"/>
    <col min="1793" max="1793" width="16.28515625" style="150" customWidth="1"/>
    <col min="1794" max="1796" width="11.42578125" style="150"/>
    <col min="1797" max="1797" width="14.140625" style="150" bestFit="1" customWidth="1"/>
    <col min="1798" max="1799" width="11.42578125" style="150"/>
    <col min="1800" max="1800" width="13.42578125" style="150" customWidth="1"/>
    <col min="1801" max="1801" width="11.42578125" style="150"/>
    <col min="1802" max="1802" width="13.42578125" style="150" bestFit="1" customWidth="1"/>
    <col min="1803" max="2048" width="11.42578125" style="150"/>
    <col min="2049" max="2049" width="16.28515625" style="150" customWidth="1"/>
    <col min="2050" max="2052" width="11.42578125" style="150"/>
    <col min="2053" max="2053" width="14.140625" style="150" bestFit="1" customWidth="1"/>
    <col min="2054" max="2055" width="11.42578125" style="150"/>
    <col min="2056" max="2056" width="13.42578125" style="150" customWidth="1"/>
    <col min="2057" max="2057" width="11.42578125" style="150"/>
    <col min="2058" max="2058" width="13.42578125" style="150" bestFit="1" customWidth="1"/>
    <col min="2059" max="2304" width="11.42578125" style="150"/>
    <col min="2305" max="2305" width="16.28515625" style="150" customWidth="1"/>
    <col min="2306" max="2308" width="11.42578125" style="150"/>
    <col min="2309" max="2309" width="14.140625" style="150" bestFit="1" customWidth="1"/>
    <col min="2310" max="2311" width="11.42578125" style="150"/>
    <col min="2312" max="2312" width="13.42578125" style="150" customWidth="1"/>
    <col min="2313" max="2313" width="11.42578125" style="150"/>
    <col min="2314" max="2314" width="13.42578125" style="150" bestFit="1" customWidth="1"/>
    <col min="2315" max="2560" width="11.42578125" style="150"/>
    <col min="2561" max="2561" width="16.28515625" style="150" customWidth="1"/>
    <col min="2562" max="2564" width="11.42578125" style="150"/>
    <col min="2565" max="2565" width="14.140625" style="150" bestFit="1" customWidth="1"/>
    <col min="2566" max="2567" width="11.42578125" style="150"/>
    <col min="2568" max="2568" width="13.42578125" style="150" customWidth="1"/>
    <col min="2569" max="2569" width="11.42578125" style="150"/>
    <col min="2570" max="2570" width="13.42578125" style="150" bestFit="1" customWidth="1"/>
    <col min="2571" max="2816" width="11.42578125" style="150"/>
    <col min="2817" max="2817" width="16.28515625" style="150" customWidth="1"/>
    <col min="2818" max="2820" width="11.42578125" style="150"/>
    <col min="2821" max="2821" width="14.140625" style="150" bestFit="1" customWidth="1"/>
    <col min="2822" max="2823" width="11.42578125" style="150"/>
    <col min="2824" max="2824" width="13.42578125" style="150" customWidth="1"/>
    <col min="2825" max="2825" width="11.42578125" style="150"/>
    <col min="2826" max="2826" width="13.42578125" style="150" bestFit="1" customWidth="1"/>
    <col min="2827" max="3072" width="11.42578125" style="150"/>
    <col min="3073" max="3073" width="16.28515625" style="150" customWidth="1"/>
    <col min="3074" max="3076" width="11.42578125" style="150"/>
    <col min="3077" max="3077" width="14.140625" style="150" bestFit="1" customWidth="1"/>
    <col min="3078" max="3079" width="11.42578125" style="150"/>
    <col min="3080" max="3080" width="13.42578125" style="150" customWidth="1"/>
    <col min="3081" max="3081" width="11.42578125" style="150"/>
    <col min="3082" max="3082" width="13.42578125" style="150" bestFit="1" customWidth="1"/>
    <col min="3083" max="3328" width="11.42578125" style="150"/>
    <col min="3329" max="3329" width="16.28515625" style="150" customWidth="1"/>
    <col min="3330" max="3332" width="11.42578125" style="150"/>
    <col min="3333" max="3333" width="14.140625" style="150" bestFit="1" customWidth="1"/>
    <col min="3334" max="3335" width="11.42578125" style="150"/>
    <col min="3336" max="3336" width="13.42578125" style="150" customWidth="1"/>
    <col min="3337" max="3337" width="11.42578125" style="150"/>
    <col min="3338" max="3338" width="13.42578125" style="150" bestFit="1" customWidth="1"/>
    <col min="3339" max="3584" width="11.42578125" style="150"/>
    <col min="3585" max="3585" width="16.28515625" style="150" customWidth="1"/>
    <col min="3586" max="3588" width="11.42578125" style="150"/>
    <col min="3589" max="3589" width="14.140625" style="150" bestFit="1" customWidth="1"/>
    <col min="3590" max="3591" width="11.42578125" style="150"/>
    <col min="3592" max="3592" width="13.42578125" style="150" customWidth="1"/>
    <col min="3593" max="3593" width="11.42578125" style="150"/>
    <col min="3594" max="3594" width="13.42578125" style="150" bestFit="1" customWidth="1"/>
    <col min="3595" max="3840" width="11.42578125" style="150"/>
    <col min="3841" max="3841" width="16.28515625" style="150" customWidth="1"/>
    <col min="3842" max="3844" width="11.42578125" style="150"/>
    <col min="3845" max="3845" width="14.140625" style="150" bestFit="1" customWidth="1"/>
    <col min="3846" max="3847" width="11.42578125" style="150"/>
    <col min="3848" max="3848" width="13.42578125" style="150" customWidth="1"/>
    <col min="3849" max="3849" width="11.42578125" style="150"/>
    <col min="3850" max="3850" width="13.42578125" style="150" bestFit="1" customWidth="1"/>
    <col min="3851" max="4096" width="11.42578125" style="150"/>
    <col min="4097" max="4097" width="16.28515625" style="150" customWidth="1"/>
    <col min="4098" max="4100" width="11.42578125" style="150"/>
    <col min="4101" max="4101" width="14.140625" style="150" bestFit="1" customWidth="1"/>
    <col min="4102" max="4103" width="11.42578125" style="150"/>
    <col min="4104" max="4104" width="13.42578125" style="150" customWidth="1"/>
    <col min="4105" max="4105" width="11.42578125" style="150"/>
    <col min="4106" max="4106" width="13.42578125" style="150" bestFit="1" customWidth="1"/>
    <col min="4107" max="4352" width="11.42578125" style="150"/>
    <col min="4353" max="4353" width="16.28515625" style="150" customWidth="1"/>
    <col min="4354" max="4356" width="11.42578125" style="150"/>
    <col min="4357" max="4357" width="14.140625" style="150" bestFit="1" customWidth="1"/>
    <col min="4358" max="4359" width="11.42578125" style="150"/>
    <col min="4360" max="4360" width="13.42578125" style="150" customWidth="1"/>
    <col min="4361" max="4361" width="11.42578125" style="150"/>
    <col min="4362" max="4362" width="13.42578125" style="150" bestFit="1" customWidth="1"/>
    <col min="4363" max="4608" width="11.42578125" style="150"/>
    <col min="4609" max="4609" width="16.28515625" style="150" customWidth="1"/>
    <col min="4610" max="4612" width="11.42578125" style="150"/>
    <col min="4613" max="4613" width="14.140625" style="150" bestFit="1" customWidth="1"/>
    <col min="4614" max="4615" width="11.42578125" style="150"/>
    <col min="4616" max="4616" width="13.42578125" style="150" customWidth="1"/>
    <col min="4617" max="4617" width="11.42578125" style="150"/>
    <col min="4618" max="4618" width="13.42578125" style="150" bestFit="1" customWidth="1"/>
    <col min="4619" max="4864" width="11.42578125" style="150"/>
    <col min="4865" max="4865" width="16.28515625" style="150" customWidth="1"/>
    <col min="4866" max="4868" width="11.42578125" style="150"/>
    <col min="4869" max="4869" width="14.140625" style="150" bestFit="1" customWidth="1"/>
    <col min="4870" max="4871" width="11.42578125" style="150"/>
    <col min="4872" max="4872" width="13.42578125" style="150" customWidth="1"/>
    <col min="4873" max="4873" width="11.42578125" style="150"/>
    <col min="4874" max="4874" width="13.42578125" style="150" bestFit="1" customWidth="1"/>
    <col min="4875" max="5120" width="11.42578125" style="150"/>
    <col min="5121" max="5121" width="16.28515625" style="150" customWidth="1"/>
    <col min="5122" max="5124" width="11.42578125" style="150"/>
    <col min="5125" max="5125" width="14.140625" style="150" bestFit="1" customWidth="1"/>
    <col min="5126" max="5127" width="11.42578125" style="150"/>
    <col min="5128" max="5128" width="13.42578125" style="150" customWidth="1"/>
    <col min="5129" max="5129" width="11.42578125" style="150"/>
    <col min="5130" max="5130" width="13.42578125" style="150" bestFit="1" customWidth="1"/>
    <col min="5131" max="5376" width="11.42578125" style="150"/>
    <col min="5377" max="5377" width="16.28515625" style="150" customWidth="1"/>
    <col min="5378" max="5380" width="11.42578125" style="150"/>
    <col min="5381" max="5381" width="14.140625" style="150" bestFit="1" customWidth="1"/>
    <col min="5382" max="5383" width="11.42578125" style="150"/>
    <col min="5384" max="5384" width="13.42578125" style="150" customWidth="1"/>
    <col min="5385" max="5385" width="11.42578125" style="150"/>
    <col min="5386" max="5386" width="13.42578125" style="150" bestFit="1" customWidth="1"/>
    <col min="5387" max="5632" width="11.42578125" style="150"/>
    <col min="5633" max="5633" width="16.28515625" style="150" customWidth="1"/>
    <col min="5634" max="5636" width="11.42578125" style="150"/>
    <col min="5637" max="5637" width="14.140625" style="150" bestFit="1" customWidth="1"/>
    <col min="5638" max="5639" width="11.42578125" style="150"/>
    <col min="5640" max="5640" width="13.42578125" style="150" customWidth="1"/>
    <col min="5641" max="5641" width="11.42578125" style="150"/>
    <col min="5642" max="5642" width="13.42578125" style="150" bestFit="1" customWidth="1"/>
    <col min="5643" max="5888" width="11.42578125" style="150"/>
    <col min="5889" max="5889" width="16.28515625" style="150" customWidth="1"/>
    <col min="5890" max="5892" width="11.42578125" style="150"/>
    <col min="5893" max="5893" width="14.140625" style="150" bestFit="1" customWidth="1"/>
    <col min="5894" max="5895" width="11.42578125" style="150"/>
    <col min="5896" max="5896" width="13.42578125" style="150" customWidth="1"/>
    <col min="5897" max="5897" width="11.42578125" style="150"/>
    <col min="5898" max="5898" width="13.42578125" style="150" bestFit="1" customWidth="1"/>
    <col min="5899" max="6144" width="11.42578125" style="150"/>
    <col min="6145" max="6145" width="16.28515625" style="150" customWidth="1"/>
    <col min="6146" max="6148" width="11.42578125" style="150"/>
    <col min="6149" max="6149" width="14.140625" style="150" bestFit="1" customWidth="1"/>
    <col min="6150" max="6151" width="11.42578125" style="150"/>
    <col min="6152" max="6152" width="13.42578125" style="150" customWidth="1"/>
    <col min="6153" max="6153" width="11.42578125" style="150"/>
    <col min="6154" max="6154" width="13.42578125" style="150" bestFit="1" customWidth="1"/>
    <col min="6155" max="6400" width="11.42578125" style="150"/>
    <col min="6401" max="6401" width="16.28515625" style="150" customWidth="1"/>
    <col min="6402" max="6404" width="11.42578125" style="150"/>
    <col min="6405" max="6405" width="14.140625" style="150" bestFit="1" customWidth="1"/>
    <col min="6406" max="6407" width="11.42578125" style="150"/>
    <col min="6408" max="6408" width="13.42578125" style="150" customWidth="1"/>
    <col min="6409" max="6409" width="11.42578125" style="150"/>
    <col min="6410" max="6410" width="13.42578125" style="150" bestFit="1" customWidth="1"/>
    <col min="6411" max="6656" width="11.42578125" style="150"/>
    <col min="6657" max="6657" width="16.28515625" style="150" customWidth="1"/>
    <col min="6658" max="6660" width="11.42578125" style="150"/>
    <col min="6661" max="6661" width="14.140625" style="150" bestFit="1" customWidth="1"/>
    <col min="6662" max="6663" width="11.42578125" style="150"/>
    <col min="6664" max="6664" width="13.42578125" style="150" customWidth="1"/>
    <col min="6665" max="6665" width="11.42578125" style="150"/>
    <col min="6666" max="6666" width="13.42578125" style="150" bestFit="1" customWidth="1"/>
    <col min="6667" max="6912" width="11.42578125" style="150"/>
    <col min="6913" max="6913" width="16.28515625" style="150" customWidth="1"/>
    <col min="6914" max="6916" width="11.42578125" style="150"/>
    <col min="6917" max="6917" width="14.140625" style="150" bestFit="1" customWidth="1"/>
    <col min="6918" max="6919" width="11.42578125" style="150"/>
    <col min="6920" max="6920" width="13.42578125" style="150" customWidth="1"/>
    <col min="6921" max="6921" width="11.42578125" style="150"/>
    <col min="6922" max="6922" width="13.42578125" style="150" bestFit="1" customWidth="1"/>
    <col min="6923" max="7168" width="11.42578125" style="150"/>
    <col min="7169" max="7169" width="16.28515625" style="150" customWidth="1"/>
    <col min="7170" max="7172" width="11.42578125" style="150"/>
    <col min="7173" max="7173" width="14.140625" style="150" bestFit="1" customWidth="1"/>
    <col min="7174" max="7175" width="11.42578125" style="150"/>
    <col min="7176" max="7176" width="13.42578125" style="150" customWidth="1"/>
    <col min="7177" max="7177" width="11.42578125" style="150"/>
    <col min="7178" max="7178" width="13.42578125" style="150" bestFit="1" customWidth="1"/>
    <col min="7179" max="7424" width="11.42578125" style="150"/>
    <col min="7425" max="7425" width="16.28515625" style="150" customWidth="1"/>
    <col min="7426" max="7428" width="11.42578125" style="150"/>
    <col min="7429" max="7429" width="14.140625" style="150" bestFit="1" customWidth="1"/>
    <col min="7430" max="7431" width="11.42578125" style="150"/>
    <col min="7432" max="7432" width="13.42578125" style="150" customWidth="1"/>
    <col min="7433" max="7433" width="11.42578125" style="150"/>
    <col min="7434" max="7434" width="13.42578125" style="150" bestFit="1" customWidth="1"/>
    <col min="7435" max="7680" width="11.42578125" style="150"/>
    <col min="7681" max="7681" width="16.28515625" style="150" customWidth="1"/>
    <col min="7682" max="7684" width="11.42578125" style="150"/>
    <col min="7685" max="7685" width="14.140625" style="150" bestFit="1" customWidth="1"/>
    <col min="7686" max="7687" width="11.42578125" style="150"/>
    <col min="7688" max="7688" width="13.42578125" style="150" customWidth="1"/>
    <col min="7689" max="7689" width="11.42578125" style="150"/>
    <col min="7690" max="7690" width="13.42578125" style="150" bestFit="1" customWidth="1"/>
    <col min="7691" max="7936" width="11.42578125" style="150"/>
    <col min="7937" max="7937" width="16.28515625" style="150" customWidth="1"/>
    <col min="7938" max="7940" width="11.42578125" style="150"/>
    <col min="7941" max="7941" width="14.140625" style="150" bestFit="1" customWidth="1"/>
    <col min="7942" max="7943" width="11.42578125" style="150"/>
    <col min="7944" max="7944" width="13.42578125" style="150" customWidth="1"/>
    <col min="7945" max="7945" width="11.42578125" style="150"/>
    <col min="7946" max="7946" width="13.42578125" style="150" bestFit="1" customWidth="1"/>
    <col min="7947" max="8192" width="11.42578125" style="150"/>
    <col min="8193" max="8193" width="16.28515625" style="150" customWidth="1"/>
    <col min="8194" max="8196" width="11.42578125" style="150"/>
    <col min="8197" max="8197" width="14.140625" style="150" bestFit="1" customWidth="1"/>
    <col min="8198" max="8199" width="11.42578125" style="150"/>
    <col min="8200" max="8200" width="13.42578125" style="150" customWidth="1"/>
    <col min="8201" max="8201" width="11.42578125" style="150"/>
    <col min="8202" max="8202" width="13.42578125" style="150" bestFit="1" customWidth="1"/>
    <col min="8203" max="8448" width="11.42578125" style="150"/>
    <col min="8449" max="8449" width="16.28515625" style="150" customWidth="1"/>
    <col min="8450" max="8452" width="11.42578125" style="150"/>
    <col min="8453" max="8453" width="14.140625" style="150" bestFit="1" customWidth="1"/>
    <col min="8454" max="8455" width="11.42578125" style="150"/>
    <col min="8456" max="8456" width="13.42578125" style="150" customWidth="1"/>
    <col min="8457" max="8457" width="11.42578125" style="150"/>
    <col min="8458" max="8458" width="13.42578125" style="150" bestFit="1" customWidth="1"/>
    <col min="8459" max="8704" width="11.42578125" style="150"/>
    <col min="8705" max="8705" width="16.28515625" style="150" customWidth="1"/>
    <col min="8706" max="8708" width="11.42578125" style="150"/>
    <col min="8709" max="8709" width="14.140625" style="150" bestFit="1" customWidth="1"/>
    <col min="8710" max="8711" width="11.42578125" style="150"/>
    <col min="8712" max="8712" width="13.42578125" style="150" customWidth="1"/>
    <col min="8713" max="8713" width="11.42578125" style="150"/>
    <col min="8714" max="8714" width="13.42578125" style="150" bestFit="1" customWidth="1"/>
    <col min="8715" max="8960" width="11.42578125" style="150"/>
    <col min="8961" max="8961" width="16.28515625" style="150" customWidth="1"/>
    <col min="8962" max="8964" width="11.42578125" style="150"/>
    <col min="8965" max="8965" width="14.140625" style="150" bestFit="1" customWidth="1"/>
    <col min="8966" max="8967" width="11.42578125" style="150"/>
    <col min="8968" max="8968" width="13.42578125" style="150" customWidth="1"/>
    <col min="8969" max="8969" width="11.42578125" style="150"/>
    <col min="8970" max="8970" width="13.42578125" style="150" bestFit="1" customWidth="1"/>
    <col min="8971" max="9216" width="11.42578125" style="150"/>
    <col min="9217" max="9217" width="16.28515625" style="150" customWidth="1"/>
    <col min="9218" max="9220" width="11.42578125" style="150"/>
    <col min="9221" max="9221" width="14.140625" style="150" bestFit="1" customWidth="1"/>
    <col min="9222" max="9223" width="11.42578125" style="150"/>
    <col min="9224" max="9224" width="13.42578125" style="150" customWidth="1"/>
    <col min="9225" max="9225" width="11.42578125" style="150"/>
    <col min="9226" max="9226" width="13.42578125" style="150" bestFit="1" customWidth="1"/>
    <col min="9227" max="9472" width="11.42578125" style="150"/>
    <col min="9473" max="9473" width="16.28515625" style="150" customWidth="1"/>
    <col min="9474" max="9476" width="11.42578125" style="150"/>
    <col min="9477" max="9477" width="14.140625" style="150" bestFit="1" customWidth="1"/>
    <col min="9478" max="9479" width="11.42578125" style="150"/>
    <col min="9480" max="9480" width="13.42578125" style="150" customWidth="1"/>
    <col min="9481" max="9481" width="11.42578125" style="150"/>
    <col min="9482" max="9482" width="13.42578125" style="150" bestFit="1" customWidth="1"/>
    <col min="9483" max="9728" width="11.42578125" style="150"/>
    <col min="9729" max="9729" width="16.28515625" style="150" customWidth="1"/>
    <col min="9730" max="9732" width="11.42578125" style="150"/>
    <col min="9733" max="9733" width="14.140625" style="150" bestFit="1" customWidth="1"/>
    <col min="9734" max="9735" width="11.42578125" style="150"/>
    <col min="9736" max="9736" width="13.42578125" style="150" customWidth="1"/>
    <col min="9737" max="9737" width="11.42578125" style="150"/>
    <col min="9738" max="9738" width="13.42578125" style="150" bestFit="1" customWidth="1"/>
    <col min="9739" max="9984" width="11.42578125" style="150"/>
    <col min="9985" max="9985" width="16.28515625" style="150" customWidth="1"/>
    <col min="9986" max="9988" width="11.42578125" style="150"/>
    <col min="9989" max="9989" width="14.140625" style="150" bestFit="1" customWidth="1"/>
    <col min="9990" max="9991" width="11.42578125" style="150"/>
    <col min="9992" max="9992" width="13.42578125" style="150" customWidth="1"/>
    <col min="9993" max="9993" width="11.42578125" style="150"/>
    <col min="9994" max="9994" width="13.42578125" style="150" bestFit="1" customWidth="1"/>
    <col min="9995" max="10240" width="11.42578125" style="150"/>
    <col min="10241" max="10241" width="16.28515625" style="150" customWidth="1"/>
    <col min="10242" max="10244" width="11.42578125" style="150"/>
    <col min="10245" max="10245" width="14.140625" style="150" bestFit="1" customWidth="1"/>
    <col min="10246" max="10247" width="11.42578125" style="150"/>
    <col min="10248" max="10248" width="13.42578125" style="150" customWidth="1"/>
    <col min="10249" max="10249" width="11.42578125" style="150"/>
    <col min="10250" max="10250" width="13.42578125" style="150" bestFit="1" customWidth="1"/>
    <col min="10251" max="10496" width="11.42578125" style="150"/>
    <col min="10497" max="10497" width="16.28515625" style="150" customWidth="1"/>
    <col min="10498" max="10500" width="11.42578125" style="150"/>
    <col min="10501" max="10501" width="14.140625" style="150" bestFit="1" customWidth="1"/>
    <col min="10502" max="10503" width="11.42578125" style="150"/>
    <col min="10504" max="10504" width="13.42578125" style="150" customWidth="1"/>
    <col min="10505" max="10505" width="11.42578125" style="150"/>
    <col min="10506" max="10506" width="13.42578125" style="150" bestFit="1" customWidth="1"/>
    <col min="10507" max="10752" width="11.42578125" style="150"/>
    <col min="10753" max="10753" width="16.28515625" style="150" customWidth="1"/>
    <col min="10754" max="10756" width="11.42578125" style="150"/>
    <col min="10757" max="10757" width="14.140625" style="150" bestFit="1" customWidth="1"/>
    <col min="10758" max="10759" width="11.42578125" style="150"/>
    <col min="10760" max="10760" width="13.42578125" style="150" customWidth="1"/>
    <col min="10761" max="10761" width="11.42578125" style="150"/>
    <col min="10762" max="10762" width="13.42578125" style="150" bestFit="1" customWidth="1"/>
    <col min="10763" max="11008" width="11.42578125" style="150"/>
    <col min="11009" max="11009" width="16.28515625" style="150" customWidth="1"/>
    <col min="11010" max="11012" width="11.42578125" style="150"/>
    <col min="11013" max="11013" width="14.140625" style="150" bestFit="1" customWidth="1"/>
    <col min="11014" max="11015" width="11.42578125" style="150"/>
    <col min="11016" max="11016" width="13.42578125" style="150" customWidth="1"/>
    <col min="11017" max="11017" width="11.42578125" style="150"/>
    <col min="11018" max="11018" width="13.42578125" style="150" bestFit="1" customWidth="1"/>
    <col min="11019" max="11264" width="11.42578125" style="150"/>
    <col min="11265" max="11265" width="16.28515625" style="150" customWidth="1"/>
    <col min="11266" max="11268" width="11.42578125" style="150"/>
    <col min="11269" max="11269" width="14.140625" style="150" bestFit="1" customWidth="1"/>
    <col min="11270" max="11271" width="11.42578125" style="150"/>
    <col min="11272" max="11272" width="13.42578125" style="150" customWidth="1"/>
    <col min="11273" max="11273" width="11.42578125" style="150"/>
    <col min="11274" max="11274" width="13.42578125" style="150" bestFit="1" customWidth="1"/>
    <col min="11275" max="11520" width="11.42578125" style="150"/>
    <col min="11521" max="11521" width="16.28515625" style="150" customWidth="1"/>
    <col min="11522" max="11524" width="11.42578125" style="150"/>
    <col min="11525" max="11525" width="14.140625" style="150" bestFit="1" customWidth="1"/>
    <col min="11526" max="11527" width="11.42578125" style="150"/>
    <col min="11528" max="11528" width="13.42578125" style="150" customWidth="1"/>
    <col min="11529" max="11529" width="11.42578125" style="150"/>
    <col min="11530" max="11530" width="13.42578125" style="150" bestFit="1" customWidth="1"/>
    <col min="11531" max="11776" width="11.42578125" style="150"/>
    <col min="11777" max="11777" width="16.28515625" style="150" customWidth="1"/>
    <col min="11778" max="11780" width="11.42578125" style="150"/>
    <col min="11781" max="11781" width="14.140625" style="150" bestFit="1" customWidth="1"/>
    <col min="11782" max="11783" width="11.42578125" style="150"/>
    <col min="11784" max="11784" width="13.42578125" style="150" customWidth="1"/>
    <col min="11785" max="11785" width="11.42578125" style="150"/>
    <col min="11786" max="11786" width="13.42578125" style="150" bestFit="1" customWidth="1"/>
    <col min="11787" max="12032" width="11.42578125" style="150"/>
    <col min="12033" max="12033" width="16.28515625" style="150" customWidth="1"/>
    <col min="12034" max="12036" width="11.42578125" style="150"/>
    <col min="12037" max="12037" width="14.140625" style="150" bestFit="1" customWidth="1"/>
    <col min="12038" max="12039" width="11.42578125" style="150"/>
    <col min="12040" max="12040" width="13.42578125" style="150" customWidth="1"/>
    <col min="12041" max="12041" width="11.42578125" style="150"/>
    <col min="12042" max="12042" width="13.42578125" style="150" bestFit="1" customWidth="1"/>
    <col min="12043" max="12288" width="11.42578125" style="150"/>
    <col min="12289" max="12289" width="16.28515625" style="150" customWidth="1"/>
    <col min="12290" max="12292" width="11.42578125" style="150"/>
    <col min="12293" max="12293" width="14.140625" style="150" bestFit="1" customWidth="1"/>
    <col min="12294" max="12295" width="11.42578125" style="150"/>
    <col min="12296" max="12296" width="13.42578125" style="150" customWidth="1"/>
    <col min="12297" max="12297" width="11.42578125" style="150"/>
    <col min="12298" max="12298" width="13.42578125" style="150" bestFit="1" customWidth="1"/>
    <col min="12299" max="12544" width="11.42578125" style="150"/>
    <col min="12545" max="12545" width="16.28515625" style="150" customWidth="1"/>
    <col min="12546" max="12548" width="11.42578125" style="150"/>
    <col min="12549" max="12549" width="14.140625" style="150" bestFit="1" customWidth="1"/>
    <col min="12550" max="12551" width="11.42578125" style="150"/>
    <col min="12552" max="12552" width="13.42578125" style="150" customWidth="1"/>
    <col min="12553" max="12553" width="11.42578125" style="150"/>
    <col min="12554" max="12554" width="13.42578125" style="150" bestFit="1" customWidth="1"/>
    <col min="12555" max="12800" width="11.42578125" style="150"/>
    <col min="12801" max="12801" width="16.28515625" style="150" customWidth="1"/>
    <col min="12802" max="12804" width="11.42578125" style="150"/>
    <col min="12805" max="12805" width="14.140625" style="150" bestFit="1" customWidth="1"/>
    <col min="12806" max="12807" width="11.42578125" style="150"/>
    <col min="12808" max="12808" width="13.42578125" style="150" customWidth="1"/>
    <col min="12809" max="12809" width="11.42578125" style="150"/>
    <col min="12810" max="12810" width="13.42578125" style="150" bestFit="1" customWidth="1"/>
    <col min="12811" max="13056" width="11.42578125" style="150"/>
    <col min="13057" max="13057" width="16.28515625" style="150" customWidth="1"/>
    <col min="13058" max="13060" width="11.42578125" style="150"/>
    <col min="13061" max="13061" width="14.140625" style="150" bestFit="1" customWidth="1"/>
    <col min="13062" max="13063" width="11.42578125" style="150"/>
    <col min="13064" max="13064" width="13.42578125" style="150" customWidth="1"/>
    <col min="13065" max="13065" width="11.42578125" style="150"/>
    <col min="13066" max="13066" width="13.42578125" style="150" bestFit="1" customWidth="1"/>
    <col min="13067" max="13312" width="11.42578125" style="150"/>
    <col min="13313" max="13313" width="16.28515625" style="150" customWidth="1"/>
    <col min="13314" max="13316" width="11.42578125" style="150"/>
    <col min="13317" max="13317" width="14.140625" style="150" bestFit="1" customWidth="1"/>
    <col min="13318" max="13319" width="11.42578125" style="150"/>
    <col min="13320" max="13320" width="13.42578125" style="150" customWidth="1"/>
    <col min="13321" max="13321" width="11.42578125" style="150"/>
    <col min="13322" max="13322" width="13.42578125" style="150" bestFit="1" customWidth="1"/>
    <col min="13323" max="13568" width="11.42578125" style="150"/>
    <col min="13569" max="13569" width="16.28515625" style="150" customWidth="1"/>
    <col min="13570" max="13572" width="11.42578125" style="150"/>
    <col min="13573" max="13573" width="14.140625" style="150" bestFit="1" customWidth="1"/>
    <col min="13574" max="13575" width="11.42578125" style="150"/>
    <col min="13576" max="13576" width="13.42578125" style="150" customWidth="1"/>
    <col min="13577" max="13577" width="11.42578125" style="150"/>
    <col min="13578" max="13578" width="13.42578125" style="150" bestFit="1" customWidth="1"/>
    <col min="13579" max="13824" width="11.42578125" style="150"/>
    <col min="13825" max="13825" width="16.28515625" style="150" customWidth="1"/>
    <col min="13826" max="13828" width="11.42578125" style="150"/>
    <col min="13829" max="13829" width="14.140625" style="150" bestFit="1" customWidth="1"/>
    <col min="13830" max="13831" width="11.42578125" style="150"/>
    <col min="13832" max="13832" width="13.42578125" style="150" customWidth="1"/>
    <col min="13833" max="13833" width="11.42578125" style="150"/>
    <col min="13834" max="13834" width="13.42578125" style="150" bestFit="1" customWidth="1"/>
    <col min="13835" max="14080" width="11.42578125" style="150"/>
    <col min="14081" max="14081" width="16.28515625" style="150" customWidth="1"/>
    <col min="14082" max="14084" width="11.42578125" style="150"/>
    <col min="14085" max="14085" width="14.140625" style="150" bestFit="1" customWidth="1"/>
    <col min="14086" max="14087" width="11.42578125" style="150"/>
    <col min="14088" max="14088" width="13.42578125" style="150" customWidth="1"/>
    <col min="14089" max="14089" width="11.42578125" style="150"/>
    <col min="14090" max="14090" width="13.42578125" style="150" bestFit="1" customWidth="1"/>
    <col min="14091" max="14336" width="11.42578125" style="150"/>
    <col min="14337" max="14337" width="16.28515625" style="150" customWidth="1"/>
    <col min="14338" max="14340" width="11.42578125" style="150"/>
    <col min="14341" max="14341" width="14.140625" style="150" bestFit="1" customWidth="1"/>
    <col min="14342" max="14343" width="11.42578125" style="150"/>
    <col min="14344" max="14344" width="13.42578125" style="150" customWidth="1"/>
    <col min="14345" max="14345" width="11.42578125" style="150"/>
    <col min="14346" max="14346" width="13.42578125" style="150" bestFit="1" customWidth="1"/>
    <col min="14347" max="14592" width="11.42578125" style="150"/>
    <col min="14593" max="14593" width="16.28515625" style="150" customWidth="1"/>
    <col min="14594" max="14596" width="11.42578125" style="150"/>
    <col min="14597" max="14597" width="14.140625" style="150" bestFit="1" customWidth="1"/>
    <col min="14598" max="14599" width="11.42578125" style="150"/>
    <col min="14600" max="14600" width="13.42578125" style="150" customWidth="1"/>
    <col min="14601" max="14601" width="11.42578125" style="150"/>
    <col min="14602" max="14602" width="13.42578125" style="150" bestFit="1" customWidth="1"/>
    <col min="14603" max="14848" width="11.42578125" style="150"/>
    <col min="14849" max="14849" width="16.28515625" style="150" customWidth="1"/>
    <col min="14850" max="14852" width="11.42578125" style="150"/>
    <col min="14853" max="14853" width="14.140625" style="150" bestFit="1" customWidth="1"/>
    <col min="14854" max="14855" width="11.42578125" style="150"/>
    <col min="14856" max="14856" width="13.42578125" style="150" customWidth="1"/>
    <col min="14857" max="14857" width="11.42578125" style="150"/>
    <col min="14858" max="14858" width="13.42578125" style="150" bestFit="1" customWidth="1"/>
    <col min="14859" max="15104" width="11.42578125" style="150"/>
    <col min="15105" max="15105" width="16.28515625" style="150" customWidth="1"/>
    <col min="15106" max="15108" width="11.42578125" style="150"/>
    <col min="15109" max="15109" width="14.140625" style="150" bestFit="1" customWidth="1"/>
    <col min="15110" max="15111" width="11.42578125" style="150"/>
    <col min="15112" max="15112" width="13.42578125" style="150" customWidth="1"/>
    <col min="15113" max="15113" width="11.42578125" style="150"/>
    <col min="15114" max="15114" width="13.42578125" style="150" bestFit="1" customWidth="1"/>
    <col min="15115" max="15360" width="11.42578125" style="150"/>
    <col min="15361" max="15361" width="16.28515625" style="150" customWidth="1"/>
    <col min="15362" max="15364" width="11.42578125" style="150"/>
    <col min="15365" max="15365" width="14.140625" style="150" bestFit="1" customWidth="1"/>
    <col min="15366" max="15367" width="11.42578125" style="150"/>
    <col min="15368" max="15368" width="13.42578125" style="150" customWidth="1"/>
    <col min="15369" max="15369" width="11.42578125" style="150"/>
    <col min="15370" max="15370" width="13.42578125" style="150" bestFit="1" customWidth="1"/>
    <col min="15371" max="15616" width="11.42578125" style="150"/>
    <col min="15617" max="15617" width="16.28515625" style="150" customWidth="1"/>
    <col min="15618" max="15620" width="11.42578125" style="150"/>
    <col min="15621" max="15621" width="14.140625" style="150" bestFit="1" customWidth="1"/>
    <col min="15622" max="15623" width="11.42578125" style="150"/>
    <col min="15624" max="15624" width="13.42578125" style="150" customWidth="1"/>
    <col min="15625" max="15625" width="11.42578125" style="150"/>
    <col min="15626" max="15626" width="13.42578125" style="150" bestFit="1" customWidth="1"/>
    <col min="15627" max="15872" width="11.42578125" style="150"/>
    <col min="15873" max="15873" width="16.28515625" style="150" customWidth="1"/>
    <col min="15874" max="15876" width="11.42578125" style="150"/>
    <col min="15877" max="15877" width="14.140625" style="150" bestFit="1" customWidth="1"/>
    <col min="15878" max="15879" width="11.42578125" style="150"/>
    <col min="15880" max="15880" width="13.42578125" style="150" customWidth="1"/>
    <col min="15881" max="15881" width="11.42578125" style="150"/>
    <col min="15882" max="15882" width="13.42578125" style="150" bestFit="1" customWidth="1"/>
    <col min="15883" max="16128" width="11.42578125" style="150"/>
    <col min="16129" max="16129" width="16.28515625" style="150" customWidth="1"/>
    <col min="16130" max="16132" width="11.42578125" style="150"/>
    <col min="16133" max="16133" width="14.140625" style="150" bestFit="1" customWidth="1"/>
    <col min="16134" max="16135" width="11.42578125" style="150"/>
    <col min="16136" max="16136" width="13.42578125" style="150" customWidth="1"/>
    <col min="16137" max="16137" width="11.42578125" style="150"/>
    <col min="16138" max="16138" width="13.42578125" style="150" bestFit="1" customWidth="1"/>
    <col min="16139" max="16384" width="11.42578125" style="150"/>
  </cols>
  <sheetData>
    <row r="5" spans="2:9" x14ac:dyDescent="0.2">
      <c r="B5" s="151"/>
      <c r="C5" s="151"/>
      <c r="D5" s="151"/>
      <c r="E5" s="151"/>
      <c r="F5" s="151"/>
      <c r="G5" s="151"/>
      <c r="H5" s="151"/>
    </row>
    <row r="6" spans="2:9" ht="23.25" x14ac:dyDescent="0.35">
      <c r="B6" s="152"/>
      <c r="C6" s="151"/>
      <c r="D6" s="151"/>
      <c r="E6" s="151"/>
      <c r="F6" s="151"/>
      <c r="G6" s="151"/>
      <c r="H6" s="151"/>
      <c r="I6" s="153"/>
    </row>
    <row r="7" spans="2:9" x14ac:dyDescent="0.2">
      <c r="B7" s="151"/>
      <c r="C7" s="151"/>
      <c r="D7" s="151"/>
      <c r="E7" s="151"/>
      <c r="F7" s="151"/>
      <c r="G7" s="151"/>
      <c r="H7" s="151"/>
      <c r="I7" s="151"/>
    </row>
    <row r="8" spans="2:9" x14ac:dyDescent="0.2">
      <c r="B8" s="151"/>
      <c r="C8" s="151"/>
      <c r="D8" s="151"/>
      <c r="F8" s="151"/>
      <c r="G8" s="151"/>
      <c r="H8" s="151"/>
    </row>
    <row r="9" spans="2:9" x14ac:dyDescent="0.2">
      <c r="B9" s="151"/>
      <c r="C9" s="151"/>
      <c r="D9" s="151"/>
      <c r="E9" s="151"/>
      <c r="F9" s="151"/>
      <c r="G9" s="151"/>
      <c r="H9" s="151"/>
    </row>
    <row r="10" spans="2:9" ht="23.25" x14ac:dyDescent="0.35">
      <c r="B10" s="151"/>
      <c r="C10" s="151"/>
      <c r="D10" s="151"/>
      <c r="I10" s="153"/>
    </row>
    <row r="11" spans="2:9" x14ac:dyDescent="0.2">
      <c r="B11" s="151"/>
      <c r="C11" s="151"/>
      <c r="D11" s="151"/>
    </row>
    <row r="12" spans="2:9" ht="23.25" x14ac:dyDescent="0.35">
      <c r="B12" s="151"/>
      <c r="C12" s="151"/>
      <c r="D12" s="151"/>
      <c r="E12" s="151"/>
      <c r="F12" s="151"/>
      <c r="G12" s="151"/>
      <c r="H12" s="151"/>
      <c r="I12" s="153"/>
    </row>
    <row r="13" spans="2:9" ht="23.25" x14ac:dyDescent="0.35">
      <c r="B13" s="151"/>
      <c r="C13" s="154"/>
      <c r="D13" s="154"/>
      <c r="E13" s="154"/>
      <c r="F13" s="154"/>
      <c r="G13" s="154"/>
      <c r="H13" s="154"/>
      <c r="I13" s="153"/>
    </row>
    <row r="14" spans="2:9" x14ac:dyDescent="0.2">
      <c r="B14" s="151"/>
      <c r="C14" s="151"/>
      <c r="D14" s="151"/>
      <c r="F14" s="151"/>
      <c r="G14" s="151"/>
      <c r="H14" s="151"/>
    </row>
    <row r="15" spans="2:9" x14ac:dyDescent="0.2">
      <c r="B15" s="151"/>
      <c r="C15" s="151"/>
      <c r="D15" s="151"/>
      <c r="F15" s="151"/>
      <c r="G15" s="151"/>
      <c r="H15" s="151"/>
      <c r="I15" s="151"/>
    </row>
    <row r="16" spans="2:9" ht="34.5" x14ac:dyDescent="0.45">
      <c r="B16" s="151"/>
      <c r="C16" s="151"/>
      <c r="D16" s="151"/>
      <c r="E16" s="155"/>
      <c r="F16" s="151"/>
      <c r="G16" s="151"/>
      <c r="H16" s="151"/>
      <c r="I16" s="151"/>
    </row>
    <row r="17" spans="2:9" ht="33" x14ac:dyDescent="0.45">
      <c r="B17" s="151"/>
      <c r="C17" s="151"/>
      <c r="D17" s="151"/>
      <c r="E17" s="156"/>
      <c r="F17" s="151"/>
      <c r="G17" s="151"/>
      <c r="H17" s="151"/>
      <c r="I17" s="151"/>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42</v>
      </c>
      <c r="B7" s="19" t="s">
        <v>3</v>
      </c>
      <c r="C7" s="20">
        <v>214593.35876105269</v>
      </c>
      <c r="D7" s="20">
        <v>237964</v>
      </c>
      <c r="E7" s="21">
        <v>260973.6658162853</v>
      </c>
      <c r="F7" s="22" t="s">
        <v>240</v>
      </c>
      <c r="G7" s="23">
        <v>21.61311390203673</v>
      </c>
      <c r="H7" s="24">
        <v>9.6693894102827755</v>
      </c>
    </row>
    <row r="8" spans="1:8" x14ac:dyDescent="0.2">
      <c r="A8" s="206"/>
      <c r="B8" s="25" t="s">
        <v>241</v>
      </c>
      <c r="C8" s="26">
        <v>98699.424545248432</v>
      </c>
      <c r="D8" s="26">
        <v>106839.91951412651</v>
      </c>
      <c r="E8" s="26">
        <v>118109</v>
      </c>
      <c r="F8" s="27"/>
      <c r="G8" s="28">
        <v>19.665338014056317</v>
      </c>
      <c r="H8" s="29">
        <v>10.547631013877236</v>
      </c>
    </row>
    <row r="9" spans="1:8" x14ac:dyDescent="0.2">
      <c r="A9" s="30" t="s">
        <v>18</v>
      </c>
      <c r="B9" s="31" t="s">
        <v>3</v>
      </c>
      <c r="C9" s="20">
        <v>13497.019426086956</v>
      </c>
      <c r="D9" s="20">
        <v>12133</v>
      </c>
      <c r="E9" s="21">
        <v>12727.687442277849</v>
      </c>
      <c r="F9" s="22" t="s">
        <v>240</v>
      </c>
      <c r="G9" s="32">
        <v>-5.7000139032336818</v>
      </c>
      <c r="H9" s="33">
        <v>4.9014047826411371</v>
      </c>
    </row>
    <row r="10" spans="1:8" x14ac:dyDescent="0.2">
      <c r="A10" s="34"/>
      <c r="B10" s="25" t="s">
        <v>241</v>
      </c>
      <c r="C10" s="26">
        <v>5222.1544260869559</v>
      </c>
      <c r="D10" s="26">
        <v>5288.262020553826</v>
      </c>
      <c r="E10" s="26">
        <v>5323</v>
      </c>
      <c r="F10" s="27"/>
      <c r="G10" s="35">
        <v>1.9311105280471281</v>
      </c>
      <c r="H10" s="29">
        <v>0.6568883937890746</v>
      </c>
    </row>
    <row r="11" spans="1:8" x14ac:dyDescent="0.2">
      <c r="A11" s="30" t="s">
        <v>19</v>
      </c>
      <c r="B11" s="31" t="s">
        <v>3</v>
      </c>
      <c r="C11" s="20">
        <v>8872.3980869565221</v>
      </c>
      <c r="D11" s="20">
        <v>8652</v>
      </c>
      <c r="E11" s="21">
        <v>12491.273353729266</v>
      </c>
      <c r="F11" s="22" t="s">
        <v>240</v>
      </c>
      <c r="G11" s="37">
        <v>40.788017301578492</v>
      </c>
      <c r="H11" s="33">
        <v>44.374403071304528</v>
      </c>
    </row>
    <row r="12" spans="1:8" x14ac:dyDescent="0.2">
      <c r="A12" s="34"/>
      <c r="B12" s="25" t="s">
        <v>241</v>
      </c>
      <c r="C12" s="26">
        <v>3506.8480869565219</v>
      </c>
      <c r="D12" s="26">
        <v>3244.8734018460873</v>
      </c>
      <c r="E12" s="26">
        <v>4766</v>
      </c>
      <c r="F12" s="27"/>
      <c r="G12" s="28">
        <v>35.905516344628836</v>
      </c>
      <c r="H12" s="29">
        <v>46.877841128979242</v>
      </c>
    </row>
    <row r="13" spans="1:8" x14ac:dyDescent="0.2">
      <c r="A13" s="30" t="s">
        <v>20</v>
      </c>
      <c r="B13" s="31" t="s">
        <v>3</v>
      </c>
      <c r="C13" s="20">
        <v>26709.618136645964</v>
      </c>
      <c r="D13" s="20">
        <v>29205</v>
      </c>
      <c r="E13" s="21">
        <v>26252.103118343031</v>
      </c>
      <c r="F13" s="22" t="s">
        <v>240</v>
      </c>
      <c r="G13" s="23">
        <v>-1.7129223486546721</v>
      </c>
      <c r="H13" s="24">
        <v>-10.110929230121442</v>
      </c>
    </row>
    <row r="14" spans="1:8" x14ac:dyDescent="0.2">
      <c r="A14" s="34"/>
      <c r="B14" s="25" t="s">
        <v>241</v>
      </c>
      <c r="C14" s="26">
        <v>11863.403850931676</v>
      </c>
      <c r="D14" s="26">
        <v>12627.415905640994</v>
      </c>
      <c r="E14" s="26">
        <v>11452</v>
      </c>
      <c r="F14" s="27"/>
      <c r="G14" s="38">
        <v>-3.4678398889654858</v>
      </c>
      <c r="H14" s="24">
        <v>-9.3084437419686594</v>
      </c>
    </row>
    <row r="15" spans="1:8" x14ac:dyDescent="0.2">
      <c r="A15" s="30" t="s">
        <v>21</v>
      </c>
      <c r="B15" s="31" t="s">
        <v>3</v>
      </c>
      <c r="C15" s="20">
        <v>1392.4719565217392</v>
      </c>
      <c r="D15" s="20">
        <v>2089</v>
      </c>
      <c r="E15" s="21">
        <v>3096.6829749106737</v>
      </c>
      <c r="F15" s="22" t="s">
        <v>240</v>
      </c>
      <c r="G15" s="37">
        <v>122.38745709794324</v>
      </c>
      <c r="H15" s="33">
        <v>48.237576587394614</v>
      </c>
    </row>
    <row r="16" spans="1:8" x14ac:dyDescent="0.2">
      <c r="A16" s="34"/>
      <c r="B16" s="25" t="s">
        <v>241</v>
      </c>
      <c r="C16" s="26">
        <v>668.86778985507249</v>
      </c>
      <c r="D16" s="26">
        <v>786.12130581195652</v>
      </c>
      <c r="E16" s="26">
        <v>1256</v>
      </c>
      <c r="F16" s="27"/>
      <c r="G16" s="28">
        <v>87.780009599826116</v>
      </c>
      <c r="H16" s="29">
        <v>59.771779585940948</v>
      </c>
    </row>
    <row r="17" spans="1:8" x14ac:dyDescent="0.2">
      <c r="A17" s="30" t="s">
        <v>22</v>
      </c>
      <c r="B17" s="31" t="s">
        <v>3</v>
      </c>
      <c r="C17" s="20">
        <v>6695.4719565217392</v>
      </c>
      <c r="D17" s="20">
        <v>5918</v>
      </c>
      <c r="E17" s="21">
        <v>5538.1860334310377</v>
      </c>
      <c r="F17" s="22" t="s">
        <v>240</v>
      </c>
      <c r="G17" s="37">
        <v>-17.284605635058242</v>
      </c>
      <c r="H17" s="33">
        <v>-6.4179446868699301</v>
      </c>
    </row>
    <row r="18" spans="1:8" x14ac:dyDescent="0.2">
      <c r="A18" s="34"/>
      <c r="B18" s="25" t="s">
        <v>241</v>
      </c>
      <c r="C18" s="26">
        <v>5355.8677898550723</v>
      </c>
      <c r="D18" s="26">
        <v>2478.1213058119565</v>
      </c>
      <c r="E18" s="26">
        <v>2757</v>
      </c>
      <c r="F18" s="27"/>
      <c r="G18" s="28">
        <v>-48.523748005463673</v>
      </c>
      <c r="H18" s="29">
        <v>11.253633691538312</v>
      </c>
    </row>
    <row r="19" spans="1:8" x14ac:dyDescent="0.2">
      <c r="A19" s="30" t="s">
        <v>189</v>
      </c>
      <c r="B19" s="31" t="s">
        <v>3</v>
      </c>
      <c r="C19" s="20">
        <v>142574.0453416149</v>
      </c>
      <c r="D19" s="20">
        <v>166646</v>
      </c>
      <c r="E19" s="21">
        <v>204772.81086596122</v>
      </c>
      <c r="F19" s="22" t="s">
        <v>240</v>
      </c>
      <c r="G19" s="23">
        <v>43.625587935949227</v>
      </c>
      <c r="H19" s="24">
        <v>22.878923506091482</v>
      </c>
    </row>
    <row r="20" spans="1:8" x14ac:dyDescent="0.2">
      <c r="A20" s="30"/>
      <c r="B20" s="25" t="s">
        <v>241</v>
      </c>
      <c r="C20" s="26">
        <v>53480.009627329193</v>
      </c>
      <c r="D20" s="26">
        <v>75097.03976410249</v>
      </c>
      <c r="E20" s="26">
        <v>86474</v>
      </c>
      <c r="F20" s="27"/>
      <c r="G20" s="38">
        <v>61.694062141324508</v>
      </c>
      <c r="H20" s="24">
        <v>15.149678697902374</v>
      </c>
    </row>
    <row r="21" spans="1:8" x14ac:dyDescent="0.2">
      <c r="A21" s="39" t="s">
        <v>12</v>
      </c>
      <c r="B21" s="31" t="s">
        <v>3</v>
      </c>
      <c r="C21" s="20">
        <v>1460.2831739130436</v>
      </c>
      <c r="D21" s="20">
        <v>1853</v>
      </c>
      <c r="E21" s="21">
        <v>2133.5489872998769</v>
      </c>
      <c r="F21" s="22" t="s">
        <v>240</v>
      </c>
      <c r="G21" s="37">
        <v>46.105154494297068</v>
      </c>
      <c r="H21" s="33">
        <v>15.140258354013866</v>
      </c>
    </row>
    <row r="22" spans="1:8" x14ac:dyDescent="0.2">
      <c r="A22" s="34"/>
      <c r="B22" s="25" t="s">
        <v>241</v>
      </c>
      <c r="C22" s="26">
        <v>650.32067391304349</v>
      </c>
      <c r="D22" s="26">
        <v>789.07278348717387</v>
      </c>
      <c r="E22" s="26">
        <v>922</v>
      </c>
      <c r="F22" s="27"/>
      <c r="G22" s="28">
        <v>41.776209335655182</v>
      </c>
      <c r="H22" s="29">
        <v>16.846001952491221</v>
      </c>
    </row>
    <row r="23" spans="1:8" x14ac:dyDescent="0.2">
      <c r="A23" s="39" t="s">
        <v>23</v>
      </c>
      <c r="B23" s="31" t="s">
        <v>3</v>
      </c>
      <c r="C23" s="20">
        <v>5200.4719565217392</v>
      </c>
      <c r="D23" s="20">
        <v>5386</v>
      </c>
      <c r="E23" s="21">
        <v>5771.688436048732</v>
      </c>
      <c r="F23" s="22" t="s">
        <v>240</v>
      </c>
      <c r="G23" s="23">
        <v>10.983935387069039</v>
      </c>
      <c r="H23" s="24">
        <v>7.1609438553422251</v>
      </c>
    </row>
    <row r="24" spans="1:8" x14ac:dyDescent="0.2">
      <c r="A24" s="34"/>
      <c r="B24" s="25" t="s">
        <v>241</v>
      </c>
      <c r="C24" s="26">
        <v>2603.8677898550723</v>
      </c>
      <c r="D24" s="26">
        <v>2600.1213058119565</v>
      </c>
      <c r="E24" s="26">
        <v>2820</v>
      </c>
      <c r="F24" s="27"/>
      <c r="G24" s="28">
        <v>8.3004294990321768</v>
      </c>
      <c r="H24" s="29">
        <v>8.4564783072450069</v>
      </c>
    </row>
    <row r="25" spans="1:8" x14ac:dyDescent="0.2">
      <c r="A25" s="30" t="s">
        <v>24</v>
      </c>
      <c r="B25" s="31" t="s">
        <v>3</v>
      </c>
      <c r="C25" s="20">
        <v>10875.943913043478</v>
      </c>
      <c r="D25" s="20">
        <v>9242</v>
      </c>
      <c r="E25" s="21">
        <v>6019.0356605144725</v>
      </c>
      <c r="F25" s="22" t="s">
        <v>240</v>
      </c>
      <c r="G25" s="23">
        <v>-44.657349204459706</v>
      </c>
      <c r="H25" s="24">
        <v>-34.87301817231689</v>
      </c>
    </row>
    <row r="26" spans="1:8" ht="13.5" thickBot="1" x14ac:dyDescent="0.25">
      <c r="A26" s="41"/>
      <c r="B26" s="42" t="s">
        <v>241</v>
      </c>
      <c r="C26" s="43">
        <v>16512.735579710145</v>
      </c>
      <c r="D26" s="43">
        <v>5114.242611623913</v>
      </c>
      <c r="E26" s="43">
        <v>4226</v>
      </c>
      <c r="F26" s="44"/>
      <c r="G26" s="45">
        <v>-74.407632341714148</v>
      </c>
      <c r="H26" s="46">
        <v>-17.368018670155962</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42</v>
      </c>
      <c r="B35" s="19" t="s">
        <v>3</v>
      </c>
      <c r="C35" s="80">
        <v>1738.0038904658559</v>
      </c>
      <c r="D35" s="80">
        <v>1739.1286627570805</v>
      </c>
      <c r="E35" s="83">
        <v>1919.2566660077623</v>
      </c>
      <c r="F35" s="22" t="s">
        <v>240</v>
      </c>
      <c r="G35" s="23">
        <v>10.428789977755642</v>
      </c>
      <c r="H35" s="24">
        <v>10.357370740191271</v>
      </c>
    </row>
    <row r="36" spans="1:8" ht="12.75" customHeight="1" x14ac:dyDescent="0.2">
      <c r="A36" s="206"/>
      <c r="B36" s="25" t="s">
        <v>241</v>
      </c>
      <c r="C36" s="82">
        <v>759.56154011375554</v>
      </c>
      <c r="D36" s="82">
        <v>793.24886203187941</v>
      </c>
      <c r="E36" s="82">
        <v>862.84680868936334</v>
      </c>
      <c r="F36" s="27"/>
      <c r="G36" s="28">
        <v>13.59801189514404</v>
      </c>
      <c r="H36" s="29">
        <v>8.7737846202780929</v>
      </c>
    </row>
    <row r="37" spans="1:8" x14ac:dyDescent="0.2">
      <c r="A37" s="30" t="s">
        <v>18</v>
      </c>
      <c r="B37" s="31" t="s">
        <v>3</v>
      </c>
      <c r="C37" s="80">
        <v>496.66997622316154</v>
      </c>
      <c r="D37" s="80">
        <v>445.74235518505697</v>
      </c>
      <c r="E37" s="83">
        <v>478.22628347576318</v>
      </c>
      <c r="F37" s="22" t="s">
        <v>240</v>
      </c>
      <c r="G37" s="32">
        <v>-3.713470439193884</v>
      </c>
      <c r="H37" s="33">
        <v>7.2876018876913804</v>
      </c>
    </row>
    <row r="38" spans="1:8" x14ac:dyDescent="0.2">
      <c r="A38" s="34"/>
      <c r="B38" s="25" t="s">
        <v>241</v>
      </c>
      <c r="C38" s="82">
        <v>234.10595361832424</v>
      </c>
      <c r="D38" s="82">
        <v>229.63923733650293</v>
      </c>
      <c r="E38" s="82">
        <v>238.96696023664001</v>
      </c>
      <c r="F38" s="27"/>
      <c r="G38" s="35">
        <v>2.0764130698875505</v>
      </c>
      <c r="H38" s="29">
        <v>4.0619029257916708</v>
      </c>
    </row>
    <row r="39" spans="1:8" x14ac:dyDescent="0.2">
      <c r="A39" s="30" t="s">
        <v>19</v>
      </c>
      <c r="B39" s="31" t="s">
        <v>3</v>
      </c>
      <c r="C39" s="80">
        <v>225.58190716607882</v>
      </c>
      <c r="D39" s="80">
        <v>132.70640476573286</v>
      </c>
      <c r="E39" s="83">
        <v>180.47168418253267</v>
      </c>
      <c r="F39" s="22" t="s">
        <v>240</v>
      </c>
      <c r="G39" s="37">
        <v>-19.997269971804485</v>
      </c>
      <c r="H39" s="33">
        <v>35.993198294475746</v>
      </c>
    </row>
    <row r="40" spans="1:8" x14ac:dyDescent="0.2">
      <c r="A40" s="34"/>
      <c r="B40" s="25" t="s">
        <v>241</v>
      </c>
      <c r="C40" s="82">
        <v>58.490592326255104</v>
      </c>
      <c r="D40" s="82">
        <v>48.048530317267101</v>
      </c>
      <c r="E40" s="82">
        <v>57.716648478272639</v>
      </c>
      <c r="F40" s="27"/>
      <c r="G40" s="28">
        <v>-1.3231937260362798</v>
      </c>
      <c r="H40" s="29">
        <v>20.121568957814986</v>
      </c>
    </row>
    <row r="41" spans="1:8" x14ac:dyDescent="0.2">
      <c r="A41" s="30" t="s">
        <v>20</v>
      </c>
      <c r="B41" s="31" t="s">
        <v>3</v>
      </c>
      <c r="C41" s="80">
        <v>266.0323258711706</v>
      </c>
      <c r="D41" s="80">
        <v>283.56403810824088</v>
      </c>
      <c r="E41" s="83">
        <v>263.80433913722783</v>
      </c>
      <c r="F41" s="22" t="s">
        <v>240</v>
      </c>
      <c r="G41" s="23">
        <v>-0.83748722139192466</v>
      </c>
      <c r="H41" s="24">
        <v>-6.9683374178323874</v>
      </c>
    </row>
    <row r="42" spans="1:8" x14ac:dyDescent="0.2">
      <c r="A42" s="34"/>
      <c r="B42" s="25" t="s">
        <v>241</v>
      </c>
      <c r="C42" s="82">
        <v>116.2006387080697</v>
      </c>
      <c r="D42" s="82">
        <v>127.508357468196</v>
      </c>
      <c r="E42" s="82">
        <v>117.46923330002343</v>
      </c>
      <c r="F42" s="27"/>
      <c r="G42" s="38">
        <v>1.0917277271950354</v>
      </c>
      <c r="H42" s="24">
        <v>-7.8733067914207879</v>
      </c>
    </row>
    <row r="43" spans="1:8" x14ac:dyDescent="0.2">
      <c r="A43" s="30" t="s">
        <v>21</v>
      </c>
      <c r="B43" s="31" t="s">
        <v>3</v>
      </c>
      <c r="C43" s="80">
        <v>9.1229695792220831</v>
      </c>
      <c r="D43" s="80">
        <v>12.890875694108432</v>
      </c>
      <c r="E43" s="83">
        <v>18.131496510415936</v>
      </c>
      <c r="F43" s="22" t="s">
        <v>240</v>
      </c>
      <c r="G43" s="37">
        <v>98.745554865283367</v>
      </c>
      <c r="H43" s="33">
        <v>40.653722374366254</v>
      </c>
    </row>
    <row r="44" spans="1:8" x14ac:dyDescent="0.2">
      <c r="A44" s="34"/>
      <c r="B44" s="25" t="s">
        <v>241</v>
      </c>
      <c r="C44" s="82">
        <v>3.9638058773314699</v>
      </c>
      <c r="D44" s="82">
        <v>5.3159338041658142</v>
      </c>
      <c r="E44" s="82">
        <v>7.6060582528845924</v>
      </c>
      <c r="F44" s="27"/>
      <c r="G44" s="28">
        <v>91.887758590367071</v>
      </c>
      <c r="H44" s="29">
        <v>43.080379347916818</v>
      </c>
    </row>
    <row r="45" spans="1:8" x14ac:dyDescent="0.2">
      <c r="A45" s="30" t="s">
        <v>22</v>
      </c>
      <c r="B45" s="31" t="s">
        <v>3</v>
      </c>
      <c r="C45" s="80">
        <v>29.893299271651255</v>
      </c>
      <c r="D45" s="80">
        <v>27.984178563933121</v>
      </c>
      <c r="E45" s="83">
        <v>26.963203269293651</v>
      </c>
      <c r="F45" s="22" t="s">
        <v>240</v>
      </c>
      <c r="G45" s="37">
        <v>-9.8018488214725323</v>
      </c>
      <c r="H45" s="33">
        <v>-3.6484018721754978</v>
      </c>
    </row>
    <row r="46" spans="1:8" x14ac:dyDescent="0.2">
      <c r="A46" s="34"/>
      <c r="B46" s="25" t="s">
        <v>241</v>
      </c>
      <c r="C46" s="82">
        <v>21.221275928881703</v>
      </c>
      <c r="D46" s="82">
        <v>10.910222109576901</v>
      </c>
      <c r="E46" s="82">
        <v>12.371187752705694</v>
      </c>
      <c r="F46" s="27"/>
      <c r="G46" s="28">
        <v>-41.703845734041032</v>
      </c>
      <c r="H46" s="29">
        <v>13.390796525089698</v>
      </c>
    </row>
    <row r="47" spans="1:8" x14ac:dyDescent="0.2">
      <c r="A47" s="30" t="s">
        <v>189</v>
      </c>
      <c r="B47" s="31" t="s">
        <v>3</v>
      </c>
      <c r="C47" s="80">
        <v>475.55157261504684</v>
      </c>
      <c r="D47" s="80">
        <v>597.04541345724635</v>
      </c>
      <c r="E47" s="83">
        <v>771.37276949213413</v>
      </c>
      <c r="F47" s="22" t="s">
        <v>240</v>
      </c>
      <c r="G47" s="23">
        <v>62.205912862483785</v>
      </c>
      <c r="H47" s="24">
        <v>29.198341048368349</v>
      </c>
    </row>
    <row r="48" spans="1:8" x14ac:dyDescent="0.2">
      <c r="A48" s="30"/>
      <c r="B48" s="25" t="s">
        <v>241</v>
      </c>
      <c r="C48" s="82">
        <v>174.08157660594443</v>
      </c>
      <c r="D48" s="82">
        <v>265.58723038159371</v>
      </c>
      <c r="E48" s="82">
        <v>320.16847718936134</v>
      </c>
      <c r="F48" s="27"/>
      <c r="G48" s="38">
        <v>83.91864517294843</v>
      </c>
      <c r="H48" s="24">
        <v>20.551156292170262</v>
      </c>
    </row>
    <row r="49" spans="1:8" x14ac:dyDescent="0.2">
      <c r="A49" s="39" t="s">
        <v>12</v>
      </c>
      <c r="B49" s="31" t="s">
        <v>3</v>
      </c>
      <c r="C49" s="80">
        <v>25.186969873632858</v>
      </c>
      <c r="D49" s="80">
        <v>19.59035929311144</v>
      </c>
      <c r="E49" s="83">
        <v>31.927900261343041</v>
      </c>
      <c r="F49" s="22" t="s">
        <v>240</v>
      </c>
      <c r="G49" s="37">
        <v>26.763562355974258</v>
      </c>
      <c r="H49" s="33">
        <v>62.977614568661096</v>
      </c>
    </row>
    <row r="50" spans="1:8" x14ac:dyDescent="0.2">
      <c r="A50" s="34"/>
      <c r="B50" s="25" t="s">
        <v>241</v>
      </c>
      <c r="C50" s="82">
        <v>10.215436383958703</v>
      </c>
      <c r="D50" s="82">
        <v>7.1280342285577776</v>
      </c>
      <c r="E50" s="82">
        <v>12.029672203772073</v>
      </c>
      <c r="F50" s="27"/>
      <c r="G50" s="28">
        <v>17.759748596371878</v>
      </c>
      <c r="H50" s="29">
        <v>68.765634648278734</v>
      </c>
    </row>
    <row r="51" spans="1:8" x14ac:dyDescent="0.2">
      <c r="A51" s="39" t="s">
        <v>23</v>
      </c>
      <c r="B51" s="31" t="s">
        <v>3</v>
      </c>
      <c r="C51" s="80">
        <v>107.9049490050141</v>
      </c>
      <c r="D51" s="80">
        <v>118.70036905708616</v>
      </c>
      <c r="E51" s="83">
        <v>129.38141700796535</v>
      </c>
      <c r="F51" s="22" t="s">
        <v>240</v>
      </c>
      <c r="G51" s="23">
        <v>19.903135306568089</v>
      </c>
      <c r="H51" s="24">
        <v>8.9983274995062459</v>
      </c>
    </row>
    <row r="52" spans="1:8" x14ac:dyDescent="0.2">
      <c r="A52" s="34"/>
      <c r="B52" s="25" t="s">
        <v>241</v>
      </c>
      <c r="C52" s="82">
        <v>50.060452908978554</v>
      </c>
      <c r="D52" s="82">
        <v>48.785936908742663</v>
      </c>
      <c r="E52" s="82">
        <v>55.27809765244227</v>
      </c>
      <c r="F52" s="27"/>
      <c r="G52" s="38">
        <v>10.422687850928142</v>
      </c>
      <c r="H52" s="24">
        <v>13.307442994983631</v>
      </c>
    </row>
    <row r="53" spans="1:8" x14ac:dyDescent="0.2">
      <c r="A53" s="30" t="s">
        <v>24</v>
      </c>
      <c r="B53" s="31" t="s">
        <v>3</v>
      </c>
      <c r="C53" s="80">
        <v>102.05992086087726</v>
      </c>
      <c r="D53" s="80">
        <v>100.90466863256418</v>
      </c>
      <c r="E53" s="83">
        <v>70.506105851920665</v>
      </c>
      <c r="F53" s="22" t="s">
        <v>240</v>
      </c>
      <c r="G53" s="37">
        <v>-30.916950300176211</v>
      </c>
      <c r="H53" s="33">
        <v>-30.126022108389563</v>
      </c>
    </row>
    <row r="54" spans="1:8" ht="13.5" thickBot="1" x14ac:dyDescent="0.25">
      <c r="A54" s="41"/>
      <c r="B54" s="42" t="s">
        <v>241</v>
      </c>
      <c r="C54" s="86">
        <v>91.22180775601187</v>
      </c>
      <c r="D54" s="86">
        <v>50.325379477276499</v>
      </c>
      <c r="E54" s="86">
        <v>41.240473623261217</v>
      </c>
      <c r="F54" s="44"/>
      <c r="G54" s="45">
        <v>-54.790992814387288</v>
      </c>
      <c r="H54" s="46">
        <v>-18.052334524605826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14</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44</v>
      </c>
      <c r="B7" s="19" t="s">
        <v>3</v>
      </c>
      <c r="C7" s="20">
        <v>131285.51443171315</v>
      </c>
      <c r="D7" s="20">
        <v>140079.52566316118</v>
      </c>
      <c r="E7" s="21">
        <v>162016.03432588992</v>
      </c>
      <c r="F7" s="22" t="s">
        <v>240</v>
      </c>
      <c r="G7" s="23">
        <v>23.407395726175821</v>
      </c>
      <c r="H7" s="24">
        <v>15.660039223346487</v>
      </c>
    </row>
    <row r="8" spans="1:8" x14ac:dyDescent="0.2">
      <c r="A8" s="206"/>
      <c r="B8" s="25" t="s">
        <v>241</v>
      </c>
      <c r="C8" s="26">
        <v>62005.236871937072</v>
      </c>
      <c r="D8" s="26">
        <v>66159.205778553864</v>
      </c>
      <c r="E8" s="26">
        <v>76519.52491323532</v>
      </c>
      <c r="F8" s="27"/>
      <c r="G8" s="28">
        <v>23.408164815619401</v>
      </c>
      <c r="H8" s="29">
        <v>15.659678819844373</v>
      </c>
    </row>
    <row r="9" spans="1:8" x14ac:dyDescent="0.2">
      <c r="A9" s="30" t="s">
        <v>18</v>
      </c>
      <c r="B9" s="31" t="s">
        <v>3</v>
      </c>
      <c r="C9" s="20">
        <v>14911.881165217392</v>
      </c>
      <c r="D9" s="20">
        <v>12765.16556521739</v>
      </c>
      <c r="E9" s="21">
        <v>14154.007335444381</v>
      </c>
      <c r="F9" s="22" t="s">
        <v>240</v>
      </c>
      <c r="G9" s="32">
        <v>-5.0823489094104559</v>
      </c>
      <c r="H9" s="33">
        <v>10.879935423723097</v>
      </c>
    </row>
    <row r="10" spans="1:8" x14ac:dyDescent="0.2">
      <c r="A10" s="34"/>
      <c r="B10" s="25" t="s">
        <v>241</v>
      </c>
      <c r="C10" s="26">
        <v>6198.0060347826084</v>
      </c>
      <c r="D10" s="26">
        <v>5988.6991682136522</v>
      </c>
      <c r="E10" s="26">
        <v>6367.074373913043</v>
      </c>
      <c r="F10" s="27"/>
      <c r="G10" s="35">
        <v>2.7277859715147059</v>
      </c>
      <c r="H10" s="29">
        <v>6.3181534932945169</v>
      </c>
    </row>
    <row r="11" spans="1:8" x14ac:dyDescent="0.2">
      <c r="A11" s="30" t="s">
        <v>19</v>
      </c>
      <c r="B11" s="31" t="s">
        <v>3</v>
      </c>
      <c r="C11" s="20">
        <v>56415.9372173913</v>
      </c>
      <c r="D11" s="20">
        <v>55376.885217391304</v>
      </c>
      <c r="E11" s="21">
        <v>69865.352686697675</v>
      </c>
      <c r="F11" s="22" t="s">
        <v>240</v>
      </c>
      <c r="G11" s="37">
        <v>23.83974481799504</v>
      </c>
      <c r="H11" s="33">
        <v>26.163384618743805</v>
      </c>
    </row>
    <row r="12" spans="1:8" x14ac:dyDescent="0.2">
      <c r="A12" s="34"/>
      <c r="B12" s="25" t="s">
        <v>241</v>
      </c>
      <c r="C12" s="26">
        <v>26067.686782608693</v>
      </c>
      <c r="D12" s="26">
        <v>26795.330560712173</v>
      </c>
      <c r="E12" s="26">
        <v>33282.24791304348</v>
      </c>
      <c r="F12" s="27"/>
      <c r="G12" s="28">
        <v>27.676261382916607</v>
      </c>
      <c r="H12" s="29">
        <v>24.209133519116023</v>
      </c>
    </row>
    <row r="13" spans="1:8" x14ac:dyDescent="0.2">
      <c r="A13" s="30" t="s">
        <v>20</v>
      </c>
      <c r="B13" s="31" t="s">
        <v>3</v>
      </c>
      <c r="C13" s="20">
        <v>3652.7796273291924</v>
      </c>
      <c r="D13" s="20">
        <v>3448.0881987577641</v>
      </c>
      <c r="E13" s="21">
        <v>2557.9489196557297</v>
      </c>
      <c r="F13" s="22" t="s">
        <v>240</v>
      </c>
      <c r="G13" s="23">
        <v>-29.972536516635444</v>
      </c>
      <c r="H13" s="24">
        <v>-25.815444031354033</v>
      </c>
    </row>
    <row r="14" spans="1:8" x14ac:dyDescent="0.2">
      <c r="A14" s="34"/>
      <c r="B14" s="25" t="s">
        <v>241</v>
      </c>
      <c r="C14" s="26">
        <v>1925.5175155279503</v>
      </c>
      <c r="D14" s="26">
        <v>1651.2050289105591</v>
      </c>
      <c r="E14" s="26">
        <v>1263.4990062111801</v>
      </c>
      <c r="F14" s="27"/>
      <c r="G14" s="38">
        <v>-34.381328862399556</v>
      </c>
      <c r="H14" s="24">
        <v>-23.480186646184194</v>
      </c>
    </row>
    <row r="15" spans="1:8" x14ac:dyDescent="0.2">
      <c r="A15" s="30" t="s">
        <v>21</v>
      </c>
      <c r="B15" s="31" t="s">
        <v>3</v>
      </c>
      <c r="C15" s="20">
        <v>3363.6857246376812</v>
      </c>
      <c r="D15" s="20">
        <v>4300.3173913043483</v>
      </c>
      <c r="E15" s="21">
        <v>5035.2681176841888</v>
      </c>
      <c r="F15" s="22" t="s">
        <v>240</v>
      </c>
      <c r="G15" s="37">
        <v>49.694963498011134</v>
      </c>
      <c r="H15" s="33">
        <v>17.090615866307473</v>
      </c>
    </row>
    <row r="16" spans="1:8" x14ac:dyDescent="0.2">
      <c r="A16" s="34"/>
      <c r="B16" s="25" t="s">
        <v>241</v>
      </c>
      <c r="C16" s="26">
        <v>1710.1509420289854</v>
      </c>
      <c r="D16" s="26">
        <v>2203.434800098913</v>
      </c>
      <c r="E16" s="26">
        <v>2573.3122101449276</v>
      </c>
      <c r="F16" s="27"/>
      <c r="G16" s="28">
        <v>50.472811896466652</v>
      </c>
      <c r="H16" s="29">
        <v>16.786401396102619</v>
      </c>
    </row>
    <row r="17" spans="1:8" x14ac:dyDescent="0.2">
      <c r="A17" s="30" t="s">
        <v>22</v>
      </c>
      <c r="B17" s="31" t="s">
        <v>3</v>
      </c>
      <c r="C17" s="20">
        <v>492.68572463768118</v>
      </c>
      <c r="D17" s="20">
        <v>420.31739130434784</v>
      </c>
      <c r="E17" s="21">
        <v>286.81804770022069</v>
      </c>
      <c r="F17" s="22" t="s">
        <v>240</v>
      </c>
      <c r="G17" s="37">
        <v>-41.784786252707974</v>
      </c>
      <c r="H17" s="33">
        <v>-31.761555996968383</v>
      </c>
    </row>
    <row r="18" spans="1:8" x14ac:dyDescent="0.2">
      <c r="A18" s="34"/>
      <c r="B18" s="25" t="s">
        <v>241</v>
      </c>
      <c r="C18" s="26">
        <v>1364.1509420289854</v>
      </c>
      <c r="D18" s="26">
        <v>163.43480009891306</v>
      </c>
      <c r="E18" s="26">
        <v>156.31221014492755</v>
      </c>
      <c r="F18" s="27"/>
      <c r="G18" s="28">
        <v>-88.541428567103083</v>
      </c>
      <c r="H18" s="29">
        <v>-4.3580620220875943</v>
      </c>
    </row>
    <row r="19" spans="1:8" x14ac:dyDescent="0.2">
      <c r="A19" s="30" t="s">
        <v>189</v>
      </c>
      <c r="B19" s="31" t="s">
        <v>3</v>
      </c>
      <c r="C19" s="20">
        <v>35585.449068322981</v>
      </c>
      <c r="D19" s="20">
        <v>40188.720496894413</v>
      </c>
      <c r="E19" s="21">
        <v>43680.020183850458</v>
      </c>
      <c r="F19" s="22" t="s">
        <v>240</v>
      </c>
      <c r="G19" s="23">
        <v>22.74685672783319</v>
      </c>
      <c r="H19" s="24">
        <v>8.6872626045057473</v>
      </c>
    </row>
    <row r="20" spans="1:8" x14ac:dyDescent="0.2">
      <c r="A20" s="30"/>
      <c r="B20" s="25" t="s">
        <v>241</v>
      </c>
      <c r="C20" s="26">
        <v>17019.293788819876</v>
      </c>
      <c r="D20" s="26">
        <v>19095.012572276399</v>
      </c>
      <c r="E20" s="26">
        <v>20799.24751552795</v>
      </c>
      <c r="F20" s="27"/>
      <c r="G20" s="38">
        <v>22.209815363732417</v>
      </c>
      <c r="H20" s="24">
        <v>8.9250265575938386</v>
      </c>
    </row>
    <row r="21" spans="1:8" x14ac:dyDescent="0.2">
      <c r="A21" s="39" t="s">
        <v>12</v>
      </c>
      <c r="B21" s="31" t="s">
        <v>3</v>
      </c>
      <c r="C21" s="20">
        <v>448.41143478260869</v>
      </c>
      <c r="D21" s="20">
        <v>453.9904347826087</v>
      </c>
      <c r="E21" s="21">
        <v>402.99902585873406</v>
      </c>
      <c r="F21" s="22" t="s">
        <v>240</v>
      </c>
      <c r="G21" s="37">
        <v>-10.127397608825646</v>
      </c>
      <c r="H21" s="33">
        <v>-11.2318245093185</v>
      </c>
    </row>
    <row r="22" spans="1:8" x14ac:dyDescent="0.2">
      <c r="A22" s="34"/>
      <c r="B22" s="25" t="s">
        <v>241</v>
      </c>
      <c r="C22" s="26">
        <v>241.89056521739133</v>
      </c>
      <c r="D22" s="26">
        <v>237.86088005934783</v>
      </c>
      <c r="E22" s="26">
        <v>213.18732608695652</v>
      </c>
      <c r="F22" s="27"/>
      <c r="G22" s="28">
        <v>-11.866208632254299</v>
      </c>
      <c r="H22" s="29">
        <v>-10.373102952547356</v>
      </c>
    </row>
    <row r="23" spans="1:8" x14ac:dyDescent="0.2">
      <c r="A23" s="39" t="s">
        <v>23</v>
      </c>
      <c r="B23" s="31" t="s">
        <v>3</v>
      </c>
      <c r="C23" s="20">
        <v>6141.6857246376812</v>
      </c>
      <c r="D23" s="20">
        <v>6361.3173913043483</v>
      </c>
      <c r="E23" s="21">
        <v>6498.4540510905508</v>
      </c>
      <c r="F23" s="22" t="s">
        <v>240</v>
      </c>
      <c r="G23" s="23">
        <v>5.8089642233186254</v>
      </c>
      <c r="H23" s="24">
        <v>2.1557902451725113</v>
      </c>
    </row>
    <row r="24" spans="1:8" x14ac:dyDescent="0.2">
      <c r="A24" s="34"/>
      <c r="B24" s="25" t="s">
        <v>241</v>
      </c>
      <c r="C24" s="26">
        <v>2986.1509420289854</v>
      </c>
      <c r="D24" s="26">
        <v>3205.434800098913</v>
      </c>
      <c r="E24" s="26">
        <v>3235.3122101449276</v>
      </c>
      <c r="F24" s="27"/>
      <c r="G24" s="28">
        <v>8.3438939609210081</v>
      </c>
      <c r="H24" s="29">
        <v>0.93208603229403764</v>
      </c>
    </row>
    <row r="25" spans="1:8" x14ac:dyDescent="0.2">
      <c r="A25" s="30" t="s">
        <v>24</v>
      </c>
      <c r="B25" s="31" t="s">
        <v>3</v>
      </c>
      <c r="C25" s="20">
        <v>17105.371449275364</v>
      </c>
      <c r="D25" s="20">
        <v>24989.634782608697</v>
      </c>
      <c r="E25" s="21">
        <v>30260.152968393326</v>
      </c>
      <c r="F25" s="22" t="s">
        <v>240</v>
      </c>
      <c r="G25" s="23">
        <v>76.904389700787448</v>
      </c>
      <c r="H25" s="24">
        <v>21.090817179339467</v>
      </c>
    </row>
    <row r="26" spans="1:8" ht="13.5" thickBot="1" x14ac:dyDescent="0.25">
      <c r="A26" s="41"/>
      <c r="B26" s="42" t="s">
        <v>241</v>
      </c>
      <c r="C26" s="43">
        <v>7491.3018840579707</v>
      </c>
      <c r="D26" s="43">
        <v>11462.869600197826</v>
      </c>
      <c r="E26" s="43">
        <v>13664.624420289856</v>
      </c>
      <c r="F26" s="44"/>
      <c r="G26" s="45">
        <v>82.406538032717123</v>
      </c>
      <c r="H26" s="46">
        <v>19.207710607246483</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44</v>
      </c>
      <c r="B35" s="19" t="s">
        <v>3</v>
      </c>
      <c r="C35" s="80">
        <v>6018.8124026764299</v>
      </c>
      <c r="D35" s="80">
        <v>5870.1940090888702</v>
      </c>
      <c r="E35" s="83">
        <v>7047.4794202869443</v>
      </c>
      <c r="F35" s="22" t="s">
        <v>240</v>
      </c>
      <c r="G35" s="23">
        <v>17.090863592177911</v>
      </c>
      <c r="H35" s="24">
        <v>20.055306679392089</v>
      </c>
    </row>
    <row r="36" spans="1:8" ht="12.75" customHeight="1" x14ac:dyDescent="0.2">
      <c r="A36" s="206"/>
      <c r="B36" s="25" t="s">
        <v>241</v>
      </c>
      <c r="C36" s="82">
        <v>2727.6749200331587</v>
      </c>
      <c r="D36" s="82">
        <v>2948.0554124795676</v>
      </c>
      <c r="E36" s="82">
        <v>3416.1369951713709</v>
      </c>
      <c r="F36" s="27"/>
      <c r="G36" s="28">
        <v>25.239887278424035</v>
      </c>
      <c r="H36" s="29">
        <v>15.877638551512391</v>
      </c>
    </row>
    <row r="37" spans="1:8" x14ac:dyDescent="0.2">
      <c r="A37" s="30" t="s">
        <v>18</v>
      </c>
      <c r="B37" s="31" t="s">
        <v>3</v>
      </c>
      <c r="C37" s="80">
        <v>1995.7239796712195</v>
      </c>
      <c r="D37" s="80">
        <v>1779.766242912764</v>
      </c>
      <c r="E37" s="83">
        <v>2028.7497122472344</v>
      </c>
      <c r="F37" s="22" t="s">
        <v>240</v>
      </c>
      <c r="G37" s="32">
        <v>1.6548246607457173</v>
      </c>
      <c r="H37" s="33">
        <v>13.989672538511797</v>
      </c>
    </row>
    <row r="38" spans="1:8" x14ac:dyDescent="0.2">
      <c r="A38" s="34"/>
      <c r="B38" s="25" t="s">
        <v>241</v>
      </c>
      <c r="C38" s="82">
        <v>979.78045675172575</v>
      </c>
      <c r="D38" s="82">
        <v>999.8544588939917</v>
      </c>
      <c r="E38" s="82">
        <v>1087.4205216420125</v>
      </c>
      <c r="F38" s="27"/>
      <c r="G38" s="35">
        <v>10.98614124710619</v>
      </c>
      <c r="H38" s="29">
        <v>8.7578809064754921</v>
      </c>
    </row>
    <row r="39" spans="1:8" x14ac:dyDescent="0.2">
      <c r="A39" s="30" t="s">
        <v>19</v>
      </c>
      <c r="B39" s="31" t="s">
        <v>3</v>
      </c>
      <c r="C39" s="80">
        <v>2750.8206373646667</v>
      </c>
      <c r="D39" s="80">
        <v>2595.9403010461156</v>
      </c>
      <c r="E39" s="83">
        <v>3408.4494406770596</v>
      </c>
      <c r="F39" s="22" t="s">
        <v>240</v>
      </c>
      <c r="G39" s="37">
        <v>23.906640599527137</v>
      </c>
      <c r="H39" s="33">
        <v>31.299222840506701</v>
      </c>
    </row>
    <row r="40" spans="1:8" x14ac:dyDescent="0.2">
      <c r="A40" s="34"/>
      <c r="B40" s="25" t="s">
        <v>241</v>
      </c>
      <c r="C40" s="82">
        <v>1182.5672374315732</v>
      </c>
      <c r="D40" s="82">
        <v>1221.6973477100596</v>
      </c>
      <c r="E40" s="82">
        <v>1554.9801983660072</v>
      </c>
      <c r="F40" s="27"/>
      <c r="G40" s="28">
        <v>31.491905842350292</v>
      </c>
      <c r="H40" s="29">
        <v>27.280312205035926</v>
      </c>
    </row>
    <row r="41" spans="1:8" x14ac:dyDescent="0.2">
      <c r="A41" s="30" t="s">
        <v>20</v>
      </c>
      <c r="B41" s="31" t="s">
        <v>3</v>
      </c>
      <c r="C41" s="80">
        <v>65.364362678259369</v>
      </c>
      <c r="D41" s="80">
        <v>56.436037544278321</v>
      </c>
      <c r="E41" s="83">
        <v>43.071347923867656</v>
      </c>
      <c r="F41" s="22" t="s">
        <v>240</v>
      </c>
      <c r="G41" s="23">
        <v>-34.105763203297514</v>
      </c>
      <c r="H41" s="24">
        <v>-23.681126815335077</v>
      </c>
    </row>
    <row r="42" spans="1:8" x14ac:dyDescent="0.2">
      <c r="A42" s="34"/>
      <c r="B42" s="25" t="s">
        <v>241</v>
      </c>
      <c r="C42" s="82">
        <v>33.989369333151274</v>
      </c>
      <c r="D42" s="82">
        <v>30.914193707859052</v>
      </c>
      <c r="E42" s="82">
        <v>23.180636127247638</v>
      </c>
      <c r="F42" s="27"/>
      <c r="G42" s="38">
        <v>-31.800334686885236</v>
      </c>
      <c r="H42" s="24">
        <v>-25.016203410297507</v>
      </c>
    </row>
    <row r="43" spans="1:8" x14ac:dyDescent="0.2">
      <c r="A43" s="30" t="s">
        <v>21</v>
      </c>
      <c r="B43" s="31" t="s">
        <v>3</v>
      </c>
      <c r="C43" s="80">
        <v>34.491750088898648</v>
      </c>
      <c r="D43" s="80">
        <v>43.163339153619724</v>
      </c>
      <c r="E43" s="83">
        <v>48.67396009356171</v>
      </c>
      <c r="F43" s="22" t="s">
        <v>240</v>
      </c>
      <c r="G43" s="37">
        <v>41.117687470511044</v>
      </c>
      <c r="H43" s="33">
        <v>12.766901375098684</v>
      </c>
    </row>
    <row r="44" spans="1:8" x14ac:dyDescent="0.2">
      <c r="A44" s="34"/>
      <c r="B44" s="25" t="s">
        <v>241</v>
      </c>
      <c r="C44" s="82">
        <v>17.233075803783503</v>
      </c>
      <c r="D44" s="82">
        <v>22.775566907971534</v>
      </c>
      <c r="E44" s="82">
        <v>25.211808558370027</v>
      </c>
      <c r="F44" s="27"/>
      <c r="G44" s="28">
        <v>46.298947706333422</v>
      </c>
      <c r="H44" s="29">
        <v>10.696733303028338</v>
      </c>
    </row>
    <row r="45" spans="1:8" x14ac:dyDescent="0.2">
      <c r="A45" s="30" t="s">
        <v>22</v>
      </c>
      <c r="B45" s="31" t="s">
        <v>3</v>
      </c>
      <c r="C45" s="80">
        <v>3.6111542972530914</v>
      </c>
      <c r="D45" s="80">
        <v>3.1623911489308414</v>
      </c>
      <c r="E45" s="83">
        <v>2.3659753431198562</v>
      </c>
      <c r="F45" s="22" t="s">
        <v>240</v>
      </c>
      <c r="G45" s="37">
        <v>-34.481466357735243</v>
      </c>
      <c r="H45" s="33">
        <v>-25.183975299204903</v>
      </c>
    </row>
    <row r="46" spans="1:8" x14ac:dyDescent="0.2">
      <c r="A46" s="34"/>
      <c r="B46" s="25" t="s">
        <v>241</v>
      </c>
      <c r="C46" s="82">
        <v>20.280358463466751</v>
      </c>
      <c r="D46" s="82">
        <v>1.2917868485447537</v>
      </c>
      <c r="E46" s="82">
        <v>1.3988233789688798</v>
      </c>
      <c r="F46" s="27"/>
      <c r="G46" s="28">
        <v>-93.102570738634952</v>
      </c>
      <c r="H46" s="29">
        <v>8.2859281734217092</v>
      </c>
    </row>
    <row r="47" spans="1:8" x14ac:dyDescent="0.2">
      <c r="A47" s="30" t="s">
        <v>189</v>
      </c>
      <c r="B47" s="31" t="s">
        <v>3</v>
      </c>
      <c r="C47" s="80">
        <v>516.77609510899026</v>
      </c>
      <c r="D47" s="80">
        <v>565.9437149029244</v>
      </c>
      <c r="E47" s="83">
        <v>555.32301734211137</v>
      </c>
      <c r="F47" s="22" t="s">
        <v>240</v>
      </c>
      <c r="G47" s="23">
        <v>7.4591148077372651</v>
      </c>
      <c r="H47" s="24">
        <v>-1.8766349516991738</v>
      </c>
    </row>
    <row r="48" spans="1:8" x14ac:dyDescent="0.2">
      <c r="A48" s="30"/>
      <c r="B48" s="25" t="s">
        <v>241</v>
      </c>
      <c r="C48" s="82">
        <v>257.92471605673222</v>
      </c>
      <c r="D48" s="82">
        <v>284.20678107240411</v>
      </c>
      <c r="E48" s="82">
        <v>278.30103843468436</v>
      </c>
      <c r="F48" s="27"/>
      <c r="G48" s="38">
        <v>7.9001046078384576</v>
      </c>
      <c r="H48" s="24">
        <v>-2.0779738665754053</v>
      </c>
    </row>
    <row r="49" spans="1:8" x14ac:dyDescent="0.2">
      <c r="A49" s="39" t="s">
        <v>12</v>
      </c>
      <c r="B49" s="31" t="s">
        <v>3</v>
      </c>
      <c r="C49" s="80">
        <v>9.1074185128509839</v>
      </c>
      <c r="D49" s="80">
        <v>4.9406530641308999</v>
      </c>
      <c r="E49" s="83">
        <v>4.520204620800973</v>
      </c>
      <c r="F49" s="22" t="s">
        <v>240</v>
      </c>
      <c r="G49" s="37">
        <v>-50.367882903121696</v>
      </c>
      <c r="H49" s="33">
        <v>-8.5099770793942042</v>
      </c>
    </row>
    <row r="50" spans="1:8" x14ac:dyDescent="0.2">
      <c r="A50" s="34"/>
      <c r="B50" s="25" t="s">
        <v>241</v>
      </c>
      <c r="C50" s="82">
        <v>3.7364384522719054</v>
      </c>
      <c r="D50" s="82">
        <v>3.343874598564903</v>
      </c>
      <c r="E50" s="82">
        <v>2.514714348504941</v>
      </c>
      <c r="F50" s="27"/>
      <c r="G50" s="28">
        <v>-32.697557296149398</v>
      </c>
      <c r="H50" s="29">
        <v>-24.796391898661938</v>
      </c>
    </row>
    <row r="51" spans="1:8" x14ac:dyDescent="0.2">
      <c r="A51" s="39" t="s">
        <v>23</v>
      </c>
      <c r="B51" s="31" t="s">
        <v>3</v>
      </c>
      <c r="C51" s="80">
        <v>160.26388859581527</v>
      </c>
      <c r="D51" s="80">
        <v>175.22798370011841</v>
      </c>
      <c r="E51" s="83">
        <v>194.38982749441439</v>
      </c>
      <c r="F51" s="22" t="s">
        <v>240</v>
      </c>
      <c r="G51" s="23">
        <v>21.293592210697284</v>
      </c>
      <c r="H51" s="24">
        <v>10.935378807467842</v>
      </c>
    </row>
    <row r="52" spans="1:8" x14ac:dyDescent="0.2">
      <c r="A52" s="34"/>
      <c r="B52" s="25" t="s">
        <v>241</v>
      </c>
      <c r="C52" s="82">
        <v>74.634805724924334</v>
      </c>
      <c r="D52" s="82">
        <v>76.626214171278505</v>
      </c>
      <c r="E52" s="82">
        <v>86.769737443856783</v>
      </c>
      <c r="F52" s="27"/>
      <c r="G52" s="28">
        <v>16.259078590834974</v>
      </c>
      <c r="H52" s="29">
        <v>13.237667268677782</v>
      </c>
    </row>
    <row r="53" spans="1:8" x14ac:dyDescent="0.2">
      <c r="A53" s="30" t="s">
        <v>24</v>
      </c>
      <c r="B53" s="31" t="s">
        <v>3</v>
      </c>
      <c r="C53" s="80">
        <v>482.65311635847706</v>
      </c>
      <c r="D53" s="80">
        <v>645.61334561598755</v>
      </c>
      <c r="E53" s="83">
        <v>863.00021974779872</v>
      </c>
      <c r="F53" s="22" t="s">
        <v>240</v>
      </c>
      <c r="G53" s="23">
        <v>78.803407768081115</v>
      </c>
      <c r="H53" s="24">
        <v>33.671372441100914</v>
      </c>
    </row>
    <row r="54" spans="1:8" ht="13.5" thickBot="1" x14ac:dyDescent="0.25">
      <c r="A54" s="41"/>
      <c r="B54" s="42" t="s">
        <v>241</v>
      </c>
      <c r="C54" s="86">
        <v>157.52846201552984</v>
      </c>
      <c r="D54" s="86">
        <v>307.34518856889332</v>
      </c>
      <c r="E54" s="86">
        <v>356.35951687171826</v>
      </c>
      <c r="F54" s="44"/>
      <c r="G54" s="45">
        <v>126.21913037949088</v>
      </c>
      <c r="H54" s="46">
        <v>15.947647832410453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15</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45</v>
      </c>
      <c r="B7" s="19" t="s">
        <v>3</v>
      </c>
      <c r="C7" s="20">
        <v>16571.543347459847</v>
      </c>
      <c r="D7" s="20">
        <v>19730</v>
      </c>
      <c r="E7" s="21">
        <v>24840.590790126687</v>
      </c>
      <c r="F7" s="22" t="s">
        <v>240</v>
      </c>
      <c r="G7" s="23">
        <v>49.899078614994266</v>
      </c>
      <c r="H7" s="24">
        <v>25.902639585031366</v>
      </c>
    </row>
    <row r="8" spans="1:8" ht="12.75" customHeight="1" x14ac:dyDescent="0.2">
      <c r="A8" s="206"/>
      <c r="B8" s="25" t="s">
        <v>241</v>
      </c>
      <c r="C8" s="26">
        <v>7919.3159106367393</v>
      </c>
      <c r="D8" s="26">
        <v>9385.896054622508</v>
      </c>
      <c r="E8" s="26">
        <v>11835</v>
      </c>
      <c r="F8" s="27"/>
      <c r="G8" s="28">
        <v>49.444726458051178</v>
      </c>
      <c r="H8" s="29">
        <v>26.093448415842204</v>
      </c>
    </row>
    <row r="9" spans="1:8" x14ac:dyDescent="0.2">
      <c r="A9" s="30" t="s">
        <v>18</v>
      </c>
      <c r="B9" s="31" t="s">
        <v>3</v>
      </c>
      <c r="C9" s="20">
        <v>2580.9849043478262</v>
      </c>
      <c r="D9" s="20">
        <v>2349</v>
      </c>
      <c r="E9" s="21">
        <v>2987.8546256265145</v>
      </c>
      <c r="F9" s="22" t="s">
        <v>240</v>
      </c>
      <c r="G9" s="32">
        <v>15.764126345461833</v>
      </c>
      <c r="H9" s="33">
        <v>27.196876357024877</v>
      </c>
    </row>
    <row r="10" spans="1:8" x14ac:dyDescent="0.2">
      <c r="A10" s="34"/>
      <c r="B10" s="25" t="s">
        <v>241</v>
      </c>
      <c r="C10" s="26">
        <v>956.56890434782611</v>
      </c>
      <c r="D10" s="26">
        <v>1013.1573951102608</v>
      </c>
      <c r="E10" s="26">
        <v>1222</v>
      </c>
      <c r="F10" s="27"/>
      <c r="G10" s="35">
        <v>27.748246304654927</v>
      </c>
      <c r="H10" s="29">
        <v>20.613046491854405</v>
      </c>
    </row>
    <row r="11" spans="1:8" x14ac:dyDescent="0.2">
      <c r="A11" s="30" t="s">
        <v>19</v>
      </c>
      <c r="B11" s="31" t="s">
        <v>3</v>
      </c>
      <c r="C11" s="20">
        <v>4867.6163478260869</v>
      </c>
      <c r="D11" s="20">
        <v>5293</v>
      </c>
      <c r="E11" s="21">
        <v>9629.6889295662604</v>
      </c>
      <c r="F11" s="22" t="s">
        <v>240</v>
      </c>
      <c r="G11" s="37">
        <v>97.831715596627703</v>
      </c>
      <c r="H11" s="33">
        <v>81.932532204161333</v>
      </c>
    </row>
    <row r="12" spans="1:8" x14ac:dyDescent="0.2">
      <c r="A12" s="34"/>
      <c r="B12" s="25" t="s">
        <v>241</v>
      </c>
      <c r="C12" s="26">
        <v>2502.8963478260866</v>
      </c>
      <c r="D12" s="26">
        <v>2646.8579837008692</v>
      </c>
      <c r="E12" s="26">
        <v>4860</v>
      </c>
      <c r="F12" s="27"/>
      <c r="G12" s="28">
        <v>94.175040617291131</v>
      </c>
      <c r="H12" s="29">
        <v>83.613931307515344</v>
      </c>
    </row>
    <row r="13" spans="1:8" x14ac:dyDescent="0.2">
      <c r="A13" s="30" t="s">
        <v>20</v>
      </c>
      <c r="B13" s="31" t="s">
        <v>3</v>
      </c>
      <c r="C13" s="20">
        <v>1141.9125465838508</v>
      </c>
      <c r="D13" s="20">
        <v>1022</v>
      </c>
      <c r="E13" s="21">
        <v>760.81674859446844</v>
      </c>
      <c r="F13" s="22" t="s">
        <v>240</v>
      </c>
      <c r="G13" s="23">
        <v>-33.373466219411441</v>
      </c>
      <c r="H13" s="24">
        <v>-25.556091135570597</v>
      </c>
    </row>
    <row r="14" spans="1:8" x14ac:dyDescent="0.2">
      <c r="A14" s="34"/>
      <c r="B14" s="25" t="s">
        <v>241</v>
      </c>
      <c r="C14" s="26">
        <v>585.56968944099378</v>
      </c>
      <c r="D14" s="26">
        <v>507.83713509565217</v>
      </c>
      <c r="E14" s="26">
        <v>382</v>
      </c>
      <c r="F14" s="27"/>
      <c r="G14" s="38">
        <v>-34.764382978109538</v>
      </c>
      <c r="H14" s="24">
        <v>-24.779033749068091</v>
      </c>
    </row>
    <row r="15" spans="1:8" x14ac:dyDescent="0.2">
      <c r="A15" s="30" t="s">
        <v>21</v>
      </c>
      <c r="B15" s="31" t="s">
        <v>3</v>
      </c>
      <c r="C15" s="20">
        <v>405.30782608695654</v>
      </c>
      <c r="D15" s="20">
        <v>558</v>
      </c>
      <c r="E15" s="21">
        <v>726.69903653633378</v>
      </c>
      <c r="F15" s="22" t="s">
        <v>240</v>
      </c>
      <c r="G15" s="37">
        <v>79.295584679982113</v>
      </c>
      <c r="H15" s="33">
        <v>30.232802246654785</v>
      </c>
    </row>
    <row r="16" spans="1:8" x14ac:dyDescent="0.2">
      <c r="A16" s="34"/>
      <c r="B16" s="25" t="s">
        <v>241</v>
      </c>
      <c r="C16" s="26">
        <v>195.70782608695652</v>
      </c>
      <c r="D16" s="26">
        <v>238.53583106956521</v>
      </c>
      <c r="E16" s="26">
        <v>323</v>
      </c>
      <c r="F16" s="27"/>
      <c r="G16" s="28">
        <v>65.041943624924471</v>
      </c>
      <c r="H16" s="29">
        <v>35.409426144369121</v>
      </c>
    </row>
    <row r="17" spans="1:8" x14ac:dyDescent="0.2">
      <c r="A17" s="30" t="s">
        <v>22</v>
      </c>
      <c r="B17" s="31" t="s">
        <v>3</v>
      </c>
      <c r="C17" s="20">
        <v>382.30782608695654</v>
      </c>
      <c r="D17" s="20">
        <v>374</v>
      </c>
      <c r="E17" s="21">
        <v>266.43190420756071</v>
      </c>
      <c r="F17" s="22" t="s">
        <v>240</v>
      </c>
      <c r="G17" s="37">
        <v>-30.309586666175036</v>
      </c>
      <c r="H17" s="33">
        <v>-28.761522939154887</v>
      </c>
    </row>
    <row r="18" spans="1:8" x14ac:dyDescent="0.2">
      <c r="A18" s="34"/>
      <c r="B18" s="25" t="s">
        <v>241</v>
      </c>
      <c r="C18" s="26">
        <v>228.70782608695652</v>
      </c>
      <c r="D18" s="26">
        <v>181.53583106956521</v>
      </c>
      <c r="E18" s="26">
        <v>138</v>
      </c>
      <c r="F18" s="27"/>
      <c r="G18" s="28">
        <v>-39.661006638429896</v>
      </c>
      <c r="H18" s="29">
        <v>-23.981949355707144</v>
      </c>
    </row>
    <row r="19" spans="1:8" x14ac:dyDescent="0.2">
      <c r="A19" s="30" t="s">
        <v>189</v>
      </c>
      <c r="B19" s="31" t="s">
        <v>3</v>
      </c>
      <c r="C19" s="20">
        <v>4367.781366459627</v>
      </c>
      <c r="D19" s="20">
        <v>6206</v>
      </c>
      <c r="E19" s="21">
        <v>6837.6649058614976</v>
      </c>
      <c r="F19" s="22" t="s">
        <v>240</v>
      </c>
      <c r="G19" s="23">
        <v>56.547783237691505</v>
      </c>
      <c r="H19" s="24">
        <v>10.178293681300318</v>
      </c>
    </row>
    <row r="20" spans="1:8" x14ac:dyDescent="0.2">
      <c r="A20" s="30"/>
      <c r="B20" s="25" t="s">
        <v>241</v>
      </c>
      <c r="C20" s="26">
        <v>2018.9242236024845</v>
      </c>
      <c r="D20" s="26">
        <v>2724.5928377391301</v>
      </c>
      <c r="E20" s="26">
        <v>3053</v>
      </c>
      <c r="F20" s="27"/>
      <c r="G20" s="38">
        <v>51.219147519680234</v>
      </c>
      <c r="H20" s="24">
        <v>12.053439975030628</v>
      </c>
    </row>
    <row r="21" spans="1:8" x14ac:dyDescent="0.2">
      <c r="A21" s="39" t="s">
        <v>12</v>
      </c>
      <c r="B21" s="31" t="s">
        <v>3</v>
      </c>
      <c r="C21" s="20">
        <v>47.38469565217391</v>
      </c>
      <c r="D21" s="20">
        <v>62</v>
      </c>
      <c r="E21" s="21">
        <v>44.013537889905699</v>
      </c>
      <c r="F21" s="22" t="s">
        <v>240</v>
      </c>
      <c r="G21" s="37">
        <v>-7.1144442649038098</v>
      </c>
      <c r="H21" s="33">
        <v>-29.01042275821662</v>
      </c>
    </row>
    <row r="22" spans="1:8" x14ac:dyDescent="0.2">
      <c r="A22" s="34"/>
      <c r="B22" s="25" t="s">
        <v>241</v>
      </c>
      <c r="C22" s="26">
        <v>35.824695652173915</v>
      </c>
      <c r="D22" s="26">
        <v>31.321498641739129</v>
      </c>
      <c r="E22" s="26">
        <v>25</v>
      </c>
      <c r="F22" s="27"/>
      <c r="G22" s="28">
        <v>-30.215736533457616</v>
      </c>
      <c r="H22" s="29">
        <v>-20.18261869920579</v>
      </c>
    </row>
    <row r="23" spans="1:8" x14ac:dyDescent="0.2">
      <c r="A23" s="39" t="s">
        <v>23</v>
      </c>
      <c r="B23" s="31" t="s">
        <v>3</v>
      </c>
      <c r="C23" s="20">
        <v>1685.3078260869565</v>
      </c>
      <c r="D23" s="20">
        <v>1699</v>
      </c>
      <c r="E23" s="21">
        <v>1675.5957473854724</v>
      </c>
      <c r="F23" s="22" t="s">
        <v>240</v>
      </c>
      <c r="G23" s="23">
        <v>-0.5762792144645914</v>
      </c>
      <c r="H23" s="24">
        <v>-1.3775310544159964</v>
      </c>
    </row>
    <row r="24" spans="1:8" x14ac:dyDescent="0.2">
      <c r="A24" s="34"/>
      <c r="B24" s="25" t="s">
        <v>241</v>
      </c>
      <c r="C24" s="26">
        <v>831.70782608695652</v>
      </c>
      <c r="D24" s="26">
        <v>808.53583106956523</v>
      </c>
      <c r="E24" s="26">
        <v>807</v>
      </c>
      <c r="F24" s="27"/>
      <c r="G24" s="28">
        <v>-2.9707338697535874</v>
      </c>
      <c r="H24" s="29">
        <v>-0.18995213453108306</v>
      </c>
    </row>
    <row r="25" spans="1:8" x14ac:dyDescent="0.2">
      <c r="A25" s="30" t="s">
        <v>24</v>
      </c>
      <c r="B25" s="31" t="s">
        <v>3</v>
      </c>
      <c r="C25" s="20">
        <v>1670.6156521739131</v>
      </c>
      <c r="D25" s="20">
        <v>3046</v>
      </c>
      <c r="E25" s="21">
        <v>3105.3441469923182</v>
      </c>
      <c r="F25" s="22" t="s">
        <v>240</v>
      </c>
      <c r="G25" s="23">
        <v>85.880225828810097</v>
      </c>
      <c r="H25" s="24">
        <v>1.9482648388810873</v>
      </c>
    </row>
    <row r="26" spans="1:8" ht="13.5" thickBot="1" x14ac:dyDescent="0.25">
      <c r="A26" s="41"/>
      <c r="B26" s="42" t="s">
        <v>241</v>
      </c>
      <c r="C26" s="43">
        <v>857.41565217391303</v>
      </c>
      <c r="D26" s="43">
        <v>1568.0716621391305</v>
      </c>
      <c r="E26" s="43">
        <v>1597</v>
      </c>
      <c r="F26" s="44"/>
      <c r="G26" s="45">
        <v>86.257388228326192</v>
      </c>
      <c r="H26" s="46">
        <v>1.8448351921241937</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45</v>
      </c>
      <c r="B35" s="19" t="s">
        <v>3</v>
      </c>
      <c r="C35" s="80">
        <v>854.86210765784267</v>
      </c>
      <c r="D35" s="80">
        <v>879.94470515445778</v>
      </c>
      <c r="E35" s="83">
        <v>1181.5913896834677</v>
      </c>
      <c r="F35" s="22" t="s">
        <v>240</v>
      </c>
      <c r="G35" s="23">
        <v>38.220115162292103</v>
      </c>
      <c r="H35" s="24">
        <v>34.280186330124167</v>
      </c>
    </row>
    <row r="36" spans="1:8" ht="12.75" customHeight="1" x14ac:dyDescent="0.2">
      <c r="A36" s="206"/>
      <c r="B36" s="25" t="s">
        <v>241</v>
      </c>
      <c r="C36" s="82">
        <v>421.53404788903811</v>
      </c>
      <c r="D36" s="82">
        <v>437.11110508433126</v>
      </c>
      <c r="E36" s="82">
        <v>585.51028958136851</v>
      </c>
      <c r="F36" s="27"/>
      <c r="G36" s="28">
        <v>38.899880688995836</v>
      </c>
      <c r="H36" s="29">
        <v>33.949991837523044</v>
      </c>
    </row>
    <row r="37" spans="1:8" x14ac:dyDescent="0.2">
      <c r="A37" s="30" t="s">
        <v>18</v>
      </c>
      <c r="B37" s="31" t="s">
        <v>3</v>
      </c>
      <c r="C37" s="80">
        <v>369.27527649632407</v>
      </c>
      <c r="D37" s="80">
        <v>307.31515572809349</v>
      </c>
      <c r="E37" s="83">
        <v>374.5841042302269</v>
      </c>
      <c r="F37" s="22" t="s">
        <v>240</v>
      </c>
      <c r="G37" s="32">
        <v>1.4376342181022324</v>
      </c>
      <c r="H37" s="33">
        <v>21.889238863849485</v>
      </c>
    </row>
    <row r="38" spans="1:8" x14ac:dyDescent="0.2">
      <c r="A38" s="34"/>
      <c r="B38" s="25" t="s">
        <v>241</v>
      </c>
      <c r="C38" s="82">
        <v>176.96916950844567</v>
      </c>
      <c r="D38" s="82">
        <v>151.53165684797506</v>
      </c>
      <c r="E38" s="82">
        <v>182.93864110698641</v>
      </c>
      <c r="F38" s="27"/>
      <c r="G38" s="35">
        <v>3.3731703748860298</v>
      </c>
      <c r="H38" s="29">
        <v>20.726351781740604</v>
      </c>
    </row>
    <row r="39" spans="1:8" x14ac:dyDescent="0.2">
      <c r="A39" s="30" t="s">
        <v>19</v>
      </c>
      <c r="B39" s="31" t="s">
        <v>3</v>
      </c>
      <c r="C39" s="80">
        <v>251.67091707511867</v>
      </c>
      <c r="D39" s="80">
        <v>251.5509322107302</v>
      </c>
      <c r="E39" s="83">
        <v>481.1302048451937</v>
      </c>
      <c r="F39" s="22" t="s">
        <v>240</v>
      </c>
      <c r="G39" s="37">
        <v>91.174336088101143</v>
      </c>
      <c r="H39" s="33">
        <v>91.265522499491055</v>
      </c>
    </row>
    <row r="40" spans="1:8" x14ac:dyDescent="0.2">
      <c r="A40" s="34"/>
      <c r="B40" s="25" t="s">
        <v>241</v>
      </c>
      <c r="C40" s="82">
        <v>126.69883155998764</v>
      </c>
      <c r="D40" s="82">
        <v>127.32213941170701</v>
      </c>
      <c r="E40" s="82">
        <v>243.08588737442287</v>
      </c>
      <c r="F40" s="27"/>
      <c r="G40" s="28">
        <v>91.861191126557372</v>
      </c>
      <c r="H40" s="29">
        <v>90.921931172067332</v>
      </c>
    </row>
    <row r="41" spans="1:8" x14ac:dyDescent="0.2">
      <c r="A41" s="30" t="s">
        <v>20</v>
      </c>
      <c r="B41" s="31" t="s">
        <v>3</v>
      </c>
      <c r="C41" s="80">
        <v>36.015530267074276</v>
      </c>
      <c r="D41" s="80">
        <v>31.90187490897867</v>
      </c>
      <c r="E41" s="83">
        <v>26.945503388333588</v>
      </c>
      <c r="F41" s="22" t="s">
        <v>240</v>
      </c>
      <c r="G41" s="23">
        <v>-25.183654971845826</v>
      </c>
      <c r="H41" s="24">
        <v>-15.536301658715772</v>
      </c>
    </row>
    <row r="42" spans="1:8" x14ac:dyDescent="0.2">
      <c r="A42" s="34"/>
      <c r="B42" s="25" t="s">
        <v>241</v>
      </c>
      <c r="C42" s="82">
        <v>19.266844545768805</v>
      </c>
      <c r="D42" s="82">
        <v>16.794052819987584</v>
      </c>
      <c r="E42" s="82">
        <v>14.260682745981427</v>
      </c>
      <c r="F42" s="27"/>
      <c r="G42" s="38">
        <v>-25.9832988629515</v>
      </c>
      <c r="H42" s="24">
        <v>-15.084923818930989</v>
      </c>
    </row>
    <row r="43" spans="1:8" x14ac:dyDescent="0.2">
      <c r="A43" s="30" t="s">
        <v>21</v>
      </c>
      <c r="B43" s="31" t="s">
        <v>3</v>
      </c>
      <c r="C43" s="80">
        <v>7.0481779669671765</v>
      </c>
      <c r="D43" s="80">
        <v>10.766231630682435</v>
      </c>
      <c r="E43" s="83">
        <v>11.932484736504325</v>
      </c>
      <c r="F43" s="22" t="s">
        <v>240</v>
      </c>
      <c r="G43" s="37">
        <v>69.298856987274121</v>
      </c>
      <c r="H43" s="33">
        <v>10.832509886729639</v>
      </c>
    </row>
    <row r="44" spans="1:8" x14ac:dyDescent="0.2">
      <c r="A44" s="34"/>
      <c r="B44" s="25" t="s">
        <v>241</v>
      </c>
      <c r="C44" s="82">
        <v>3.3746415003995449</v>
      </c>
      <c r="D44" s="82">
        <v>4.3586369423006204</v>
      </c>
      <c r="E44" s="82">
        <v>5.0930016660496591</v>
      </c>
      <c r="F44" s="27"/>
      <c r="G44" s="28">
        <v>50.919784085114429</v>
      </c>
      <c r="H44" s="29">
        <v>16.848494918721514</v>
      </c>
    </row>
    <row r="45" spans="1:8" x14ac:dyDescent="0.2">
      <c r="A45" s="30" t="s">
        <v>22</v>
      </c>
      <c r="B45" s="31" t="s">
        <v>3</v>
      </c>
      <c r="C45" s="80">
        <v>2.0929110289082646</v>
      </c>
      <c r="D45" s="80">
        <v>2.2689798245442847</v>
      </c>
      <c r="E45" s="83">
        <v>1.3531453271626102</v>
      </c>
      <c r="F45" s="22" t="s">
        <v>240</v>
      </c>
      <c r="G45" s="37">
        <v>-35.346256554992777</v>
      </c>
      <c r="H45" s="33">
        <v>-40.363271963672751</v>
      </c>
    </row>
    <row r="46" spans="1:8" x14ac:dyDescent="0.2">
      <c r="A46" s="34"/>
      <c r="B46" s="25" t="s">
        <v>241</v>
      </c>
      <c r="C46" s="82">
        <v>1.9639771757498894</v>
      </c>
      <c r="D46" s="82">
        <v>1.3295544299978941</v>
      </c>
      <c r="E46" s="82">
        <v>0.90636838652955243</v>
      </c>
      <c r="F46" s="27"/>
      <c r="G46" s="28">
        <v>-53.850360497011316</v>
      </c>
      <c r="H46" s="29">
        <v>-31.829162757105919</v>
      </c>
    </row>
    <row r="47" spans="1:8" x14ac:dyDescent="0.2">
      <c r="A47" s="30" t="s">
        <v>189</v>
      </c>
      <c r="B47" s="31" t="s">
        <v>3</v>
      </c>
      <c r="C47" s="80">
        <v>98.114514318619783</v>
      </c>
      <c r="D47" s="80">
        <v>141.95657027599358</v>
      </c>
      <c r="E47" s="83">
        <v>131.85438933544663</v>
      </c>
      <c r="F47" s="22" t="s">
        <v>240</v>
      </c>
      <c r="G47" s="23">
        <v>34.388260749331181</v>
      </c>
      <c r="H47" s="24">
        <v>-7.1163884284511738</v>
      </c>
    </row>
    <row r="48" spans="1:8" x14ac:dyDescent="0.2">
      <c r="A48" s="30"/>
      <c r="B48" s="25" t="s">
        <v>241</v>
      </c>
      <c r="C48" s="82">
        <v>49.496684795709051</v>
      </c>
      <c r="D48" s="82">
        <v>65.585482815765488</v>
      </c>
      <c r="E48" s="82">
        <v>62.676912528871064</v>
      </c>
      <c r="F48" s="27"/>
      <c r="G48" s="38">
        <v>26.628506106139511</v>
      </c>
      <c r="H48" s="24">
        <v>-4.4347775788505146</v>
      </c>
    </row>
    <row r="49" spans="1:8" x14ac:dyDescent="0.2">
      <c r="A49" s="39" t="s">
        <v>12</v>
      </c>
      <c r="B49" s="31" t="s">
        <v>3</v>
      </c>
      <c r="C49" s="80">
        <v>0.94551141068839095</v>
      </c>
      <c r="D49" s="80">
        <v>0.65521820632039296</v>
      </c>
      <c r="E49" s="83">
        <v>0.44076249215489555</v>
      </c>
      <c r="F49" s="22" t="s">
        <v>240</v>
      </c>
      <c r="G49" s="37">
        <v>-53.383694033476218</v>
      </c>
      <c r="H49" s="33">
        <v>-32.730426611593785</v>
      </c>
    </row>
    <row r="50" spans="1:8" x14ac:dyDescent="0.2">
      <c r="A50" s="34"/>
      <c r="B50" s="25" t="s">
        <v>241</v>
      </c>
      <c r="C50" s="82">
        <v>0.87489043553987933</v>
      </c>
      <c r="D50" s="82">
        <v>0.62673632100436794</v>
      </c>
      <c r="E50" s="82">
        <v>0.41691373085653471</v>
      </c>
      <c r="F50" s="27"/>
      <c r="G50" s="28">
        <v>-52.346749499065595</v>
      </c>
      <c r="H50" s="29">
        <v>-33.478607049865062</v>
      </c>
    </row>
    <row r="51" spans="1:8" x14ac:dyDescent="0.2">
      <c r="A51" s="39" t="s">
        <v>23</v>
      </c>
      <c r="B51" s="31" t="s">
        <v>3</v>
      </c>
      <c r="C51" s="80">
        <v>45.637182320147758</v>
      </c>
      <c r="D51" s="80">
        <v>50.875876129341307</v>
      </c>
      <c r="E51" s="83">
        <v>55.641631219881731</v>
      </c>
      <c r="F51" s="22" t="s">
        <v>240</v>
      </c>
      <c r="G51" s="23">
        <v>21.921705922929519</v>
      </c>
      <c r="H51" s="24">
        <v>9.3674162552493101</v>
      </c>
    </row>
    <row r="52" spans="1:8" x14ac:dyDescent="0.2">
      <c r="A52" s="34"/>
      <c r="B52" s="25" t="s">
        <v>241</v>
      </c>
      <c r="C52" s="82">
        <v>20.504961095546246</v>
      </c>
      <c r="D52" s="82">
        <v>22.456251686902938</v>
      </c>
      <c r="E52" s="82">
        <v>24.704815192811765</v>
      </c>
      <c r="F52" s="27"/>
      <c r="G52" s="28">
        <v>20.482136384924644</v>
      </c>
      <c r="H52" s="29">
        <v>10.013084718053136</v>
      </c>
    </row>
    <row r="53" spans="1:8" x14ac:dyDescent="0.2">
      <c r="A53" s="30" t="s">
        <v>24</v>
      </c>
      <c r="B53" s="31" t="s">
        <v>3</v>
      </c>
      <c r="C53" s="80">
        <v>44.062086773994338</v>
      </c>
      <c r="D53" s="80">
        <v>82.653866239773521</v>
      </c>
      <c r="E53" s="83">
        <v>93.900447668613864</v>
      </c>
      <c r="F53" s="22" t="s">
        <v>240</v>
      </c>
      <c r="G53" s="23">
        <v>113.10939754227522</v>
      </c>
      <c r="H53" s="24">
        <v>13.606842535610781</v>
      </c>
    </row>
    <row r="54" spans="1:8" ht="13.5" thickBot="1" x14ac:dyDescent="0.25">
      <c r="A54" s="41"/>
      <c r="B54" s="42" t="s">
        <v>241</v>
      </c>
      <c r="C54" s="86">
        <v>22.384047271891294</v>
      </c>
      <c r="D54" s="86">
        <v>47.106593808690199</v>
      </c>
      <c r="E54" s="86">
        <v>51.427066848859262</v>
      </c>
      <c r="F54" s="44"/>
      <c r="G54" s="45">
        <v>129.74874125394945</v>
      </c>
      <c r="H54" s="46">
        <v>9.1716948538360015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16</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165</v>
      </c>
      <c r="B7" s="19" t="s">
        <v>3</v>
      </c>
      <c r="C7" s="20">
        <v>46862.684981684979</v>
      </c>
      <c r="D7" s="20">
        <v>45810.752901417422</v>
      </c>
      <c r="E7" s="79">
        <v>51354.14789908447</v>
      </c>
      <c r="F7" s="22" t="s">
        <v>240</v>
      </c>
      <c r="G7" s="23">
        <v>9.5843055496176817</v>
      </c>
      <c r="H7" s="24">
        <v>12.100641545001835</v>
      </c>
    </row>
    <row r="8" spans="1:8" x14ac:dyDescent="0.2">
      <c r="A8" s="206"/>
      <c r="B8" s="25" t="s">
        <v>241</v>
      </c>
      <c r="C8" s="26">
        <v>23125.531931836278</v>
      </c>
      <c r="D8" s="26">
        <v>21334.431123936934</v>
      </c>
      <c r="E8" s="26">
        <v>24373.170409300845</v>
      </c>
      <c r="F8" s="27"/>
      <c r="G8" s="28">
        <v>5.3950693162087902</v>
      </c>
      <c r="H8" s="29">
        <v>14.243357452144508</v>
      </c>
    </row>
    <row r="9" spans="1:8" x14ac:dyDescent="0.2">
      <c r="A9" s="30" t="s">
        <v>18</v>
      </c>
      <c r="B9" s="31" t="s">
        <v>3</v>
      </c>
      <c r="C9" s="20">
        <v>5139.9516666666668</v>
      </c>
      <c r="D9" s="20">
        <v>4788.3979602971012</v>
      </c>
      <c r="E9" s="36">
        <v>4840.6990649135114</v>
      </c>
      <c r="F9" s="22" t="s">
        <v>240</v>
      </c>
      <c r="G9" s="32">
        <v>-5.8220898008409705</v>
      </c>
      <c r="H9" s="33">
        <v>1.0922464057929915</v>
      </c>
    </row>
    <row r="10" spans="1:8" x14ac:dyDescent="0.2">
      <c r="A10" s="34"/>
      <c r="B10" s="25" t="s">
        <v>241</v>
      </c>
      <c r="C10" s="26">
        <v>2331.90865942029</v>
      </c>
      <c r="D10" s="26">
        <v>2138.7458774521738</v>
      </c>
      <c r="E10" s="26">
        <v>2173.3339492753621</v>
      </c>
      <c r="F10" s="27"/>
      <c r="G10" s="35">
        <v>-6.8002110419003117</v>
      </c>
      <c r="H10" s="29">
        <v>1.6172127875422149</v>
      </c>
    </row>
    <row r="11" spans="1:8" x14ac:dyDescent="0.2">
      <c r="A11" s="30" t="s">
        <v>19</v>
      </c>
      <c r="B11" s="31" t="s">
        <v>3</v>
      </c>
      <c r="C11" s="20">
        <v>20375.569090909092</v>
      </c>
      <c r="D11" s="20">
        <v>20821.120597335968</v>
      </c>
      <c r="E11" s="36">
        <v>25946.959022479863</v>
      </c>
      <c r="F11" s="22" t="s">
        <v>240</v>
      </c>
      <c r="G11" s="37">
        <v>27.343481336462602</v>
      </c>
      <c r="H11" s="33">
        <v>24.618456058506951</v>
      </c>
    </row>
    <row r="12" spans="1:8" x14ac:dyDescent="0.2">
      <c r="A12" s="34"/>
      <c r="B12" s="25" t="s">
        <v>241</v>
      </c>
      <c r="C12" s="26">
        <v>9839.973794466403</v>
      </c>
      <c r="D12" s="26">
        <v>9917.4410534798408</v>
      </c>
      <c r="E12" s="26">
        <v>12415.63837944664</v>
      </c>
      <c r="F12" s="27"/>
      <c r="G12" s="28">
        <v>26.175522809102247</v>
      </c>
      <c r="H12" s="29">
        <v>25.189938740197789</v>
      </c>
    </row>
    <row r="13" spans="1:8" x14ac:dyDescent="0.2">
      <c r="A13" s="30" t="s">
        <v>20</v>
      </c>
      <c r="B13" s="31" t="s">
        <v>3</v>
      </c>
      <c r="C13" s="20">
        <v>2841.5709999999999</v>
      </c>
      <c r="D13" s="20">
        <v>2858.2387761782611</v>
      </c>
      <c r="E13" s="36">
        <v>2200.5036845693876</v>
      </c>
      <c r="F13" s="22" t="s">
        <v>240</v>
      </c>
      <c r="G13" s="23">
        <v>-22.560313130680612</v>
      </c>
      <c r="H13" s="24">
        <v>-23.011901493000124</v>
      </c>
    </row>
    <row r="14" spans="1:8" x14ac:dyDescent="0.2">
      <c r="A14" s="34"/>
      <c r="B14" s="25" t="s">
        <v>241</v>
      </c>
      <c r="C14" s="26">
        <v>1424.1451956521739</v>
      </c>
      <c r="D14" s="26">
        <v>1488.0475264713043</v>
      </c>
      <c r="E14" s="26">
        <v>1131.0003695652174</v>
      </c>
      <c r="F14" s="27"/>
      <c r="G14" s="38">
        <v>-20.583914265336801</v>
      </c>
      <c r="H14" s="24">
        <v>-23.994338255631803</v>
      </c>
    </row>
    <row r="15" spans="1:8" x14ac:dyDescent="0.2">
      <c r="A15" s="30" t="s">
        <v>21</v>
      </c>
      <c r="B15" s="31" t="s">
        <v>3</v>
      </c>
      <c r="C15" s="20">
        <v>1158.5709999999999</v>
      </c>
      <c r="D15" s="20">
        <v>1237.2387761782609</v>
      </c>
      <c r="E15" s="36">
        <v>1412.4474283566817</v>
      </c>
      <c r="F15" s="22" t="s">
        <v>240</v>
      </c>
      <c r="G15" s="37">
        <v>21.912893414100807</v>
      </c>
      <c r="H15" s="33">
        <v>14.161264224164356</v>
      </c>
    </row>
    <row r="16" spans="1:8" x14ac:dyDescent="0.2">
      <c r="A16" s="34"/>
      <c r="B16" s="25" t="s">
        <v>241</v>
      </c>
      <c r="C16" s="26">
        <v>563.14519565217392</v>
      </c>
      <c r="D16" s="26">
        <v>585.04752647130431</v>
      </c>
      <c r="E16" s="26">
        <v>674.0003695652174</v>
      </c>
      <c r="F16" s="27"/>
      <c r="G16" s="28">
        <v>19.6850074845552</v>
      </c>
      <c r="H16" s="29">
        <v>15.204378972496357</v>
      </c>
    </row>
    <row r="17" spans="1:8" x14ac:dyDescent="0.2">
      <c r="A17" s="30" t="s">
        <v>189</v>
      </c>
      <c r="B17" s="31" t="s">
        <v>3</v>
      </c>
      <c r="C17" s="20">
        <v>9831.9516666666659</v>
      </c>
      <c r="D17" s="20">
        <v>8556.3979602971012</v>
      </c>
      <c r="E17" s="36">
        <v>8711.1975838527378</v>
      </c>
      <c r="F17" s="22" t="s">
        <v>240</v>
      </c>
      <c r="G17" s="37">
        <v>-11.399100817527696</v>
      </c>
      <c r="H17" s="33">
        <v>1.8091681134272619</v>
      </c>
    </row>
    <row r="18" spans="1:8" x14ac:dyDescent="0.2">
      <c r="A18" s="34"/>
      <c r="B18" s="25" t="s">
        <v>241</v>
      </c>
      <c r="C18" s="26">
        <v>5321.90865942029</v>
      </c>
      <c r="D18" s="26">
        <v>4286.7458774521738</v>
      </c>
      <c r="E18" s="26">
        <v>4475.3339492753621</v>
      </c>
      <c r="F18" s="27"/>
      <c r="G18" s="28">
        <v>-15.907351371888154</v>
      </c>
      <c r="H18" s="29">
        <v>4.3993294031060088</v>
      </c>
    </row>
    <row r="19" spans="1:8" x14ac:dyDescent="0.2">
      <c r="A19" s="39" t="s">
        <v>12</v>
      </c>
      <c r="B19" s="31" t="s">
        <v>3</v>
      </c>
      <c r="C19" s="20">
        <v>425.57100000000003</v>
      </c>
      <c r="D19" s="20">
        <v>306.23877617826088</v>
      </c>
      <c r="E19" s="36">
        <v>315.02389571617204</v>
      </c>
      <c r="F19" s="22" t="s">
        <v>240</v>
      </c>
      <c r="G19" s="37">
        <v>-25.976183594236446</v>
      </c>
      <c r="H19" s="33">
        <v>2.8687155975301266</v>
      </c>
    </row>
    <row r="20" spans="1:8" x14ac:dyDescent="0.2">
      <c r="A20" s="34"/>
      <c r="B20" s="25" t="s">
        <v>241</v>
      </c>
      <c r="C20" s="26">
        <v>244.1451956521739</v>
      </c>
      <c r="D20" s="26">
        <v>151.04752647130434</v>
      </c>
      <c r="E20" s="26">
        <v>163.0003695652174</v>
      </c>
      <c r="F20" s="27"/>
      <c r="G20" s="28">
        <v>-33.236298535466986</v>
      </c>
      <c r="H20" s="29">
        <v>7.9132994582230509</v>
      </c>
    </row>
    <row r="21" spans="1:8" x14ac:dyDescent="0.2">
      <c r="A21" s="39" t="s">
        <v>23</v>
      </c>
      <c r="B21" s="31" t="s">
        <v>3</v>
      </c>
      <c r="C21" s="20">
        <v>720.38066666666668</v>
      </c>
      <c r="D21" s="20">
        <v>800.15918411884059</v>
      </c>
      <c r="E21" s="36">
        <v>744.41684870754636</v>
      </c>
      <c r="F21" s="22" t="s">
        <v>240</v>
      </c>
      <c r="G21" s="23">
        <v>3.3365945468941476</v>
      </c>
      <c r="H21" s="24">
        <v>-6.966405749960785</v>
      </c>
    </row>
    <row r="22" spans="1:8" x14ac:dyDescent="0.2">
      <c r="A22" s="34"/>
      <c r="B22" s="25" t="s">
        <v>241</v>
      </c>
      <c r="C22" s="26">
        <v>366.76346376811597</v>
      </c>
      <c r="D22" s="26">
        <v>404.69835098086958</v>
      </c>
      <c r="E22" s="26">
        <v>377.33357971014493</v>
      </c>
      <c r="F22" s="27"/>
      <c r="G22" s="38">
        <v>2.8819980685731252</v>
      </c>
      <c r="H22" s="24">
        <v>-6.7617698971099145</v>
      </c>
    </row>
    <row r="23" spans="1:8" x14ac:dyDescent="0.2">
      <c r="A23" s="30" t="s">
        <v>24</v>
      </c>
      <c r="B23" s="31" t="s">
        <v>3</v>
      </c>
      <c r="C23" s="20">
        <v>7460.7713000000003</v>
      </c>
      <c r="D23" s="20">
        <v>7531.5716328534781</v>
      </c>
      <c r="E23" s="36">
        <v>9023.8819554441652</v>
      </c>
      <c r="F23" s="22" t="s">
        <v>240</v>
      </c>
      <c r="G23" s="37">
        <v>20.951059784451047</v>
      </c>
      <c r="H23" s="33">
        <v>19.814062659658944</v>
      </c>
    </row>
    <row r="24" spans="1:8" ht="13.5" thickBot="1" x14ac:dyDescent="0.25">
      <c r="A24" s="41"/>
      <c r="B24" s="42" t="s">
        <v>241</v>
      </c>
      <c r="C24" s="43">
        <v>3536.1435586956522</v>
      </c>
      <c r="D24" s="43">
        <v>2804.1142579413913</v>
      </c>
      <c r="E24" s="43">
        <v>3618.4001108695652</v>
      </c>
      <c r="F24" s="44"/>
      <c r="G24" s="45">
        <v>2.3261655192600301</v>
      </c>
      <c r="H24" s="46">
        <v>29.038968388041809</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165</v>
      </c>
      <c r="B35" s="19" t="s">
        <v>3</v>
      </c>
      <c r="C35" s="80">
        <v>5905.40679865111</v>
      </c>
      <c r="D35" s="80">
        <v>5870.5359812985043</v>
      </c>
      <c r="E35" s="81">
        <v>5836.2393085998428</v>
      </c>
      <c r="F35" s="22" t="s">
        <v>240</v>
      </c>
      <c r="G35" s="23">
        <v>-1.1712569922713243</v>
      </c>
      <c r="H35" s="24">
        <v>-0.58421705970150128</v>
      </c>
    </row>
    <row r="36" spans="1:8" ht="12.75" customHeight="1" x14ac:dyDescent="0.2">
      <c r="A36" s="206"/>
      <c r="B36" s="25" t="s">
        <v>241</v>
      </c>
      <c r="C36" s="82">
        <v>3198.9516949800377</v>
      </c>
      <c r="D36" s="82">
        <v>3215.9968028142862</v>
      </c>
      <c r="E36" s="82">
        <v>3185.2108121119513</v>
      </c>
      <c r="F36" s="27"/>
      <c r="G36" s="28">
        <v>-0.42954330600394997</v>
      </c>
      <c r="H36" s="29">
        <v>-0.95727678197299326</v>
      </c>
    </row>
    <row r="37" spans="1:8" x14ac:dyDescent="0.2">
      <c r="A37" s="30" t="s">
        <v>18</v>
      </c>
      <c r="B37" s="31" t="s">
        <v>3</v>
      </c>
      <c r="C37" s="80">
        <v>2576.6457160675845</v>
      </c>
      <c r="D37" s="80">
        <v>2669.1624952873344</v>
      </c>
      <c r="E37" s="83">
        <v>2517.3701746306497</v>
      </c>
      <c r="F37" s="22" t="s">
        <v>240</v>
      </c>
      <c r="G37" s="32">
        <v>-2.3004924995043439</v>
      </c>
      <c r="H37" s="33">
        <v>-5.686889461570388</v>
      </c>
    </row>
    <row r="38" spans="1:8" x14ac:dyDescent="0.2">
      <c r="A38" s="34"/>
      <c r="B38" s="25" t="s">
        <v>241</v>
      </c>
      <c r="C38" s="82">
        <v>1336.1396281928739</v>
      </c>
      <c r="D38" s="82">
        <v>1585.8373961983784</v>
      </c>
      <c r="E38" s="82">
        <v>1426.3594944071663</v>
      </c>
      <c r="F38" s="27"/>
      <c r="G38" s="35">
        <v>6.7522783031526785</v>
      </c>
      <c r="H38" s="29">
        <v>-10.056384227886028</v>
      </c>
    </row>
    <row r="39" spans="1:8" x14ac:dyDescent="0.2">
      <c r="A39" s="30" t="s">
        <v>19</v>
      </c>
      <c r="B39" s="31" t="s">
        <v>3</v>
      </c>
      <c r="C39" s="80">
        <v>1645.1894379127918</v>
      </c>
      <c r="D39" s="80">
        <v>1638.298300338585</v>
      </c>
      <c r="E39" s="83">
        <v>2135.3535250696618</v>
      </c>
      <c r="F39" s="22" t="s">
        <v>240</v>
      </c>
      <c r="G39" s="37">
        <v>29.793777899445303</v>
      </c>
      <c r="H39" s="33">
        <v>30.339726570451262</v>
      </c>
    </row>
    <row r="40" spans="1:8" x14ac:dyDescent="0.2">
      <c r="A40" s="34"/>
      <c r="B40" s="25" t="s">
        <v>241</v>
      </c>
      <c r="C40" s="82">
        <v>787.0851416789784</v>
      </c>
      <c r="D40" s="82">
        <v>790.96781125457619</v>
      </c>
      <c r="E40" s="82">
        <v>1027.8070449701752</v>
      </c>
      <c r="F40" s="27"/>
      <c r="G40" s="28">
        <v>30.583972501081433</v>
      </c>
      <c r="H40" s="29">
        <v>29.94296738067527</v>
      </c>
    </row>
    <row r="41" spans="1:8" x14ac:dyDescent="0.2">
      <c r="A41" s="30" t="s">
        <v>20</v>
      </c>
      <c r="B41" s="31" t="s">
        <v>3</v>
      </c>
      <c r="C41" s="80">
        <v>143.94542710324436</v>
      </c>
      <c r="D41" s="80">
        <v>140.39008832816529</v>
      </c>
      <c r="E41" s="83">
        <v>112.2938193358052</v>
      </c>
      <c r="F41" s="22" t="s">
        <v>240</v>
      </c>
      <c r="G41" s="23">
        <v>-21.988616383580677</v>
      </c>
      <c r="H41" s="24">
        <v>-20.013000438239175</v>
      </c>
    </row>
    <row r="42" spans="1:8" x14ac:dyDescent="0.2">
      <c r="A42" s="34"/>
      <c r="B42" s="25" t="s">
        <v>241</v>
      </c>
      <c r="C42" s="82">
        <v>79.071240276124485</v>
      </c>
      <c r="D42" s="82">
        <v>82.917327425562888</v>
      </c>
      <c r="E42" s="82">
        <v>64.70129451669797</v>
      </c>
      <c r="F42" s="27"/>
      <c r="G42" s="38">
        <v>-18.17341641441979</v>
      </c>
      <c r="H42" s="24">
        <v>-21.968909846036638</v>
      </c>
    </row>
    <row r="43" spans="1:8" x14ac:dyDescent="0.2">
      <c r="A43" s="30" t="s">
        <v>21</v>
      </c>
      <c r="B43" s="31" t="s">
        <v>3</v>
      </c>
      <c r="C43" s="80">
        <v>30.028634972271501</v>
      </c>
      <c r="D43" s="80">
        <v>20.722429564660555</v>
      </c>
      <c r="E43" s="83">
        <v>29.106546831415052</v>
      </c>
      <c r="F43" s="22" t="s">
        <v>240</v>
      </c>
      <c r="G43" s="37">
        <v>-3.0706961595420807</v>
      </c>
      <c r="H43" s="33">
        <v>40.459142305651909</v>
      </c>
    </row>
    <row r="44" spans="1:8" x14ac:dyDescent="0.2">
      <c r="A44" s="34"/>
      <c r="B44" s="25" t="s">
        <v>241</v>
      </c>
      <c r="C44" s="82">
        <v>8.4147182968431835</v>
      </c>
      <c r="D44" s="82">
        <v>10.082723589040331</v>
      </c>
      <c r="E44" s="82">
        <v>11.371125934634897</v>
      </c>
      <c r="F44" s="27"/>
      <c r="G44" s="28">
        <v>35.133768398412371</v>
      </c>
      <c r="H44" s="29">
        <v>12.778316634555239</v>
      </c>
    </row>
    <row r="45" spans="1:8" x14ac:dyDescent="0.2">
      <c r="A45" s="30" t="s">
        <v>189</v>
      </c>
      <c r="B45" s="31" t="s">
        <v>3</v>
      </c>
      <c r="C45" s="80">
        <v>778.23145115395801</v>
      </c>
      <c r="D45" s="80">
        <v>726.5815031003757</v>
      </c>
      <c r="E45" s="83">
        <v>668.52132073253881</v>
      </c>
      <c r="F45" s="22" t="s">
        <v>240</v>
      </c>
      <c r="G45" s="37">
        <v>-14.097365283649424</v>
      </c>
      <c r="H45" s="33">
        <v>-7.9908698638886193</v>
      </c>
    </row>
    <row r="46" spans="1:8" x14ac:dyDescent="0.2">
      <c r="A46" s="34"/>
      <c r="B46" s="25" t="s">
        <v>241</v>
      </c>
      <c r="C46" s="82">
        <v>510.75081044627319</v>
      </c>
      <c r="D46" s="82">
        <v>381.2100423645773</v>
      </c>
      <c r="E46" s="82">
        <v>375.87817482526691</v>
      </c>
      <c r="F46" s="27"/>
      <c r="G46" s="28">
        <v>-26.406739424096088</v>
      </c>
      <c r="H46" s="29">
        <v>-1.3986692234647791</v>
      </c>
    </row>
    <row r="47" spans="1:8" x14ac:dyDescent="0.2">
      <c r="A47" s="39" t="s">
        <v>12</v>
      </c>
      <c r="B47" s="31" t="s">
        <v>3</v>
      </c>
      <c r="C47" s="80">
        <v>14.599101522754497</v>
      </c>
      <c r="D47" s="80">
        <v>13.774586753330448</v>
      </c>
      <c r="E47" s="83">
        <v>20.644331797975102</v>
      </c>
      <c r="F47" s="22" t="s">
        <v>240</v>
      </c>
      <c r="G47" s="37">
        <v>41.408235060208114</v>
      </c>
      <c r="H47" s="33">
        <v>49.872603568188168</v>
      </c>
    </row>
    <row r="48" spans="1:8" x14ac:dyDescent="0.2">
      <c r="A48" s="34"/>
      <c r="B48" s="25" t="s">
        <v>241</v>
      </c>
      <c r="C48" s="82">
        <v>8.0849375677232924</v>
      </c>
      <c r="D48" s="82">
        <v>5.5769751009368749</v>
      </c>
      <c r="E48" s="82">
        <v>9.1813498656615185</v>
      </c>
      <c r="F48" s="27"/>
      <c r="G48" s="28">
        <v>13.561172102494965</v>
      </c>
      <c r="H48" s="29">
        <v>64.629565301791388</v>
      </c>
    </row>
    <row r="49" spans="1:8" x14ac:dyDescent="0.2">
      <c r="A49" s="39" t="s">
        <v>23</v>
      </c>
      <c r="B49" s="31" t="s">
        <v>3</v>
      </c>
      <c r="C49" s="80">
        <v>29.99032404112473</v>
      </c>
      <c r="D49" s="80">
        <v>38.14258987904995</v>
      </c>
      <c r="E49" s="83">
        <v>38.111009630118218</v>
      </c>
      <c r="F49" s="22" t="s">
        <v>240</v>
      </c>
      <c r="G49" s="23">
        <v>27.07768538231818</v>
      </c>
      <c r="H49" s="24">
        <v>-8.2795240259954994E-2</v>
      </c>
    </row>
    <row r="50" spans="1:8" x14ac:dyDescent="0.2">
      <c r="A50" s="34"/>
      <c r="B50" s="25" t="s">
        <v>241</v>
      </c>
      <c r="C50" s="82">
        <v>14.408015609994552</v>
      </c>
      <c r="D50" s="82">
        <v>17.300039006157693</v>
      </c>
      <c r="E50" s="82">
        <v>17.613974864395626</v>
      </c>
      <c r="F50" s="27"/>
      <c r="G50" s="38">
        <v>22.251220023506676</v>
      </c>
      <c r="H50" s="24">
        <v>1.8146540486191611</v>
      </c>
    </row>
    <row r="51" spans="1:8" x14ac:dyDescent="0.2">
      <c r="A51" s="30" t="s">
        <v>24</v>
      </c>
      <c r="B51" s="31" t="s">
        <v>3</v>
      </c>
      <c r="C51" s="80">
        <v>686.77670587738135</v>
      </c>
      <c r="D51" s="80">
        <v>623.4639880470022</v>
      </c>
      <c r="E51" s="83">
        <v>433.47239404098144</v>
      </c>
      <c r="F51" s="22" t="s">
        <v>240</v>
      </c>
      <c r="G51" s="37">
        <v>-36.883066893306285</v>
      </c>
      <c r="H51" s="33">
        <v>-30.473547413888085</v>
      </c>
    </row>
    <row r="52" spans="1:8" ht="13.5" thickBot="1" x14ac:dyDescent="0.25">
      <c r="A52" s="41"/>
      <c r="B52" s="42" t="s">
        <v>241</v>
      </c>
      <c r="C52" s="86">
        <v>454.99720291122725</v>
      </c>
      <c r="D52" s="86">
        <v>342.10448787505663</v>
      </c>
      <c r="E52" s="86">
        <v>252.29835272795245</v>
      </c>
      <c r="F52" s="44"/>
      <c r="G52" s="45">
        <v>-44.549471708032151</v>
      </c>
      <c r="H52" s="46">
        <v>-26.251083610426988</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17</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58</v>
      </c>
      <c r="B7" s="19" t="s">
        <v>3</v>
      </c>
      <c r="C7" s="20">
        <v>9550.4275265306132</v>
      </c>
      <c r="D7" s="20">
        <v>8509.7790693877541</v>
      </c>
      <c r="E7" s="79">
        <v>8852.8422651210858</v>
      </c>
      <c r="F7" s="22" t="s">
        <v>240</v>
      </c>
      <c r="G7" s="23">
        <v>-7.3042307213124218</v>
      </c>
      <c r="H7" s="24">
        <v>4.0313995573332022</v>
      </c>
    </row>
    <row r="8" spans="1:9" x14ac:dyDescent="0.2">
      <c r="A8" s="206"/>
      <c r="B8" s="25" t="s">
        <v>241</v>
      </c>
      <c r="C8" s="26">
        <v>5021.5564408163264</v>
      </c>
      <c r="D8" s="26">
        <v>4272.1273306122448</v>
      </c>
      <c r="E8" s="26">
        <v>4512.3466285714285</v>
      </c>
      <c r="F8" s="27"/>
      <c r="G8" s="28">
        <v>-10.140477723319549</v>
      </c>
      <c r="H8" s="29">
        <v>5.6229433106516922</v>
      </c>
    </row>
    <row r="9" spans="1:9" x14ac:dyDescent="0.2">
      <c r="A9" s="30" t="s">
        <v>9</v>
      </c>
      <c r="B9" s="31" t="s">
        <v>3</v>
      </c>
      <c r="C9" s="20">
        <v>9153.4100571428571</v>
      </c>
      <c r="D9" s="20">
        <v>8061.5764571428572</v>
      </c>
      <c r="E9" s="21">
        <v>8065.215943914237</v>
      </c>
      <c r="F9" s="22" t="s">
        <v>240</v>
      </c>
      <c r="G9" s="32">
        <v>-11.888401223535794</v>
      </c>
      <c r="H9" s="33">
        <v>4.5146092587813769E-2</v>
      </c>
    </row>
    <row r="10" spans="1:9" x14ac:dyDescent="0.2">
      <c r="A10" s="34"/>
      <c r="B10" s="25" t="s">
        <v>241</v>
      </c>
      <c r="C10" s="26">
        <v>4824.0692571428572</v>
      </c>
      <c r="D10" s="26">
        <v>4087.5619428571426</v>
      </c>
      <c r="E10" s="26">
        <v>4141.7512000000006</v>
      </c>
      <c r="F10" s="27"/>
      <c r="G10" s="35">
        <v>-14.144035269240135</v>
      </c>
      <c r="H10" s="29">
        <v>1.3257109714887889</v>
      </c>
    </row>
    <row r="11" spans="1:9" x14ac:dyDescent="0.2">
      <c r="A11" s="30" t="s">
        <v>46</v>
      </c>
      <c r="B11" s="31" t="s">
        <v>3</v>
      </c>
      <c r="C11" s="20">
        <v>399.01746938775511</v>
      </c>
      <c r="D11" s="20">
        <v>449.20261224489798</v>
      </c>
      <c r="E11" s="21">
        <v>846.40804250563849</v>
      </c>
      <c r="F11" s="22" t="s">
        <v>240</v>
      </c>
      <c r="G11" s="37">
        <v>112.12305411197937</v>
      </c>
      <c r="H11" s="33">
        <v>88.424559304252341</v>
      </c>
    </row>
    <row r="12" spans="1:9" ht="13.5" thickBot="1" x14ac:dyDescent="0.25">
      <c r="A12" s="56"/>
      <c r="B12" s="42" t="s">
        <v>241</v>
      </c>
      <c r="C12" s="43">
        <v>198.48718367346939</v>
      </c>
      <c r="D12" s="43">
        <v>185.56538775510205</v>
      </c>
      <c r="E12" s="43">
        <v>370.59542857142856</v>
      </c>
      <c r="F12" s="44"/>
      <c r="G12" s="57">
        <v>86.710003997585005</v>
      </c>
      <c r="H12" s="46">
        <v>99.711504960460587</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58</v>
      </c>
      <c r="B35" s="19" t="s">
        <v>3</v>
      </c>
      <c r="C35" s="80">
        <v>2097.286501513945</v>
      </c>
      <c r="D35" s="80">
        <v>1776.8332046777334</v>
      </c>
      <c r="E35" s="81">
        <v>1809.2238882672364</v>
      </c>
      <c r="F35" s="22" t="s">
        <v>240</v>
      </c>
      <c r="G35" s="23">
        <v>-13.73501488894189</v>
      </c>
      <c r="H35" s="24">
        <v>1.8229445231117154</v>
      </c>
    </row>
    <row r="36" spans="1:9" ht="12.75" customHeight="1" x14ac:dyDescent="0.2">
      <c r="A36" s="206"/>
      <c r="B36" s="25" t="s">
        <v>241</v>
      </c>
      <c r="C36" s="82">
        <v>1082.4285095044327</v>
      </c>
      <c r="D36" s="82">
        <v>917.48112890574214</v>
      </c>
      <c r="E36" s="82">
        <v>934.05641670497062</v>
      </c>
      <c r="F36" s="27"/>
      <c r="G36" s="28">
        <v>-13.707334156173616</v>
      </c>
      <c r="H36" s="29">
        <v>1.806608035524107</v>
      </c>
    </row>
    <row r="37" spans="1:9" x14ac:dyDescent="0.2">
      <c r="A37" s="30" t="s">
        <v>9</v>
      </c>
      <c r="B37" s="31" t="s">
        <v>3</v>
      </c>
      <c r="C37" s="80">
        <v>1504.82814749006</v>
      </c>
      <c r="D37" s="80">
        <v>1313.0264236824205</v>
      </c>
      <c r="E37" s="83">
        <v>1313.1654407442024</v>
      </c>
      <c r="F37" s="22" t="s">
        <v>240</v>
      </c>
      <c r="G37" s="32">
        <v>-12.736517925022639</v>
      </c>
      <c r="H37" s="33">
        <v>1.0587529639522586E-2</v>
      </c>
    </row>
    <row r="38" spans="1:9" x14ac:dyDescent="0.2">
      <c r="A38" s="34"/>
      <c r="B38" s="25" t="s">
        <v>241</v>
      </c>
      <c r="C38" s="82">
        <v>788.78840897128794</v>
      </c>
      <c r="D38" s="82">
        <v>666.04859447829472</v>
      </c>
      <c r="E38" s="82">
        <v>673.35990419821599</v>
      </c>
      <c r="F38" s="27"/>
      <c r="G38" s="35">
        <v>-14.633646166734366</v>
      </c>
      <c r="H38" s="29">
        <v>1.0977141578758278</v>
      </c>
    </row>
    <row r="39" spans="1:9" x14ac:dyDescent="0.2">
      <c r="A39" s="30" t="s">
        <v>46</v>
      </c>
      <c r="B39" s="31" t="s">
        <v>3</v>
      </c>
      <c r="C39" s="80">
        <v>592.45835402388514</v>
      </c>
      <c r="D39" s="80">
        <v>463.80678099531292</v>
      </c>
      <c r="E39" s="83">
        <v>495.92719791177427</v>
      </c>
      <c r="F39" s="22" t="s">
        <v>240</v>
      </c>
      <c r="G39" s="37">
        <v>-16.293323481133527</v>
      </c>
      <c r="H39" s="33">
        <v>6.9253875175201358</v>
      </c>
    </row>
    <row r="40" spans="1:9" ht="13.5" thickBot="1" x14ac:dyDescent="0.25">
      <c r="A40" s="56"/>
      <c r="B40" s="42" t="s">
        <v>241</v>
      </c>
      <c r="C40" s="86">
        <v>293.64010053314456</v>
      </c>
      <c r="D40" s="86">
        <v>251.43251642744747</v>
      </c>
      <c r="E40" s="86">
        <v>260.69651250675474</v>
      </c>
      <c r="F40" s="44"/>
      <c r="G40" s="57">
        <v>-11.21903580831642</v>
      </c>
      <c r="H40" s="46">
        <v>3.6844860843527698</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18</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57</v>
      </c>
      <c r="B7" s="19" t="s">
        <v>3</v>
      </c>
      <c r="C7" s="20">
        <v>5250</v>
      </c>
      <c r="D7" s="20">
        <v>5522</v>
      </c>
      <c r="E7" s="79">
        <v>5694.9347042646177</v>
      </c>
      <c r="F7" s="22" t="s">
        <v>240</v>
      </c>
      <c r="G7" s="23">
        <v>8.4749467478974765</v>
      </c>
      <c r="H7" s="24">
        <v>3.1317403887109379</v>
      </c>
    </row>
    <row r="8" spans="1:9" x14ac:dyDescent="0.2">
      <c r="A8" s="206"/>
      <c r="B8" s="25" t="s">
        <v>241</v>
      </c>
      <c r="C8" s="26">
        <v>2468.457142857143</v>
      </c>
      <c r="D8" s="26">
        <v>2730</v>
      </c>
      <c r="E8" s="26">
        <v>2768</v>
      </c>
      <c r="F8" s="27"/>
      <c r="G8" s="28">
        <v>12.134821056530384</v>
      </c>
      <c r="H8" s="29">
        <v>1.391941391941387</v>
      </c>
    </row>
    <row r="9" spans="1:9" x14ac:dyDescent="0.2">
      <c r="A9" s="30" t="s">
        <v>9</v>
      </c>
      <c r="B9" s="31" t="s">
        <v>3</v>
      </c>
      <c r="C9" s="20">
        <v>1759</v>
      </c>
      <c r="D9" s="20">
        <v>1891</v>
      </c>
      <c r="E9" s="21">
        <v>1983.0431757240135</v>
      </c>
      <c r="F9" s="22" t="s">
        <v>240</v>
      </c>
      <c r="G9" s="32">
        <v>12.736962804093992</v>
      </c>
      <c r="H9" s="33">
        <v>4.8674339356961127</v>
      </c>
    </row>
    <row r="10" spans="1:9" x14ac:dyDescent="0.2">
      <c r="A10" s="34"/>
      <c r="B10" s="25" t="s">
        <v>241</v>
      </c>
      <c r="C10" s="26">
        <v>939.97142857142853</v>
      </c>
      <c r="D10" s="26">
        <v>776</v>
      </c>
      <c r="E10" s="26">
        <v>882</v>
      </c>
      <c r="F10" s="27"/>
      <c r="G10" s="35">
        <v>-6.1673607100519661</v>
      </c>
      <c r="H10" s="29">
        <v>13.659793814432987</v>
      </c>
    </row>
    <row r="11" spans="1:9" x14ac:dyDescent="0.2">
      <c r="A11" s="30" t="s">
        <v>46</v>
      </c>
      <c r="B11" s="31" t="s">
        <v>3</v>
      </c>
      <c r="C11" s="20">
        <v>2718</v>
      </c>
      <c r="D11" s="20">
        <v>2194</v>
      </c>
      <c r="E11" s="21">
        <v>2630.024320126709</v>
      </c>
      <c r="F11" s="22" t="s">
        <v>240</v>
      </c>
      <c r="G11" s="37">
        <v>-3.2367799806214492</v>
      </c>
      <c r="H11" s="33">
        <v>19.873487699485366</v>
      </c>
    </row>
    <row r="12" spans="1:9" x14ac:dyDescent="0.2">
      <c r="A12" s="34"/>
      <c r="B12" s="25" t="s">
        <v>241</v>
      </c>
      <c r="C12" s="26">
        <v>985.48571428571427</v>
      </c>
      <c r="D12" s="26">
        <v>1143</v>
      </c>
      <c r="E12" s="26">
        <v>1196</v>
      </c>
      <c r="F12" s="27"/>
      <c r="G12" s="28">
        <v>21.361475124666597</v>
      </c>
      <c r="H12" s="29">
        <v>4.6369203849518641</v>
      </c>
    </row>
    <row r="13" spans="1:9" x14ac:dyDescent="0.2">
      <c r="A13" s="30" t="s">
        <v>24</v>
      </c>
      <c r="B13" s="31" t="s">
        <v>3</v>
      </c>
      <c r="C13" s="20">
        <v>861</v>
      </c>
      <c r="D13" s="20">
        <v>1442</v>
      </c>
      <c r="E13" s="21">
        <v>1184.0041851337241</v>
      </c>
      <c r="F13" s="22" t="s">
        <v>240</v>
      </c>
      <c r="G13" s="23">
        <v>37.515004080571913</v>
      </c>
      <c r="H13" s="24">
        <v>-17.891526689755608</v>
      </c>
    </row>
    <row r="14" spans="1:9" ht="13.5" thickBot="1" x14ac:dyDescent="0.25">
      <c r="A14" s="56"/>
      <c r="B14" s="42" t="s">
        <v>241</v>
      </c>
      <c r="C14" s="43">
        <v>548.24285714285713</v>
      </c>
      <c r="D14" s="43">
        <v>818</v>
      </c>
      <c r="E14" s="43">
        <v>697</v>
      </c>
      <c r="F14" s="44"/>
      <c r="G14" s="57">
        <v>27.133439299580473</v>
      </c>
      <c r="H14" s="46">
        <v>-14.792176039119809</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57</v>
      </c>
      <c r="B35" s="19" t="s">
        <v>3</v>
      </c>
      <c r="C35" s="80">
        <v>1715.0155545624009</v>
      </c>
      <c r="D35" s="80">
        <v>2036.0218121420889</v>
      </c>
      <c r="E35" s="81">
        <v>2562.3634418147785</v>
      </c>
      <c r="F35" s="22" t="s">
        <v>240</v>
      </c>
      <c r="G35" s="23">
        <v>49.407591960213125</v>
      </c>
      <c r="H35" s="24">
        <v>25.851473031073667</v>
      </c>
    </row>
    <row r="36" spans="1:9" ht="12.75" customHeight="1" x14ac:dyDescent="0.2">
      <c r="A36" s="206"/>
      <c r="B36" s="25" t="s">
        <v>241</v>
      </c>
      <c r="C36" s="82">
        <v>844.52767250232239</v>
      </c>
      <c r="D36" s="82">
        <v>966.10268894516719</v>
      </c>
      <c r="E36" s="82">
        <v>1230.789637213775</v>
      </c>
      <c r="F36" s="27"/>
      <c r="G36" s="28">
        <v>45.737040630884763</v>
      </c>
      <c r="H36" s="29">
        <v>27.397392771735738</v>
      </c>
    </row>
    <row r="37" spans="1:9" x14ac:dyDescent="0.2">
      <c r="A37" s="30" t="s">
        <v>9</v>
      </c>
      <c r="B37" s="31" t="s">
        <v>3</v>
      </c>
      <c r="C37" s="80">
        <v>315.91774839229691</v>
      </c>
      <c r="D37" s="80">
        <v>357.14071684871595</v>
      </c>
      <c r="E37" s="83">
        <v>416.56083057131133</v>
      </c>
      <c r="F37" s="22" t="s">
        <v>240</v>
      </c>
      <c r="G37" s="32">
        <v>31.857368790195011</v>
      </c>
      <c r="H37" s="33">
        <v>16.637731549316911</v>
      </c>
    </row>
    <row r="38" spans="1:9" x14ac:dyDescent="0.2">
      <c r="A38" s="34"/>
      <c r="B38" s="25" t="s">
        <v>241</v>
      </c>
      <c r="C38" s="82">
        <v>165.45855060953699</v>
      </c>
      <c r="D38" s="82">
        <v>171.92104255033735</v>
      </c>
      <c r="E38" s="82">
        <v>206.08040268181267</v>
      </c>
      <c r="F38" s="27"/>
      <c r="G38" s="35">
        <v>24.551074527504198</v>
      </c>
      <c r="H38" s="29">
        <v>19.869214160607299</v>
      </c>
    </row>
    <row r="39" spans="1:9" x14ac:dyDescent="0.2">
      <c r="A39" s="30" t="s">
        <v>46</v>
      </c>
      <c r="B39" s="31" t="s">
        <v>3</v>
      </c>
      <c r="C39" s="80">
        <v>1004.6419565647176</v>
      </c>
      <c r="D39" s="80">
        <v>1188.182864513248</v>
      </c>
      <c r="E39" s="83">
        <v>1506.5647244062031</v>
      </c>
      <c r="F39" s="22" t="s">
        <v>240</v>
      </c>
      <c r="G39" s="37">
        <v>49.960362949379999</v>
      </c>
      <c r="H39" s="33">
        <v>26.795695292524172</v>
      </c>
    </row>
    <row r="40" spans="1:9" x14ac:dyDescent="0.2">
      <c r="A40" s="34"/>
      <c r="B40" s="25" t="s">
        <v>241</v>
      </c>
      <c r="C40" s="82">
        <v>499.35115590074679</v>
      </c>
      <c r="D40" s="82">
        <v>572.17317131824211</v>
      </c>
      <c r="E40" s="82">
        <v>733.10690726924884</v>
      </c>
      <c r="F40" s="27"/>
      <c r="G40" s="28">
        <v>46.811897520662654</v>
      </c>
      <c r="H40" s="29">
        <v>28.12675323105907</v>
      </c>
    </row>
    <row r="41" spans="1:9" x14ac:dyDescent="0.2">
      <c r="A41" s="30" t="s">
        <v>24</v>
      </c>
      <c r="B41" s="31" t="s">
        <v>3</v>
      </c>
      <c r="C41" s="80">
        <v>394.45584960538622</v>
      </c>
      <c r="D41" s="80">
        <v>490.69823078012507</v>
      </c>
      <c r="E41" s="83">
        <v>643.02166582747304</v>
      </c>
      <c r="F41" s="22" t="s">
        <v>240</v>
      </c>
      <c r="G41" s="23">
        <v>63.014863759975213</v>
      </c>
      <c r="H41" s="24">
        <v>31.042181424860672</v>
      </c>
    </row>
    <row r="42" spans="1:9" ht="13.5" thickBot="1" x14ac:dyDescent="0.25">
      <c r="A42" s="56"/>
      <c r="B42" s="42" t="s">
        <v>241</v>
      </c>
      <c r="C42" s="86">
        <v>179.71796599203861</v>
      </c>
      <c r="D42" s="86">
        <v>222.00847507658773</v>
      </c>
      <c r="E42" s="86">
        <v>291.6023272627134</v>
      </c>
      <c r="F42" s="44"/>
      <c r="G42" s="57">
        <v>62.255523899948429</v>
      </c>
      <c r="H42" s="46">
        <v>31.347385347391537</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19</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ht="12.75" customHeight="1" x14ac:dyDescent="0.2">
      <c r="A7" s="205" t="s">
        <v>60</v>
      </c>
      <c r="B7" s="19" t="s">
        <v>3</v>
      </c>
      <c r="C7" s="20">
        <v>27254.799999999999</v>
      </c>
      <c r="D7" s="20">
        <v>27600.996666666666</v>
      </c>
      <c r="E7" s="79">
        <v>29931.782648889712</v>
      </c>
      <c r="F7" s="22" t="s">
        <v>240</v>
      </c>
      <c r="G7" s="23">
        <v>9.8220594129830801</v>
      </c>
      <c r="H7" s="24">
        <v>8.4445718043142364</v>
      </c>
    </row>
    <row r="8" spans="1:9" ht="13.7" customHeight="1" thickBot="1" x14ac:dyDescent="0.25">
      <c r="A8" s="211"/>
      <c r="B8" s="42" t="s">
        <v>241</v>
      </c>
      <c r="C8" s="43">
        <v>13899.584999999999</v>
      </c>
      <c r="D8" s="43">
        <v>12597.658333333333</v>
      </c>
      <c r="E8" s="43">
        <v>14157.14</v>
      </c>
      <c r="F8" s="44"/>
      <c r="G8" s="57">
        <v>1.8529689915202567</v>
      </c>
      <c r="H8" s="46">
        <v>12.379139244793507</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60</v>
      </c>
      <c r="B35" s="19" t="s">
        <v>3</v>
      </c>
      <c r="C35" s="80">
        <v>750.93103671113693</v>
      </c>
      <c r="D35" s="80">
        <v>790.99551165503703</v>
      </c>
      <c r="E35" s="81">
        <v>1036.004817190124</v>
      </c>
      <c r="F35" s="22" t="s">
        <v>240</v>
      </c>
      <c r="G35" s="23">
        <v>37.962711160205686</v>
      </c>
      <c r="H35" s="24">
        <v>30.974803513415964</v>
      </c>
    </row>
    <row r="36" spans="1:9" ht="12.75" customHeight="1" thickBot="1" x14ac:dyDescent="0.25">
      <c r="A36" s="211"/>
      <c r="B36" s="42" t="s">
        <v>241</v>
      </c>
      <c r="C36" s="86">
        <v>305.60577524503333</v>
      </c>
      <c r="D36" s="86">
        <v>401.42631068577151</v>
      </c>
      <c r="E36" s="86">
        <v>485.77042894766697</v>
      </c>
      <c r="F36" s="44"/>
      <c r="G36" s="57">
        <v>58.953288287231629</v>
      </c>
      <c r="H36" s="46">
        <v>21.011108643528445</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20</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193</v>
      </c>
      <c r="B7" s="115" t="s">
        <v>3</v>
      </c>
      <c r="C7" s="20">
        <v>6375</v>
      </c>
      <c r="D7" s="20">
        <v>6379</v>
      </c>
      <c r="E7" s="79">
        <v>6940.322580863156</v>
      </c>
      <c r="F7" s="22" t="s">
        <v>240</v>
      </c>
      <c r="G7" s="116">
        <v>8.8678051900102872</v>
      </c>
      <c r="H7" s="117">
        <v>8.799538812716051</v>
      </c>
    </row>
    <row r="8" spans="1:8" ht="12.75" customHeight="1" x14ac:dyDescent="0.2">
      <c r="A8" s="217"/>
      <c r="B8" s="118" t="s">
        <v>241</v>
      </c>
      <c r="C8" s="26">
        <v>3199.2150943396227</v>
      </c>
      <c r="D8" s="26">
        <v>3211</v>
      </c>
      <c r="E8" s="26">
        <v>3490</v>
      </c>
      <c r="F8" s="27"/>
      <c r="G8" s="119">
        <v>9.0892577424651364</v>
      </c>
      <c r="H8" s="120">
        <v>8.6888819682341847</v>
      </c>
    </row>
    <row r="9" spans="1:8" x14ac:dyDescent="0.2">
      <c r="A9" s="121" t="s">
        <v>194</v>
      </c>
      <c r="B9" s="122" t="s">
        <v>3</v>
      </c>
      <c r="C9" s="20">
        <v>2249</v>
      </c>
      <c r="D9" s="20">
        <v>2198</v>
      </c>
      <c r="E9" s="20">
        <v>2214.2793870513178</v>
      </c>
      <c r="F9" s="22" t="s">
        <v>240</v>
      </c>
      <c r="G9" s="123">
        <v>-1.5438244974958764</v>
      </c>
      <c r="H9" s="124">
        <v>0.74064545274421789</v>
      </c>
    </row>
    <row r="10" spans="1:8" x14ac:dyDescent="0.2">
      <c r="A10" s="125"/>
      <c r="B10" s="118" t="s">
        <v>241</v>
      </c>
      <c r="C10" s="26">
        <v>1101.9709760000001</v>
      </c>
      <c r="D10" s="26">
        <v>1089</v>
      </c>
      <c r="E10" s="26">
        <v>1093</v>
      </c>
      <c r="F10" s="27"/>
      <c r="G10" s="126">
        <v>-0.81408459890327833</v>
      </c>
      <c r="H10" s="120">
        <v>0.36730945821854277</v>
      </c>
    </row>
    <row r="11" spans="1:8" x14ac:dyDescent="0.2">
      <c r="A11" s="121" t="s">
        <v>195</v>
      </c>
      <c r="B11" s="122" t="s">
        <v>3</v>
      </c>
      <c r="C11" s="20">
        <v>545</v>
      </c>
      <c r="D11" s="20">
        <v>616</v>
      </c>
      <c r="E11" s="20">
        <v>645.26087608463035</v>
      </c>
      <c r="F11" s="22" t="s">
        <v>240</v>
      </c>
      <c r="G11" s="127">
        <v>18.396491024702826</v>
      </c>
      <c r="H11" s="124">
        <v>4.7501422215308935</v>
      </c>
    </row>
    <row r="12" spans="1:8" x14ac:dyDescent="0.2">
      <c r="A12" s="125"/>
      <c r="B12" s="118" t="s">
        <v>241</v>
      </c>
      <c r="C12" s="26">
        <v>268.85703999999998</v>
      </c>
      <c r="D12" s="26">
        <v>302</v>
      </c>
      <c r="E12" s="26">
        <v>317</v>
      </c>
      <c r="F12" s="27"/>
      <c r="G12" s="119">
        <v>17.90652757316677</v>
      </c>
      <c r="H12" s="120">
        <v>4.9668874172185298</v>
      </c>
    </row>
    <row r="13" spans="1:8" x14ac:dyDescent="0.2">
      <c r="A13" s="121" t="s">
        <v>228</v>
      </c>
      <c r="B13" s="122" t="s">
        <v>3</v>
      </c>
      <c r="C13" s="20">
        <v>166</v>
      </c>
      <c r="D13" s="20">
        <v>153</v>
      </c>
      <c r="E13" s="20">
        <v>242.12530946378203</v>
      </c>
      <c r="F13" s="22" t="s">
        <v>240</v>
      </c>
      <c r="G13" s="116">
        <v>45.858620158904841</v>
      </c>
      <c r="H13" s="117">
        <v>58.251836250837925</v>
      </c>
    </row>
    <row r="14" spans="1:8" x14ac:dyDescent="0.2">
      <c r="A14" s="125"/>
      <c r="B14" s="118" t="s">
        <v>241</v>
      </c>
      <c r="C14" s="26">
        <v>104.028544</v>
      </c>
      <c r="D14" s="26">
        <v>80</v>
      </c>
      <c r="E14" s="26">
        <v>134</v>
      </c>
      <c r="F14" s="27"/>
      <c r="G14" s="128">
        <v>28.81080023575069</v>
      </c>
      <c r="H14" s="117">
        <v>67.5</v>
      </c>
    </row>
    <row r="15" spans="1:8" x14ac:dyDescent="0.2">
      <c r="A15" s="121" t="s">
        <v>196</v>
      </c>
      <c r="B15" s="122" t="s">
        <v>3</v>
      </c>
      <c r="C15" s="20">
        <v>2468</v>
      </c>
      <c r="D15" s="20">
        <v>2248</v>
      </c>
      <c r="E15" s="20">
        <v>2571.671846172303</v>
      </c>
      <c r="F15" s="22" t="s">
        <v>240</v>
      </c>
      <c r="G15" s="127">
        <v>4.2006420653283243</v>
      </c>
      <c r="H15" s="124">
        <v>14.398213797700322</v>
      </c>
    </row>
    <row r="16" spans="1:8" x14ac:dyDescent="0.2">
      <c r="A16" s="125"/>
      <c r="B16" s="118" t="s">
        <v>241</v>
      </c>
      <c r="C16" s="26">
        <v>1242.5713599999999</v>
      </c>
      <c r="D16" s="26">
        <v>1064</v>
      </c>
      <c r="E16" s="26">
        <v>1242</v>
      </c>
      <c r="F16" s="27"/>
      <c r="G16" s="119">
        <v>-4.5982067380009539E-2</v>
      </c>
      <c r="H16" s="120">
        <v>16.729323308270679</v>
      </c>
    </row>
    <row r="17" spans="1:9" x14ac:dyDescent="0.2">
      <c r="A17" s="121" t="s">
        <v>197</v>
      </c>
      <c r="B17" s="122" t="s">
        <v>3</v>
      </c>
      <c r="C17" s="20">
        <v>478</v>
      </c>
      <c r="D17" s="20">
        <v>489</v>
      </c>
      <c r="E17" s="20">
        <v>439.51522114961222</v>
      </c>
      <c r="F17" s="22" t="s">
        <v>240</v>
      </c>
      <c r="G17" s="127">
        <v>-8.0512089645162774</v>
      </c>
      <c r="H17" s="124">
        <v>-10.119586676970911</v>
      </c>
    </row>
    <row r="18" spans="1:9" x14ac:dyDescent="0.2">
      <c r="A18" s="121"/>
      <c r="B18" s="118" t="s">
        <v>241</v>
      </c>
      <c r="C18" s="26">
        <v>218.57136</v>
      </c>
      <c r="D18" s="26">
        <v>227</v>
      </c>
      <c r="E18" s="26">
        <v>203</v>
      </c>
      <c r="F18" s="27"/>
      <c r="G18" s="119">
        <v>-7.1241538690155863</v>
      </c>
      <c r="H18" s="120">
        <v>-10.572687224669608</v>
      </c>
    </row>
    <row r="19" spans="1:9" x14ac:dyDescent="0.2">
      <c r="A19" s="129" t="s">
        <v>198</v>
      </c>
      <c r="B19" s="122" t="s">
        <v>3</v>
      </c>
      <c r="C19" s="20">
        <v>34</v>
      </c>
      <c r="D19" s="20">
        <v>20</v>
      </c>
      <c r="E19" s="20">
        <v>17.755841915646361</v>
      </c>
      <c r="F19" s="22" t="s">
        <v>240</v>
      </c>
      <c r="G19" s="116">
        <v>-47.776935542216577</v>
      </c>
      <c r="H19" s="117">
        <v>-11.2207904217682</v>
      </c>
    </row>
    <row r="20" spans="1:9" x14ac:dyDescent="0.2">
      <c r="A20" s="125"/>
      <c r="B20" s="118" t="s">
        <v>241</v>
      </c>
      <c r="C20" s="26">
        <v>19.257135999999999</v>
      </c>
      <c r="D20" s="26">
        <v>13</v>
      </c>
      <c r="E20" s="26">
        <v>11</v>
      </c>
      <c r="F20" s="27"/>
      <c r="G20" s="128">
        <v>-42.878317938866914</v>
      </c>
      <c r="H20" s="117">
        <v>-15.384615384615387</v>
      </c>
    </row>
    <row r="21" spans="1:9" x14ac:dyDescent="0.2">
      <c r="A21" s="129" t="s">
        <v>199</v>
      </c>
      <c r="B21" s="122" t="s">
        <v>3</v>
      </c>
      <c r="C21" s="20">
        <v>17</v>
      </c>
      <c r="D21" s="20">
        <v>13</v>
      </c>
      <c r="E21" s="20">
        <v>32.808993771832405</v>
      </c>
      <c r="F21" s="22" t="s">
        <v>240</v>
      </c>
      <c r="G21" s="127">
        <v>92.994081010778871</v>
      </c>
      <c r="H21" s="124">
        <v>152.37687516794156</v>
      </c>
    </row>
    <row r="22" spans="1:9" x14ac:dyDescent="0.2">
      <c r="A22" s="125"/>
      <c r="B22" s="118" t="s">
        <v>241</v>
      </c>
      <c r="C22" s="26">
        <v>5.085712</v>
      </c>
      <c r="D22" s="26">
        <v>4</v>
      </c>
      <c r="E22" s="26">
        <v>10</v>
      </c>
      <c r="F22" s="27"/>
      <c r="G22" s="119">
        <v>96.629301855866004</v>
      </c>
      <c r="H22" s="120">
        <v>150</v>
      </c>
    </row>
    <row r="23" spans="1:9" x14ac:dyDescent="0.2">
      <c r="A23" s="129" t="s">
        <v>200</v>
      </c>
      <c r="B23" s="122" t="s">
        <v>3</v>
      </c>
      <c r="C23" s="20">
        <v>396</v>
      </c>
      <c r="D23" s="20">
        <v>454</v>
      </c>
      <c r="E23" s="20">
        <v>436.5000268524638</v>
      </c>
      <c r="F23" s="22" t="s">
        <v>240</v>
      </c>
      <c r="G23" s="127">
        <v>10.227279508197924</v>
      </c>
      <c r="H23" s="124">
        <v>-3.8546196360211837</v>
      </c>
    </row>
    <row r="24" spans="1:9" x14ac:dyDescent="0.2">
      <c r="A24" s="125"/>
      <c r="B24" s="118" t="s">
        <v>241</v>
      </c>
      <c r="C24" s="26">
        <v>137.64284000000001</v>
      </c>
      <c r="D24" s="26">
        <v>243</v>
      </c>
      <c r="E24" s="26">
        <v>198</v>
      </c>
      <c r="F24" s="27"/>
      <c r="G24" s="119">
        <v>43.850562804429217</v>
      </c>
      <c r="H24" s="120">
        <v>-18.518518518518519</v>
      </c>
    </row>
    <row r="25" spans="1:9" x14ac:dyDescent="0.2">
      <c r="A25" s="121" t="s">
        <v>24</v>
      </c>
      <c r="B25" s="122" t="s">
        <v>3</v>
      </c>
      <c r="C25" s="20">
        <v>1581</v>
      </c>
      <c r="D25" s="20">
        <v>1553</v>
      </c>
      <c r="E25" s="20">
        <v>2207.7640058271445</v>
      </c>
      <c r="F25" s="22" t="s">
        <v>240</v>
      </c>
      <c r="G25" s="116">
        <v>39.643517130116663</v>
      </c>
      <c r="H25" s="117">
        <v>42.161236692024772</v>
      </c>
      <c r="I25" s="130"/>
    </row>
    <row r="26" spans="1:9" ht="13.5" thickBot="1" x14ac:dyDescent="0.25">
      <c r="A26" s="131"/>
      <c r="B26" s="132" t="s">
        <v>241</v>
      </c>
      <c r="C26" s="43">
        <v>866.64283999999998</v>
      </c>
      <c r="D26" s="43">
        <v>926</v>
      </c>
      <c r="E26" s="43">
        <v>1279</v>
      </c>
      <c r="F26" s="44"/>
      <c r="G26" s="133">
        <v>47.580980418646277</v>
      </c>
      <c r="H26" s="134">
        <v>38.120950323974085</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193</v>
      </c>
      <c r="B35" s="115" t="s">
        <v>3</v>
      </c>
      <c r="C35" s="80">
        <v>1135.0357251820456</v>
      </c>
      <c r="D35" s="80">
        <v>1443.9436886190495</v>
      </c>
      <c r="E35" s="81">
        <v>1857.3049603113043</v>
      </c>
      <c r="F35" s="22" t="s">
        <v>240</v>
      </c>
      <c r="G35" s="116">
        <v>63.634053017442767</v>
      </c>
      <c r="H35" s="117">
        <v>28.627243219407205</v>
      </c>
    </row>
    <row r="36" spans="1:8" ht="12.75" customHeight="1" x14ac:dyDescent="0.2">
      <c r="A36" s="217"/>
      <c r="B36" s="118" t="s">
        <v>241</v>
      </c>
      <c r="C36" s="82">
        <v>588.95007198057067</v>
      </c>
      <c r="D36" s="82">
        <v>703.90225090201386</v>
      </c>
      <c r="E36" s="82">
        <v>924.04743928760456</v>
      </c>
      <c r="F36" s="27"/>
      <c r="G36" s="119">
        <v>56.897415120460124</v>
      </c>
      <c r="H36" s="120">
        <v>31.274965821388719</v>
      </c>
    </row>
    <row r="37" spans="1:8" x14ac:dyDescent="0.2">
      <c r="A37" s="121" t="s">
        <v>194</v>
      </c>
      <c r="B37" s="122" t="s">
        <v>3</v>
      </c>
      <c r="C37" s="80">
        <v>554.71764030581437</v>
      </c>
      <c r="D37" s="80">
        <v>688.24224737866768</v>
      </c>
      <c r="E37" s="80">
        <v>848.04052278907432</v>
      </c>
      <c r="F37" s="22" t="s">
        <v>240</v>
      </c>
      <c r="G37" s="123">
        <v>52.87787176220894</v>
      </c>
      <c r="H37" s="124">
        <v>23.218318262070639</v>
      </c>
    </row>
    <row r="38" spans="1:8" x14ac:dyDescent="0.2">
      <c r="A38" s="125"/>
      <c r="B38" s="118" t="s">
        <v>241</v>
      </c>
      <c r="C38" s="82">
        <v>310.29900412759156</v>
      </c>
      <c r="D38" s="82">
        <v>355.60050230432785</v>
      </c>
      <c r="E38" s="82">
        <v>449.60576858265864</v>
      </c>
      <c r="F38" s="27"/>
      <c r="G38" s="126">
        <v>44.894364017290115</v>
      </c>
      <c r="H38" s="120">
        <v>26.435639339417975</v>
      </c>
    </row>
    <row r="39" spans="1:8" x14ac:dyDescent="0.2">
      <c r="A39" s="121" t="s">
        <v>195</v>
      </c>
      <c r="B39" s="122" t="s">
        <v>3</v>
      </c>
      <c r="C39" s="80">
        <v>74.505171291976808</v>
      </c>
      <c r="D39" s="80">
        <v>109.81435476733347</v>
      </c>
      <c r="E39" s="80">
        <v>118.6833416620255</v>
      </c>
      <c r="F39" s="22" t="s">
        <v>240</v>
      </c>
      <c r="G39" s="127">
        <v>59.295441650512743</v>
      </c>
      <c r="H39" s="124">
        <v>8.0763456776511475</v>
      </c>
    </row>
    <row r="40" spans="1:8" x14ac:dyDescent="0.2">
      <c r="A40" s="125"/>
      <c r="B40" s="118" t="s">
        <v>241</v>
      </c>
      <c r="C40" s="82">
        <v>38.178666400948934</v>
      </c>
      <c r="D40" s="82">
        <v>51.38952586304098</v>
      </c>
      <c r="E40" s="82">
        <v>57.194126712832336</v>
      </c>
      <c r="F40" s="27"/>
      <c r="G40" s="119">
        <v>49.806507414860278</v>
      </c>
      <c r="H40" s="120">
        <v>11.295299484298198</v>
      </c>
    </row>
    <row r="41" spans="1:8" x14ac:dyDescent="0.2">
      <c r="A41" s="121" t="s">
        <v>228</v>
      </c>
      <c r="B41" s="122" t="s">
        <v>3</v>
      </c>
      <c r="C41" s="80">
        <v>101.38107377481735</v>
      </c>
      <c r="D41" s="80">
        <v>139.54863849828592</v>
      </c>
      <c r="E41" s="80">
        <v>200.73245534385629</v>
      </c>
      <c r="F41" s="22" t="s">
        <v>240</v>
      </c>
      <c r="G41" s="116">
        <v>97.997957478447432</v>
      </c>
      <c r="H41" s="117">
        <v>43.844080102810807</v>
      </c>
    </row>
    <row r="42" spans="1:8" x14ac:dyDescent="0.2">
      <c r="A42" s="125"/>
      <c r="B42" s="118" t="s">
        <v>241</v>
      </c>
      <c r="C42" s="82">
        <v>53.401454550198196</v>
      </c>
      <c r="D42" s="82">
        <v>67.132521616641682</v>
      </c>
      <c r="E42" s="82">
        <v>99.440138547712564</v>
      </c>
      <c r="F42" s="27"/>
      <c r="G42" s="128">
        <v>86.212415720319541</v>
      </c>
      <c r="H42" s="117">
        <v>48.12513540838313</v>
      </c>
    </row>
    <row r="43" spans="1:8" x14ac:dyDescent="0.2">
      <c r="A43" s="121" t="s">
        <v>196</v>
      </c>
      <c r="B43" s="122" t="s">
        <v>3</v>
      </c>
      <c r="C43" s="80">
        <v>38.818838122840575</v>
      </c>
      <c r="D43" s="80">
        <v>54.389097560952479</v>
      </c>
      <c r="E43" s="80">
        <v>73.124199284019781</v>
      </c>
      <c r="F43" s="22" t="s">
        <v>240</v>
      </c>
      <c r="G43" s="127">
        <v>88.372972556832707</v>
      </c>
      <c r="H43" s="124">
        <v>34.446428720519492</v>
      </c>
    </row>
    <row r="44" spans="1:8" x14ac:dyDescent="0.2">
      <c r="A44" s="125"/>
      <c r="B44" s="118" t="s">
        <v>241</v>
      </c>
      <c r="C44" s="82">
        <v>20.690349659249243</v>
      </c>
      <c r="D44" s="82">
        <v>28.0773152736007</v>
      </c>
      <c r="E44" s="82">
        <v>38.148978714880229</v>
      </c>
      <c r="F44" s="27"/>
      <c r="G44" s="119">
        <v>84.380541378750564</v>
      </c>
      <c r="H44" s="120">
        <v>35.871176938164297</v>
      </c>
    </row>
    <row r="45" spans="1:8" x14ac:dyDescent="0.2">
      <c r="A45" s="121" t="s">
        <v>197</v>
      </c>
      <c r="B45" s="122" t="s">
        <v>3</v>
      </c>
      <c r="C45" s="80">
        <v>16.811149084568115</v>
      </c>
      <c r="D45" s="80">
        <v>22.229165078190494</v>
      </c>
      <c r="E45" s="80">
        <v>27.962585753235984</v>
      </c>
      <c r="F45" s="22" t="s">
        <v>240</v>
      </c>
      <c r="G45" s="127">
        <v>66.33357786889411</v>
      </c>
      <c r="H45" s="124">
        <v>25.792334776759887</v>
      </c>
    </row>
    <row r="46" spans="1:8" x14ac:dyDescent="0.2">
      <c r="A46" s="121"/>
      <c r="B46" s="118" t="s">
        <v>241</v>
      </c>
      <c r="C46" s="82">
        <v>6.7346386658498494</v>
      </c>
      <c r="D46" s="82">
        <v>8.7474045347201397</v>
      </c>
      <c r="E46" s="82">
        <v>11.068912568976048</v>
      </c>
      <c r="F46" s="27"/>
      <c r="G46" s="119">
        <v>64.357927992551822</v>
      </c>
      <c r="H46" s="120">
        <v>26.539392628309272</v>
      </c>
    </row>
    <row r="47" spans="1:8" x14ac:dyDescent="0.2">
      <c r="A47" s="129" t="s">
        <v>198</v>
      </c>
      <c r="B47" s="122" t="s">
        <v>3</v>
      </c>
      <c r="C47" s="80">
        <v>7.9401496045681137</v>
      </c>
      <c r="D47" s="80">
        <v>10.160402538190496</v>
      </c>
      <c r="E47" s="80">
        <v>13.481076441826142</v>
      </c>
      <c r="F47" s="22" t="s">
        <v>240</v>
      </c>
      <c r="G47" s="116">
        <v>69.783657905768308</v>
      </c>
      <c r="H47" s="117">
        <v>32.682503386593567</v>
      </c>
    </row>
    <row r="48" spans="1:8" x14ac:dyDescent="0.2">
      <c r="A48" s="125"/>
      <c r="B48" s="118" t="s">
        <v>241</v>
      </c>
      <c r="C48" s="82">
        <v>4.376697555849848</v>
      </c>
      <c r="D48" s="82">
        <v>5.550877694720139</v>
      </c>
      <c r="E48" s="82">
        <v>7.3868712389760471</v>
      </c>
      <c r="F48" s="27"/>
      <c r="G48" s="128">
        <v>68.77728343606546</v>
      </c>
      <c r="H48" s="117">
        <v>33.075734059178814</v>
      </c>
    </row>
    <row r="49" spans="1:9" x14ac:dyDescent="0.2">
      <c r="A49" s="129" t="s">
        <v>199</v>
      </c>
      <c r="B49" s="122" t="s">
        <v>3</v>
      </c>
      <c r="C49" s="80">
        <v>6.4212137045681139</v>
      </c>
      <c r="D49" s="80">
        <v>9.1592425381904956</v>
      </c>
      <c r="E49" s="80">
        <v>12.605610990098466</v>
      </c>
      <c r="F49" s="22" t="s">
        <v>240</v>
      </c>
      <c r="G49" s="127">
        <v>96.311967956006697</v>
      </c>
      <c r="H49" s="124">
        <v>37.627221219854675</v>
      </c>
    </row>
    <row r="50" spans="1:9" x14ac:dyDescent="0.2">
      <c r="A50" s="125"/>
      <c r="B50" s="118" t="s">
        <v>241</v>
      </c>
      <c r="C50" s="82">
        <v>3.3980735558498489</v>
      </c>
      <c r="D50" s="82">
        <v>4.6410406947201395</v>
      </c>
      <c r="E50" s="82">
        <v>6.4791162389760473</v>
      </c>
      <c r="F50" s="27"/>
      <c r="G50" s="119">
        <v>90.670276334134201</v>
      </c>
      <c r="H50" s="120">
        <v>39.60481420356831</v>
      </c>
    </row>
    <row r="51" spans="1:9" x14ac:dyDescent="0.2">
      <c r="A51" s="129" t="s">
        <v>200</v>
      </c>
      <c r="B51" s="122" t="s">
        <v>3</v>
      </c>
      <c r="C51" s="80">
        <v>118.30875302284059</v>
      </c>
      <c r="D51" s="80">
        <v>158.73555769095248</v>
      </c>
      <c r="E51" s="80">
        <v>169.27616662712441</v>
      </c>
      <c r="F51" s="22" t="s">
        <v>240</v>
      </c>
      <c r="G51" s="127">
        <v>43.080002368416558</v>
      </c>
      <c r="H51" s="124">
        <v>6.6403577682914658</v>
      </c>
    </row>
    <row r="52" spans="1:9" x14ac:dyDescent="0.2">
      <c r="A52" s="125"/>
      <c r="B52" s="118" t="s">
        <v>241</v>
      </c>
      <c r="C52" s="82">
        <v>43.652623779249254</v>
      </c>
      <c r="D52" s="82">
        <v>71.205104473600713</v>
      </c>
      <c r="E52" s="82">
        <v>70.838934194880238</v>
      </c>
      <c r="F52" s="27"/>
      <c r="G52" s="119">
        <v>62.278754544312847</v>
      </c>
      <c r="H52" s="120">
        <v>-0.51424723189083466</v>
      </c>
    </row>
    <row r="53" spans="1:9" x14ac:dyDescent="0.2">
      <c r="A53" s="121" t="s">
        <v>24</v>
      </c>
      <c r="B53" s="122" t="s">
        <v>3</v>
      </c>
      <c r="C53" s="80">
        <v>216.13173627005128</v>
      </c>
      <c r="D53" s="80">
        <v>251.66498256828595</v>
      </c>
      <c r="E53" s="80">
        <v>398.96844428221772</v>
      </c>
      <c r="F53" s="22" t="s">
        <v>240</v>
      </c>
      <c r="G53" s="116">
        <v>84.595030404843698</v>
      </c>
      <c r="H53" s="117">
        <v>58.531568520448786</v>
      </c>
      <c r="I53" s="130"/>
    </row>
    <row r="54" spans="1:9" ht="13.5" thickBot="1" x14ac:dyDescent="0.25">
      <c r="A54" s="131"/>
      <c r="B54" s="132" t="s">
        <v>241</v>
      </c>
      <c r="C54" s="86">
        <v>108.21856368578395</v>
      </c>
      <c r="D54" s="86">
        <v>111.55795844664166</v>
      </c>
      <c r="E54" s="86">
        <v>183.88459248771258</v>
      </c>
      <c r="F54" s="44"/>
      <c r="G54" s="133">
        <v>69.91963876144888</v>
      </c>
      <c r="H54" s="134">
        <v>64.833235609689694</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21</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201</v>
      </c>
      <c r="B7" s="115" t="s">
        <v>3</v>
      </c>
      <c r="C7" s="20">
        <v>1628</v>
      </c>
      <c r="D7" s="20">
        <v>1472</v>
      </c>
      <c r="E7" s="79">
        <v>1816.1619832687356</v>
      </c>
      <c r="F7" s="22" t="s">
        <v>240</v>
      </c>
      <c r="G7" s="116">
        <v>11.557861380143478</v>
      </c>
      <c r="H7" s="117">
        <v>23.380569515539108</v>
      </c>
    </row>
    <row r="8" spans="1:8" ht="12.75" customHeight="1" x14ac:dyDescent="0.2">
      <c r="A8" s="217"/>
      <c r="B8" s="118" t="s">
        <v>241</v>
      </c>
      <c r="C8" s="26">
        <v>705.20795454545453</v>
      </c>
      <c r="D8" s="26">
        <v>806</v>
      </c>
      <c r="E8" s="26">
        <v>914</v>
      </c>
      <c r="F8" s="27"/>
      <c r="G8" s="119">
        <v>29.607159719167299</v>
      </c>
      <c r="H8" s="120">
        <v>13.399503722084361</v>
      </c>
    </row>
    <row r="9" spans="1:8" x14ac:dyDescent="0.2">
      <c r="A9" s="121" t="s">
        <v>202</v>
      </c>
      <c r="B9" s="122" t="s">
        <v>3</v>
      </c>
      <c r="C9" s="20">
        <v>545</v>
      </c>
      <c r="D9" s="20">
        <v>477</v>
      </c>
      <c r="E9" s="20">
        <v>557.29796735068317</v>
      </c>
      <c r="F9" s="22" t="s">
        <v>240</v>
      </c>
      <c r="G9" s="123">
        <v>2.2565077707675556</v>
      </c>
      <c r="H9" s="124">
        <v>16.833955419430424</v>
      </c>
    </row>
    <row r="10" spans="1:8" x14ac:dyDescent="0.2">
      <c r="A10" s="125"/>
      <c r="B10" s="118" t="s">
        <v>241</v>
      </c>
      <c r="C10" s="26">
        <v>240.87434999999999</v>
      </c>
      <c r="D10" s="26">
        <v>233</v>
      </c>
      <c r="E10" s="26">
        <v>263</v>
      </c>
      <c r="F10" s="27"/>
      <c r="G10" s="126">
        <v>9.1855567020731002</v>
      </c>
      <c r="H10" s="120">
        <v>12.875536480686691</v>
      </c>
    </row>
    <row r="11" spans="1:8" x14ac:dyDescent="0.2">
      <c r="A11" s="121" t="s">
        <v>203</v>
      </c>
      <c r="B11" s="122" t="s">
        <v>3</v>
      </c>
      <c r="C11" s="20">
        <v>145</v>
      </c>
      <c r="D11" s="20">
        <v>121</v>
      </c>
      <c r="E11" s="20">
        <v>166.58070303246029</v>
      </c>
      <c r="F11" s="22" t="s">
        <v>240</v>
      </c>
      <c r="G11" s="127">
        <v>14.883243470662279</v>
      </c>
      <c r="H11" s="124">
        <v>37.670002506165531</v>
      </c>
    </row>
    <row r="12" spans="1:8" x14ac:dyDescent="0.2">
      <c r="A12" s="125"/>
      <c r="B12" s="118" t="s">
        <v>241</v>
      </c>
      <c r="C12" s="26">
        <v>75.291449999999998</v>
      </c>
      <c r="D12" s="26">
        <v>55</v>
      </c>
      <c r="E12" s="26">
        <v>79</v>
      </c>
      <c r="F12" s="27"/>
      <c r="G12" s="119">
        <v>4.9255924809523464</v>
      </c>
      <c r="H12" s="120">
        <v>43.636363636363626</v>
      </c>
    </row>
    <row r="13" spans="1:8" x14ac:dyDescent="0.2">
      <c r="A13" s="121" t="s">
        <v>204</v>
      </c>
      <c r="B13" s="122" t="s">
        <v>3</v>
      </c>
      <c r="C13" s="20">
        <v>61</v>
      </c>
      <c r="D13" s="20">
        <v>66</v>
      </c>
      <c r="E13" s="20">
        <v>106.64941539221975</v>
      </c>
      <c r="F13" s="22" t="s">
        <v>240</v>
      </c>
      <c r="G13" s="116">
        <v>74.835107200360227</v>
      </c>
      <c r="H13" s="117">
        <v>61.59002332154509</v>
      </c>
    </row>
    <row r="14" spans="1:8" x14ac:dyDescent="0.2">
      <c r="A14" s="125"/>
      <c r="B14" s="118" t="s">
        <v>241</v>
      </c>
      <c r="C14" s="26">
        <v>21.242874999999998</v>
      </c>
      <c r="D14" s="26">
        <v>30</v>
      </c>
      <c r="E14" s="26">
        <v>44</v>
      </c>
      <c r="F14" s="27"/>
      <c r="G14" s="128">
        <v>107.12827242075286</v>
      </c>
      <c r="H14" s="117">
        <v>46.666666666666657</v>
      </c>
    </row>
    <row r="15" spans="1:8" x14ac:dyDescent="0.2">
      <c r="A15" s="121" t="s">
        <v>205</v>
      </c>
      <c r="B15" s="122" t="s">
        <v>3</v>
      </c>
      <c r="C15" s="20">
        <v>10</v>
      </c>
      <c r="D15" s="20">
        <v>7</v>
      </c>
      <c r="E15" s="20">
        <v>12.166973192888591</v>
      </c>
      <c r="F15" s="22" t="s">
        <v>240</v>
      </c>
      <c r="G15" s="127">
        <v>21.669731928885909</v>
      </c>
      <c r="H15" s="124">
        <v>73.813902755551311</v>
      </c>
    </row>
    <row r="16" spans="1:8" x14ac:dyDescent="0.2">
      <c r="A16" s="125"/>
      <c r="B16" s="118" t="s">
        <v>241</v>
      </c>
      <c r="C16" s="26">
        <v>2.2428749999999997</v>
      </c>
      <c r="D16" s="26">
        <v>3</v>
      </c>
      <c r="E16" s="26">
        <v>4</v>
      </c>
      <c r="F16" s="27"/>
      <c r="G16" s="119">
        <v>78.342529119991099</v>
      </c>
      <c r="H16" s="120">
        <v>33.333333333333314</v>
      </c>
    </row>
    <row r="17" spans="1:9" x14ac:dyDescent="0.2">
      <c r="A17" s="121" t="s">
        <v>206</v>
      </c>
      <c r="B17" s="122" t="s">
        <v>3</v>
      </c>
      <c r="C17" s="20">
        <v>69</v>
      </c>
      <c r="D17" s="20">
        <v>68</v>
      </c>
      <c r="E17" s="20">
        <v>100.75107010053988</v>
      </c>
      <c r="F17" s="22" t="s">
        <v>240</v>
      </c>
      <c r="G17" s="127">
        <v>46.01604362397083</v>
      </c>
      <c r="H17" s="124">
        <v>48.163338383146879</v>
      </c>
    </row>
    <row r="18" spans="1:9" x14ac:dyDescent="0.2">
      <c r="A18" s="125"/>
      <c r="B18" s="118" t="s">
        <v>241</v>
      </c>
      <c r="C18" s="26">
        <v>29.121437499999999</v>
      </c>
      <c r="D18" s="26">
        <v>37</v>
      </c>
      <c r="E18" s="26">
        <v>50</v>
      </c>
      <c r="F18" s="27"/>
      <c r="G18" s="119">
        <v>71.69482104034185</v>
      </c>
      <c r="H18" s="120">
        <v>35.13513513513513</v>
      </c>
    </row>
    <row r="19" spans="1:9" x14ac:dyDescent="0.2">
      <c r="A19" s="121" t="s">
        <v>207</v>
      </c>
      <c r="B19" s="122" t="s">
        <v>3</v>
      </c>
      <c r="C19" s="20">
        <v>809</v>
      </c>
      <c r="D19" s="20">
        <v>775</v>
      </c>
      <c r="E19" s="20">
        <v>931.34893382889709</v>
      </c>
      <c r="F19" s="22" t="s">
        <v>240</v>
      </c>
      <c r="G19" s="116">
        <v>15.123477605549709</v>
      </c>
      <c r="H19" s="117">
        <v>20.174055977922208</v>
      </c>
    </row>
    <row r="20" spans="1:9" ht="13.5" thickBot="1" x14ac:dyDescent="0.25">
      <c r="A20" s="131"/>
      <c r="B20" s="132" t="s">
        <v>241</v>
      </c>
      <c r="C20" s="43">
        <v>337.60718750000001</v>
      </c>
      <c r="D20" s="43">
        <v>451</v>
      </c>
      <c r="E20" s="43">
        <v>479</v>
      </c>
      <c r="F20" s="44"/>
      <c r="G20" s="133">
        <v>41.880865613976312</v>
      </c>
      <c r="H20" s="134">
        <v>6.2084257206208378</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201</v>
      </c>
      <c r="B35" s="115" t="s">
        <v>3</v>
      </c>
      <c r="C35" s="80">
        <v>454.12308686202272</v>
      </c>
      <c r="D35" s="80">
        <v>590.18061211961322</v>
      </c>
      <c r="E35" s="81">
        <v>570.75535445482478</v>
      </c>
      <c r="F35" s="22" t="s">
        <v>240</v>
      </c>
      <c r="G35" s="116">
        <v>25.682963708964365</v>
      </c>
      <c r="H35" s="117">
        <v>-3.2914089798753707</v>
      </c>
    </row>
    <row r="36" spans="1:8" ht="12.75" customHeight="1" x14ac:dyDescent="0.2">
      <c r="A36" s="217"/>
      <c r="B36" s="118" t="s">
        <v>241</v>
      </c>
      <c r="C36" s="82">
        <v>212.69408358968528</v>
      </c>
      <c r="D36" s="82">
        <v>342.32815642409759</v>
      </c>
      <c r="E36" s="82">
        <v>306.68514386652657</v>
      </c>
      <c r="F36" s="27"/>
      <c r="G36" s="119">
        <v>44.190726272462911</v>
      </c>
      <c r="H36" s="120">
        <v>-10.411943011025429</v>
      </c>
    </row>
    <row r="37" spans="1:8" x14ac:dyDescent="0.2">
      <c r="A37" s="121" t="s">
        <v>202</v>
      </c>
      <c r="B37" s="122" t="s">
        <v>3</v>
      </c>
      <c r="C37" s="80">
        <v>231.35037240273277</v>
      </c>
      <c r="D37" s="80">
        <v>292.01322818698338</v>
      </c>
      <c r="E37" s="80">
        <v>274.75602210878668</v>
      </c>
      <c r="F37" s="22" t="s">
        <v>240</v>
      </c>
      <c r="G37" s="123">
        <v>18.76186722988875</v>
      </c>
      <c r="H37" s="124">
        <v>-5.909734358727917</v>
      </c>
    </row>
    <row r="38" spans="1:8" x14ac:dyDescent="0.2">
      <c r="A38" s="125"/>
      <c r="B38" s="118" t="s">
        <v>241</v>
      </c>
      <c r="C38" s="82">
        <v>105.85745319022379</v>
      </c>
      <c r="D38" s="82">
        <v>172.31999791749467</v>
      </c>
      <c r="E38" s="82">
        <v>147.8590782140549</v>
      </c>
      <c r="F38" s="27"/>
      <c r="G38" s="126">
        <v>39.677532151047501</v>
      </c>
      <c r="H38" s="120">
        <v>-14.195055709756602</v>
      </c>
    </row>
    <row r="39" spans="1:8" x14ac:dyDescent="0.2">
      <c r="A39" s="121" t="s">
        <v>203</v>
      </c>
      <c r="B39" s="122" t="s">
        <v>3</v>
      </c>
      <c r="C39" s="80">
        <v>51.983363836543866</v>
      </c>
      <c r="D39" s="80">
        <v>76.889624110334239</v>
      </c>
      <c r="E39" s="80">
        <v>91.64418162781115</v>
      </c>
      <c r="F39" s="22" t="s">
        <v>240</v>
      </c>
      <c r="G39" s="127">
        <v>76.295212283638449</v>
      </c>
      <c r="H39" s="124">
        <v>19.189269928416593</v>
      </c>
    </row>
    <row r="40" spans="1:8" x14ac:dyDescent="0.2">
      <c r="A40" s="125"/>
      <c r="B40" s="118" t="s">
        <v>241</v>
      </c>
      <c r="C40" s="82">
        <v>26.9582038702465</v>
      </c>
      <c r="D40" s="82">
        <v>44.242036332096589</v>
      </c>
      <c r="E40" s="82">
        <v>50.874265011409513</v>
      </c>
      <c r="F40" s="27"/>
      <c r="G40" s="119">
        <v>88.715335992984791</v>
      </c>
      <c r="H40" s="120">
        <v>14.990785300950066</v>
      </c>
    </row>
    <row r="41" spans="1:8" x14ac:dyDescent="0.2">
      <c r="A41" s="121" t="s">
        <v>204</v>
      </c>
      <c r="B41" s="122" t="s">
        <v>3</v>
      </c>
      <c r="C41" s="80">
        <v>24.609239050341596</v>
      </c>
      <c r="D41" s="80">
        <v>39.094210398372923</v>
      </c>
      <c r="E41" s="80">
        <v>37.36558240398233</v>
      </c>
      <c r="F41" s="22" t="s">
        <v>240</v>
      </c>
      <c r="G41" s="116">
        <v>51.835586332213978</v>
      </c>
      <c r="H41" s="117">
        <v>-4.4216981920743308</v>
      </c>
    </row>
    <row r="42" spans="1:8" x14ac:dyDescent="0.2">
      <c r="A42" s="125"/>
      <c r="B42" s="118" t="s">
        <v>241</v>
      </c>
      <c r="C42" s="82">
        <v>11.859145711277973</v>
      </c>
      <c r="D42" s="82">
        <v>23.525103489686831</v>
      </c>
      <c r="E42" s="82">
        <v>20.76348665175686</v>
      </c>
      <c r="F42" s="27"/>
      <c r="G42" s="128">
        <v>75.084168432224544</v>
      </c>
      <c r="H42" s="117">
        <v>-11.739020995765799</v>
      </c>
    </row>
    <row r="43" spans="1:8" x14ac:dyDescent="0.2">
      <c r="A43" s="121" t="s">
        <v>205</v>
      </c>
      <c r="B43" s="122" t="s">
        <v>3</v>
      </c>
      <c r="C43" s="80">
        <v>3.7942195786202273</v>
      </c>
      <c r="D43" s="80">
        <v>4.1513737711961305</v>
      </c>
      <c r="E43" s="80">
        <v>4.7251347848936609</v>
      </c>
      <c r="F43" s="22" t="s">
        <v>240</v>
      </c>
      <c r="G43" s="127">
        <v>24.535090470751356</v>
      </c>
      <c r="H43" s="124">
        <v>13.820991443326804</v>
      </c>
    </row>
    <row r="44" spans="1:8" x14ac:dyDescent="0.2">
      <c r="A44" s="125"/>
      <c r="B44" s="118" t="s">
        <v>241</v>
      </c>
      <c r="C44" s="82">
        <v>2.0888958158968531</v>
      </c>
      <c r="D44" s="82">
        <v>2.9173187842409756</v>
      </c>
      <c r="E44" s="82">
        <v>3.0403692359652656</v>
      </c>
      <c r="F44" s="27"/>
      <c r="G44" s="119">
        <v>45.549108425012776</v>
      </c>
      <c r="H44" s="120">
        <v>4.217929572489453</v>
      </c>
    </row>
    <row r="45" spans="1:8" x14ac:dyDescent="0.2">
      <c r="A45" s="121" t="s">
        <v>206</v>
      </c>
      <c r="B45" s="122" t="s">
        <v>3</v>
      </c>
      <c r="C45" s="80">
        <v>29.722355893101138</v>
      </c>
      <c r="D45" s="80">
        <v>31.627181855980652</v>
      </c>
      <c r="E45" s="80">
        <v>34.262940441742991</v>
      </c>
      <c r="F45" s="22" t="s">
        <v>240</v>
      </c>
      <c r="G45" s="127">
        <v>15.276664356528229</v>
      </c>
      <c r="H45" s="124">
        <v>8.3338395363984148</v>
      </c>
    </row>
    <row r="46" spans="1:8" x14ac:dyDescent="0.2">
      <c r="A46" s="125"/>
      <c r="B46" s="118" t="s">
        <v>241</v>
      </c>
      <c r="C46" s="82">
        <v>13.212329079484265</v>
      </c>
      <c r="D46" s="82">
        <v>20.604187921204883</v>
      </c>
      <c r="E46" s="82">
        <v>19.322774179826332</v>
      </c>
      <c r="F46" s="27"/>
      <c r="G46" s="119">
        <v>46.248054098426877</v>
      </c>
      <c r="H46" s="120">
        <v>-6.2191907115144147</v>
      </c>
    </row>
    <row r="47" spans="1:8" x14ac:dyDescent="0.2">
      <c r="A47" s="121" t="s">
        <v>207</v>
      </c>
      <c r="B47" s="122" t="s">
        <v>3</v>
      </c>
      <c r="C47" s="80">
        <v>112.66353610068319</v>
      </c>
      <c r="D47" s="80">
        <v>146.40499379674583</v>
      </c>
      <c r="E47" s="80">
        <v>126.55511068819786</v>
      </c>
      <c r="F47" s="22" t="s">
        <v>240</v>
      </c>
      <c r="G47" s="116">
        <v>12.330142536179835</v>
      </c>
      <c r="H47" s="117">
        <v>-13.558200846690767</v>
      </c>
    </row>
    <row r="48" spans="1:8" ht="13.5" thickBot="1" x14ac:dyDescent="0.25">
      <c r="A48" s="131"/>
      <c r="B48" s="132" t="s">
        <v>241</v>
      </c>
      <c r="C48" s="86">
        <v>52.718055922555955</v>
      </c>
      <c r="D48" s="86">
        <v>78.719511979373664</v>
      </c>
      <c r="E48" s="86">
        <v>64.825170573513745</v>
      </c>
      <c r="F48" s="44"/>
      <c r="G48" s="133">
        <v>22.965783618317445</v>
      </c>
      <c r="H48" s="134">
        <v>-17.650441493464228</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22</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208</v>
      </c>
      <c r="B7" s="115" t="s">
        <v>3</v>
      </c>
      <c r="C7" s="20">
        <v>335300.03885714285</v>
      </c>
      <c r="D7" s="20">
        <v>343016</v>
      </c>
      <c r="E7" s="79">
        <v>435930.09532865498</v>
      </c>
      <c r="F7" s="22" t="s">
        <v>240</v>
      </c>
      <c r="G7" s="116">
        <v>30.011942979340461</v>
      </c>
      <c r="H7" s="117">
        <v>27.08739397831441</v>
      </c>
    </row>
    <row r="8" spans="1:8" ht="12.75" customHeight="1" x14ac:dyDescent="0.2">
      <c r="A8" s="217"/>
      <c r="B8" s="118" t="s">
        <v>241</v>
      </c>
      <c r="C8" s="26">
        <v>141896.43428571429</v>
      </c>
      <c r="D8" s="26">
        <v>144310.89942857143</v>
      </c>
      <c r="E8" s="26">
        <v>183760</v>
      </c>
      <c r="F8" s="27"/>
      <c r="G8" s="119">
        <v>29.502901834722451</v>
      </c>
      <c r="H8" s="120">
        <v>27.336189246713417</v>
      </c>
    </row>
    <row r="9" spans="1:8" x14ac:dyDescent="0.2">
      <c r="A9" s="121" t="s">
        <v>227</v>
      </c>
      <c r="B9" s="122" t="s">
        <v>3</v>
      </c>
      <c r="C9" s="20">
        <v>13975.547999999999</v>
      </c>
      <c r="D9" s="20">
        <v>12932</v>
      </c>
      <c r="E9" s="20">
        <v>13347.635707736274</v>
      </c>
      <c r="F9" s="22" t="s">
        <v>240</v>
      </c>
      <c r="G9" s="123">
        <v>-4.4929350338442902</v>
      </c>
      <c r="H9" s="124">
        <v>3.2140094937849852</v>
      </c>
    </row>
    <row r="10" spans="1:8" x14ac:dyDescent="0.2">
      <c r="A10" s="125"/>
      <c r="B10" s="118" t="s">
        <v>241</v>
      </c>
      <c r="C10" s="26">
        <v>6348.3600000000006</v>
      </c>
      <c r="D10" s="26">
        <v>6666.8640000000005</v>
      </c>
      <c r="E10" s="26">
        <v>6585</v>
      </c>
      <c r="F10" s="27"/>
      <c r="G10" s="126">
        <v>3.7275768859989</v>
      </c>
      <c r="H10" s="120">
        <v>-1.2279236534598681</v>
      </c>
    </row>
    <row r="11" spans="1:8" x14ac:dyDescent="0.2">
      <c r="A11" s="121" t="s">
        <v>230</v>
      </c>
      <c r="B11" s="122" t="s">
        <v>3</v>
      </c>
      <c r="C11" s="20">
        <v>180322.87040000001</v>
      </c>
      <c r="D11" s="20">
        <v>166709</v>
      </c>
      <c r="E11" s="20">
        <v>217244.44419440083</v>
      </c>
      <c r="F11" s="22" t="s">
        <v>240</v>
      </c>
      <c r="G11" s="127">
        <v>20.47525846971034</v>
      </c>
      <c r="H11" s="124">
        <v>30.313566870655336</v>
      </c>
    </row>
    <row r="12" spans="1:8" x14ac:dyDescent="0.2">
      <c r="A12" s="125"/>
      <c r="B12" s="118" t="s">
        <v>241</v>
      </c>
      <c r="C12" s="26">
        <v>77905.728000000003</v>
      </c>
      <c r="D12" s="26">
        <v>67901.547200000001</v>
      </c>
      <c r="E12" s="26">
        <v>90206</v>
      </c>
      <c r="F12" s="27"/>
      <c r="G12" s="119">
        <v>15.788661906862615</v>
      </c>
      <c r="H12" s="120">
        <v>32.848224701424755</v>
      </c>
    </row>
    <row r="13" spans="1:8" x14ac:dyDescent="0.2">
      <c r="A13" s="121" t="s">
        <v>209</v>
      </c>
      <c r="B13" s="122" t="s">
        <v>3</v>
      </c>
      <c r="C13" s="20">
        <v>129041.1704</v>
      </c>
      <c r="D13" s="20">
        <v>135318</v>
      </c>
      <c r="E13" s="20">
        <v>159450.12613291253</v>
      </c>
      <c r="F13" s="22" t="s">
        <v>240</v>
      </c>
      <c r="G13" s="116">
        <v>23.565313022697538</v>
      </c>
      <c r="H13" s="117">
        <v>17.833640855549547</v>
      </c>
    </row>
    <row r="14" spans="1:8" x14ac:dyDescent="0.2">
      <c r="A14" s="125"/>
      <c r="B14" s="118" t="s">
        <v>241</v>
      </c>
      <c r="C14" s="26">
        <v>56298.728000000003</v>
      </c>
      <c r="D14" s="26">
        <v>60727.547200000001</v>
      </c>
      <c r="E14" s="26">
        <v>70881</v>
      </c>
      <c r="F14" s="27"/>
      <c r="G14" s="128">
        <v>25.90160118715292</v>
      </c>
      <c r="H14" s="117">
        <v>16.719682035832335</v>
      </c>
    </row>
    <row r="15" spans="1:8" x14ac:dyDescent="0.2">
      <c r="A15" s="121" t="s">
        <v>210</v>
      </c>
      <c r="B15" s="122" t="s">
        <v>3</v>
      </c>
      <c r="C15" s="20">
        <v>14239.4784</v>
      </c>
      <c r="D15" s="20">
        <v>18521</v>
      </c>
      <c r="E15" s="20">
        <v>30803.002850243363</v>
      </c>
      <c r="F15" s="22" t="s">
        <v>240</v>
      </c>
      <c r="G15" s="127">
        <v>116.32114593638039</v>
      </c>
      <c r="H15" s="124">
        <v>66.313929324784624</v>
      </c>
    </row>
    <row r="16" spans="1:8" x14ac:dyDescent="0.2">
      <c r="A16" s="125"/>
      <c r="B16" s="118" t="s">
        <v>241</v>
      </c>
      <c r="C16" s="26">
        <v>5534.2880000000005</v>
      </c>
      <c r="D16" s="26">
        <v>5777.0911999999998</v>
      </c>
      <c r="E16" s="26">
        <v>10285</v>
      </c>
      <c r="F16" s="27"/>
      <c r="G16" s="119">
        <v>85.841430731468961</v>
      </c>
      <c r="H16" s="120">
        <v>78.030770918070345</v>
      </c>
    </row>
    <row r="17" spans="1:9" x14ac:dyDescent="0.2">
      <c r="A17" s="121" t="s">
        <v>211</v>
      </c>
      <c r="B17" s="122" t="s">
        <v>3</v>
      </c>
      <c r="C17" s="20">
        <v>15982.9568</v>
      </c>
      <c r="D17" s="20">
        <v>23038</v>
      </c>
      <c r="E17" s="20">
        <v>31936.074172617944</v>
      </c>
      <c r="F17" s="22" t="s">
        <v>240</v>
      </c>
      <c r="G17" s="116">
        <v>99.81330471104036</v>
      </c>
      <c r="H17" s="117">
        <v>38.623466327884103</v>
      </c>
    </row>
    <row r="18" spans="1:9" ht="13.5" thickBot="1" x14ac:dyDescent="0.25">
      <c r="A18" s="131"/>
      <c r="B18" s="132" t="s">
        <v>241</v>
      </c>
      <c r="C18" s="43">
        <v>4879.576</v>
      </c>
      <c r="D18" s="43">
        <v>11388.1824</v>
      </c>
      <c r="E18" s="43">
        <v>13086</v>
      </c>
      <c r="F18" s="44"/>
      <c r="G18" s="133">
        <v>168.17903850662435</v>
      </c>
      <c r="H18" s="134">
        <v>14.90859155891286</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208</v>
      </c>
      <c r="B35" s="115" t="s">
        <v>3</v>
      </c>
      <c r="C35" s="80">
        <v>1333.7987954130613</v>
      </c>
      <c r="D35" s="80">
        <v>1456.5722955892095</v>
      </c>
      <c r="E35" s="81">
        <v>1712.0468932006775</v>
      </c>
      <c r="F35" s="22" t="s">
        <v>240</v>
      </c>
      <c r="G35" s="116">
        <v>28.358707406875197</v>
      </c>
      <c r="H35" s="117">
        <v>17.539438199195189</v>
      </c>
    </row>
    <row r="36" spans="1:8" ht="12.75" customHeight="1" x14ac:dyDescent="0.2">
      <c r="A36" s="217"/>
      <c r="B36" s="118" t="s">
        <v>241</v>
      </c>
      <c r="C36" s="82">
        <v>678.73545248458845</v>
      </c>
      <c r="D36" s="82">
        <v>689.49705569425032</v>
      </c>
      <c r="E36" s="82">
        <v>829.72777714408846</v>
      </c>
      <c r="F36" s="27"/>
      <c r="G36" s="119">
        <v>22.246123155461433</v>
      </c>
      <c r="H36" s="120">
        <v>20.338117515040111</v>
      </c>
    </row>
    <row r="37" spans="1:8" x14ac:dyDescent="0.2">
      <c r="A37" s="121" t="s">
        <v>227</v>
      </c>
      <c r="B37" s="122" t="s">
        <v>3</v>
      </c>
      <c r="C37" s="80">
        <v>384.05710009564024</v>
      </c>
      <c r="D37" s="80">
        <v>443.4755699491252</v>
      </c>
      <c r="E37" s="80">
        <v>516.78655758429886</v>
      </c>
      <c r="F37" s="22" t="s">
        <v>240</v>
      </c>
      <c r="G37" s="123">
        <v>34.559823905248862</v>
      </c>
      <c r="H37" s="124">
        <v>16.531009282785021</v>
      </c>
    </row>
    <row r="38" spans="1:8" x14ac:dyDescent="0.2">
      <c r="A38" s="125"/>
      <c r="B38" s="118" t="s">
        <v>241</v>
      </c>
      <c r="C38" s="82">
        <v>185.15776456176008</v>
      </c>
      <c r="D38" s="82">
        <v>210.46323038204511</v>
      </c>
      <c r="E38" s="82">
        <v>246.53901640078834</v>
      </c>
      <c r="F38" s="27"/>
      <c r="G38" s="126">
        <v>33.150784675062482</v>
      </c>
      <c r="H38" s="120">
        <v>17.141134797397314</v>
      </c>
    </row>
    <row r="39" spans="1:8" x14ac:dyDescent="0.2">
      <c r="A39" s="121" t="s">
        <v>230</v>
      </c>
      <c r="B39" s="122" t="s">
        <v>3</v>
      </c>
      <c r="C39" s="80">
        <v>273.20901626826992</v>
      </c>
      <c r="D39" s="80">
        <v>269.37084535231759</v>
      </c>
      <c r="E39" s="80">
        <v>308.24874649730606</v>
      </c>
      <c r="F39" s="22" t="s">
        <v>240</v>
      </c>
      <c r="G39" s="127">
        <v>12.825246658269094</v>
      </c>
      <c r="H39" s="124">
        <v>14.432854117578685</v>
      </c>
    </row>
    <row r="40" spans="1:8" x14ac:dyDescent="0.2">
      <c r="A40" s="125"/>
      <c r="B40" s="118" t="s">
        <v>241</v>
      </c>
      <c r="C40" s="82">
        <v>148.12361938364711</v>
      </c>
      <c r="D40" s="82">
        <v>130.56965664856259</v>
      </c>
      <c r="E40" s="82">
        <v>154.88452860852559</v>
      </c>
      <c r="F40" s="27"/>
      <c r="G40" s="119">
        <v>4.5643694456097563</v>
      </c>
      <c r="H40" s="120">
        <v>18.622145898268073</v>
      </c>
    </row>
    <row r="41" spans="1:8" x14ac:dyDescent="0.2">
      <c r="A41" s="121" t="s">
        <v>209</v>
      </c>
      <c r="B41" s="122" t="s">
        <v>3</v>
      </c>
      <c r="C41" s="80">
        <v>448.97767258984476</v>
      </c>
      <c r="D41" s="80">
        <v>501.75703808684722</v>
      </c>
      <c r="E41" s="80">
        <v>614.4652573310068</v>
      </c>
      <c r="F41" s="22" t="s">
        <v>240</v>
      </c>
      <c r="G41" s="116">
        <v>36.858755979239987</v>
      </c>
      <c r="H41" s="117">
        <v>22.462708181215646</v>
      </c>
    </row>
    <row r="42" spans="1:8" x14ac:dyDescent="0.2">
      <c r="A42" s="125"/>
      <c r="B42" s="118" t="s">
        <v>241</v>
      </c>
      <c r="C42" s="82">
        <v>211.56635506572243</v>
      </c>
      <c r="D42" s="82">
        <v>241.71542634421763</v>
      </c>
      <c r="E42" s="82">
        <v>293.82469921336593</v>
      </c>
      <c r="F42" s="27"/>
      <c r="G42" s="128">
        <v>38.880635875250675</v>
      </c>
      <c r="H42" s="117">
        <v>21.558108084893803</v>
      </c>
    </row>
    <row r="43" spans="1:8" x14ac:dyDescent="0.2">
      <c r="A43" s="121" t="s">
        <v>210</v>
      </c>
      <c r="B43" s="122" t="s">
        <v>3</v>
      </c>
      <c r="C43" s="80">
        <v>82.138112313861399</v>
      </c>
      <c r="D43" s="80">
        <v>98.631765388184192</v>
      </c>
      <c r="E43" s="80">
        <v>132.35033070797229</v>
      </c>
      <c r="F43" s="22" t="s">
        <v>240</v>
      </c>
      <c r="G43" s="127">
        <v>61.131449189193518</v>
      </c>
      <c r="H43" s="124">
        <v>34.18631430460789</v>
      </c>
    </row>
    <row r="44" spans="1:8" x14ac:dyDescent="0.2">
      <c r="A44" s="125"/>
      <c r="B44" s="118" t="s">
        <v>241</v>
      </c>
      <c r="C44" s="82">
        <v>35.990495610691767</v>
      </c>
      <c r="D44" s="82">
        <v>42.350273331885006</v>
      </c>
      <c r="E44" s="82">
        <v>57.210958488281889</v>
      </c>
      <c r="F44" s="27"/>
      <c r="G44" s="119">
        <v>58.961296635454261</v>
      </c>
      <c r="H44" s="120">
        <v>35.089939183954328</v>
      </c>
    </row>
    <row r="45" spans="1:8" x14ac:dyDescent="0.2">
      <c r="A45" s="121" t="s">
        <v>211</v>
      </c>
      <c r="B45" s="122" t="s">
        <v>3</v>
      </c>
      <c r="C45" s="80">
        <v>145.41689414544481</v>
      </c>
      <c r="D45" s="80">
        <v>143.33707681273535</v>
      </c>
      <c r="E45" s="80">
        <v>152.91377702324382</v>
      </c>
      <c r="F45" s="22" t="s">
        <v>240</v>
      </c>
      <c r="G45" s="116">
        <v>5.1554414786913867</v>
      </c>
      <c r="H45" s="117">
        <v>6.6812442554692808</v>
      </c>
    </row>
    <row r="46" spans="1:8" ht="13.5" thickBot="1" x14ac:dyDescent="0.25">
      <c r="A46" s="131"/>
      <c r="B46" s="132" t="s">
        <v>241</v>
      </c>
      <c r="C46" s="86">
        <v>97.897217862767079</v>
      </c>
      <c r="D46" s="86">
        <v>64.398468987540028</v>
      </c>
      <c r="E46" s="86">
        <v>77.268574433126673</v>
      </c>
      <c r="F46" s="44"/>
      <c r="G46" s="133">
        <v>-21.071736133051061</v>
      </c>
      <c r="H46" s="134">
        <v>19.985110900814718</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23</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2021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2. kvartal 2021</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2. kvartal 2021"</f>
        <v>Skadestatistikk for landbasert forsikring 2. kvartal 2021</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61</v>
      </c>
      <c r="B7" s="19" t="s">
        <v>3</v>
      </c>
      <c r="C7" s="20">
        <v>351332</v>
      </c>
      <c r="D7" s="20">
        <v>447542</v>
      </c>
      <c r="E7" s="79">
        <v>107208.33869894454</v>
      </c>
      <c r="F7" s="22" t="s">
        <v>240</v>
      </c>
      <c r="G7" s="23">
        <v>-69.485176784652538</v>
      </c>
      <c r="H7" s="24">
        <v>-76.045077624235375</v>
      </c>
    </row>
    <row r="8" spans="1:8" x14ac:dyDescent="0.2">
      <c r="A8" s="206"/>
      <c r="B8" s="25" t="s">
        <v>241</v>
      </c>
      <c r="C8" s="26">
        <v>164509.61538461538</v>
      </c>
      <c r="D8" s="26">
        <v>294870</v>
      </c>
      <c r="E8" s="26">
        <v>62196</v>
      </c>
      <c r="F8" s="27"/>
      <c r="G8" s="28">
        <v>-62.193091355426965</v>
      </c>
      <c r="H8" s="29">
        <v>-78.907315088004879</v>
      </c>
    </row>
    <row r="9" spans="1:8" x14ac:dyDescent="0.2">
      <c r="A9" s="30" t="s">
        <v>62</v>
      </c>
      <c r="B9" s="31" t="s">
        <v>3</v>
      </c>
      <c r="C9" s="20">
        <v>103744</v>
      </c>
      <c r="D9" s="20">
        <v>68338</v>
      </c>
      <c r="E9" s="21">
        <v>50456.642450843668</v>
      </c>
      <c r="F9" s="22" t="s">
        <v>240</v>
      </c>
      <c r="G9" s="32">
        <v>-51.364278945439089</v>
      </c>
      <c r="H9" s="33">
        <v>-26.166053365852576</v>
      </c>
    </row>
    <row r="10" spans="1:8" x14ac:dyDescent="0.2">
      <c r="A10" s="34"/>
      <c r="B10" s="25" t="s">
        <v>241</v>
      </c>
      <c r="C10" s="26">
        <v>44939</v>
      </c>
      <c r="D10" s="26">
        <v>32401</v>
      </c>
      <c r="E10" s="26">
        <v>23192</v>
      </c>
      <c r="F10" s="27"/>
      <c r="G10" s="35">
        <v>-48.392265070428806</v>
      </c>
      <c r="H10" s="29">
        <v>-28.42196228511466</v>
      </c>
    </row>
    <row r="11" spans="1:8" x14ac:dyDescent="0.2">
      <c r="A11" s="30" t="s">
        <v>47</v>
      </c>
      <c r="B11" s="31" t="s">
        <v>3</v>
      </c>
      <c r="C11" s="20">
        <v>12745</v>
      </c>
      <c r="D11" s="20">
        <v>12266</v>
      </c>
      <c r="E11" s="21">
        <v>10885.915486837283</v>
      </c>
      <c r="F11" s="22" t="s">
        <v>240</v>
      </c>
      <c r="G11" s="37">
        <v>-14.586775309240622</v>
      </c>
      <c r="H11" s="33">
        <v>-11.251300449720503</v>
      </c>
    </row>
    <row r="12" spans="1:8" x14ac:dyDescent="0.2">
      <c r="A12" s="34"/>
      <c r="B12" s="25" t="s">
        <v>241</v>
      </c>
      <c r="C12" s="26">
        <v>6343.5</v>
      </c>
      <c r="D12" s="26">
        <v>5605</v>
      </c>
      <c r="E12" s="26">
        <v>5114</v>
      </c>
      <c r="F12" s="27"/>
      <c r="G12" s="28">
        <v>-19.382044612595578</v>
      </c>
      <c r="H12" s="29">
        <v>-8.7600356824264054</v>
      </c>
    </row>
    <row r="13" spans="1:8" x14ac:dyDescent="0.2">
      <c r="A13" s="30" t="s">
        <v>48</v>
      </c>
      <c r="B13" s="31" t="s">
        <v>3</v>
      </c>
      <c r="C13" s="20">
        <v>103618</v>
      </c>
      <c r="D13" s="20">
        <v>97572</v>
      </c>
      <c r="E13" s="21">
        <v>18720.471281596765</v>
      </c>
      <c r="F13" s="22" t="s">
        <v>240</v>
      </c>
      <c r="G13" s="23">
        <v>-81.933186047215003</v>
      </c>
      <c r="H13" s="24">
        <v>-80.813684989959455</v>
      </c>
    </row>
    <row r="14" spans="1:8" x14ac:dyDescent="0.2">
      <c r="A14" s="34"/>
      <c r="B14" s="25" t="s">
        <v>241</v>
      </c>
      <c r="C14" s="26">
        <v>49173.913999999997</v>
      </c>
      <c r="D14" s="26">
        <v>65355</v>
      </c>
      <c r="E14" s="26">
        <v>11027</v>
      </c>
      <c r="F14" s="27"/>
      <c r="G14" s="38">
        <v>-77.575508835843323</v>
      </c>
      <c r="H14" s="24">
        <v>-83.127534236095173</v>
      </c>
    </row>
    <row r="15" spans="1:8" x14ac:dyDescent="0.2">
      <c r="A15" s="30" t="s">
        <v>49</v>
      </c>
      <c r="B15" s="31" t="s">
        <v>3</v>
      </c>
      <c r="C15" s="20">
        <v>86209</v>
      </c>
      <c r="D15" s="20">
        <v>292729</v>
      </c>
      <c r="E15" s="21">
        <v>45883.083907150249</v>
      </c>
      <c r="F15" s="22" t="s">
        <v>240</v>
      </c>
      <c r="G15" s="37">
        <v>-46.776921310825728</v>
      </c>
      <c r="H15" s="33">
        <v>-84.325747053708298</v>
      </c>
    </row>
    <row r="16" spans="1:8" x14ac:dyDescent="0.2">
      <c r="A16" s="34"/>
      <c r="B16" s="25" t="s">
        <v>241</v>
      </c>
      <c r="C16" s="26">
        <v>42765.2</v>
      </c>
      <c r="D16" s="26">
        <v>163719</v>
      </c>
      <c r="E16" s="26">
        <v>24616</v>
      </c>
      <c r="F16" s="27"/>
      <c r="G16" s="28">
        <v>-42.439179519796468</v>
      </c>
      <c r="H16" s="29">
        <v>-84.964481825566978</v>
      </c>
    </row>
    <row r="17" spans="1:9" x14ac:dyDescent="0.2">
      <c r="A17" s="30" t="s">
        <v>50</v>
      </c>
      <c r="B17" s="31" t="s">
        <v>3</v>
      </c>
      <c r="C17" s="20">
        <v>59651</v>
      </c>
      <c r="D17" s="20">
        <v>52061</v>
      </c>
      <c r="E17" s="21">
        <v>13671.136060292523</v>
      </c>
      <c r="F17" s="22" t="s">
        <v>240</v>
      </c>
      <c r="G17" s="37">
        <v>-77.081463746974023</v>
      </c>
      <c r="H17" s="33">
        <v>-73.740158544222112</v>
      </c>
    </row>
    <row r="18" spans="1:9" ht="13.5" thickBot="1" x14ac:dyDescent="0.25">
      <c r="A18" s="56"/>
      <c r="B18" s="42" t="s">
        <v>241</v>
      </c>
      <c r="C18" s="43">
        <v>28270.400000000001</v>
      </c>
      <c r="D18" s="43">
        <v>35713</v>
      </c>
      <c r="E18" s="43">
        <v>8161</v>
      </c>
      <c r="F18" s="44"/>
      <c r="G18" s="57">
        <v>-71.132350444280945</v>
      </c>
      <c r="H18" s="46">
        <v>-77.148377341584293</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61</v>
      </c>
      <c r="B35" s="19" t="s">
        <v>3</v>
      </c>
      <c r="C35" s="80">
        <v>2298.9281077959999</v>
      </c>
      <c r="D35" s="80">
        <v>2302.5662864483884</v>
      </c>
      <c r="E35" s="81">
        <v>331.42562546344601</v>
      </c>
      <c r="F35" s="22" t="s">
        <v>240</v>
      </c>
      <c r="G35" s="23">
        <v>-85.583471517028585</v>
      </c>
      <c r="H35" s="24">
        <v>-85.606250407902209</v>
      </c>
    </row>
    <row r="36" spans="1:9" ht="12.75" customHeight="1" x14ac:dyDescent="0.2">
      <c r="A36" s="206"/>
      <c r="B36" s="25" t="s">
        <v>241</v>
      </c>
      <c r="C36" s="82">
        <v>1164.676845502599</v>
      </c>
      <c r="D36" s="82">
        <v>1893.5409275796744</v>
      </c>
      <c r="E36" s="82">
        <v>225.6695153081121</v>
      </c>
      <c r="F36" s="27"/>
      <c r="G36" s="28">
        <v>-80.623851484681339</v>
      </c>
      <c r="H36" s="29">
        <v>-88.082142190791558</v>
      </c>
    </row>
    <row r="37" spans="1:9" x14ac:dyDescent="0.2">
      <c r="A37" s="30" t="s">
        <v>62</v>
      </c>
      <c r="B37" s="31" t="s">
        <v>3</v>
      </c>
      <c r="C37" s="80">
        <v>340.69064907730865</v>
      </c>
      <c r="D37" s="80">
        <v>163.35888456341635</v>
      </c>
      <c r="E37" s="83">
        <v>75.472242678648783</v>
      </c>
      <c r="F37" s="22" t="s">
        <v>240</v>
      </c>
      <c r="G37" s="32">
        <v>-77.847280844646008</v>
      </c>
      <c r="H37" s="33">
        <v>-53.799731872342541</v>
      </c>
    </row>
    <row r="38" spans="1:9" x14ac:dyDescent="0.2">
      <c r="A38" s="34"/>
      <c r="B38" s="25" t="s">
        <v>241</v>
      </c>
      <c r="C38" s="82">
        <v>153.82364219145742</v>
      </c>
      <c r="D38" s="82">
        <v>117.36803760315472</v>
      </c>
      <c r="E38" s="82">
        <v>45.296786116696495</v>
      </c>
      <c r="F38" s="27"/>
      <c r="G38" s="35">
        <v>-70.552780137452729</v>
      </c>
      <c r="H38" s="29">
        <v>-61.406199641972229</v>
      </c>
    </row>
    <row r="39" spans="1:9" x14ac:dyDescent="0.2">
      <c r="A39" s="30" t="s">
        <v>47</v>
      </c>
      <c r="B39" s="31" t="s">
        <v>3</v>
      </c>
      <c r="C39" s="80">
        <v>228.75983207302215</v>
      </c>
      <c r="D39" s="80">
        <v>175.90463846252987</v>
      </c>
      <c r="E39" s="83">
        <v>89.896878526446017</v>
      </c>
      <c r="F39" s="22" t="s">
        <v>240</v>
      </c>
      <c r="G39" s="37">
        <v>-60.702507205132875</v>
      </c>
      <c r="H39" s="33">
        <v>-48.894537794922734</v>
      </c>
    </row>
    <row r="40" spans="1:9" x14ac:dyDescent="0.2">
      <c r="A40" s="34"/>
      <c r="B40" s="25" t="s">
        <v>241</v>
      </c>
      <c r="C40" s="82">
        <v>139.87774174762441</v>
      </c>
      <c r="D40" s="82">
        <v>140.19645235877309</v>
      </c>
      <c r="E40" s="82">
        <v>65.06676834868432</v>
      </c>
      <c r="F40" s="27"/>
      <c r="G40" s="28">
        <v>-53.483114943275552</v>
      </c>
      <c r="H40" s="29">
        <v>-53.588862446980009</v>
      </c>
    </row>
    <row r="41" spans="1:9" x14ac:dyDescent="0.2">
      <c r="A41" s="30" t="s">
        <v>48</v>
      </c>
      <c r="B41" s="31" t="s">
        <v>3</v>
      </c>
      <c r="C41" s="80">
        <v>1066.8003560881791</v>
      </c>
      <c r="D41" s="80">
        <v>483.38381541670361</v>
      </c>
      <c r="E41" s="83">
        <v>66.245655743702343</v>
      </c>
      <c r="F41" s="22" t="s">
        <v>240</v>
      </c>
      <c r="G41" s="23">
        <v>-93.790248066037705</v>
      </c>
      <c r="H41" s="24">
        <v>-86.2954336428093</v>
      </c>
    </row>
    <row r="42" spans="1:9" x14ac:dyDescent="0.2">
      <c r="A42" s="34"/>
      <c r="B42" s="25" t="s">
        <v>241</v>
      </c>
      <c r="C42" s="82">
        <v>546.54585550558454</v>
      </c>
      <c r="D42" s="82">
        <v>460.68664661336896</v>
      </c>
      <c r="E42" s="82">
        <v>49.065626271450704</v>
      </c>
      <c r="F42" s="27"/>
      <c r="G42" s="38">
        <v>-91.022596589619667</v>
      </c>
      <c r="H42" s="24">
        <v>-89.349457677546056</v>
      </c>
    </row>
    <row r="43" spans="1:9" x14ac:dyDescent="0.2">
      <c r="A43" s="30" t="s">
        <v>49</v>
      </c>
      <c r="B43" s="31" t="s">
        <v>3</v>
      </c>
      <c r="C43" s="80">
        <v>496.37535018128125</v>
      </c>
      <c r="D43" s="80">
        <v>1242.5624347699079</v>
      </c>
      <c r="E43" s="83">
        <v>68.791577781497651</v>
      </c>
      <c r="F43" s="22" t="s">
        <v>240</v>
      </c>
      <c r="G43" s="37">
        <v>-86.141217980229214</v>
      </c>
      <c r="H43" s="33">
        <v>-94.463732698129078</v>
      </c>
    </row>
    <row r="44" spans="1:9" x14ac:dyDescent="0.2">
      <c r="A44" s="34"/>
      <c r="B44" s="25" t="s">
        <v>241</v>
      </c>
      <c r="C44" s="82">
        <v>246.20969038389103</v>
      </c>
      <c r="D44" s="82">
        <v>988.63143698499709</v>
      </c>
      <c r="E44" s="82">
        <v>45.55965418687861</v>
      </c>
      <c r="F44" s="27"/>
      <c r="G44" s="28">
        <v>-81.495588530312574</v>
      </c>
      <c r="H44" s="29">
        <v>-95.391644197981336</v>
      </c>
    </row>
    <row r="45" spans="1:9" x14ac:dyDescent="0.2">
      <c r="A45" s="30" t="s">
        <v>50</v>
      </c>
      <c r="B45" s="31" t="s">
        <v>3</v>
      </c>
      <c r="C45" s="80">
        <v>166.30192037620884</v>
      </c>
      <c r="D45" s="80">
        <v>237.35651323583056</v>
      </c>
      <c r="E45" s="83">
        <v>32.188102471863409</v>
      </c>
      <c r="F45" s="22" t="s">
        <v>240</v>
      </c>
      <c r="G45" s="37">
        <v>-80.644780048812805</v>
      </c>
      <c r="H45" s="33">
        <v>-86.438921758223572</v>
      </c>
    </row>
    <row r="46" spans="1:9" ht="13.5" thickBot="1" x14ac:dyDescent="0.25">
      <c r="A46" s="56"/>
      <c r="B46" s="42" t="s">
        <v>241</v>
      </c>
      <c r="C46" s="86">
        <v>78.219915674041815</v>
      </c>
      <c r="D46" s="86">
        <v>186.65835401938119</v>
      </c>
      <c r="E46" s="86">
        <v>20.680680384401988</v>
      </c>
      <c r="F46" s="44"/>
      <c r="G46" s="57">
        <v>-73.560850575980467</v>
      </c>
      <c r="H46" s="46">
        <v>-88.920570690206205</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24</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51</v>
      </c>
      <c r="B7" s="19" t="s">
        <v>3</v>
      </c>
      <c r="C7" s="20">
        <v>10785.192019950126</v>
      </c>
      <c r="D7" s="20">
        <v>13466</v>
      </c>
      <c r="E7" s="79">
        <v>12967.016895311519</v>
      </c>
      <c r="F7" s="22" t="s">
        <v>240</v>
      </c>
      <c r="G7" s="23">
        <v>20.229819472157004</v>
      </c>
      <c r="H7" s="24">
        <v>-3.7055035250889716</v>
      </c>
    </row>
    <row r="8" spans="1:8" x14ac:dyDescent="0.2">
      <c r="A8" s="206"/>
      <c r="B8" s="25" t="s">
        <v>241</v>
      </c>
      <c r="C8" s="26">
        <v>4431.5187032418944</v>
      </c>
      <c r="D8" s="26">
        <v>5589.2439507481295</v>
      </c>
      <c r="E8" s="26">
        <v>5363.9700748129671</v>
      </c>
      <c r="F8" s="27"/>
      <c r="G8" s="28">
        <v>21.041350246111662</v>
      </c>
      <c r="H8" s="29">
        <v>-4.0304892382628736</v>
      </c>
    </row>
    <row r="9" spans="1:8" x14ac:dyDescent="0.2">
      <c r="A9" s="30" t="s">
        <v>12</v>
      </c>
      <c r="B9" s="31" t="s">
        <v>3</v>
      </c>
      <c r="C9" s="20">
        <v>308.33100000000002</v>
      </c>
      <c r="D9" s="20">
        <v>369.60399999999998</v>
      </c>
      <c r="E9" s="21">
        <v>297.05397020092448</v>
      </c>
      <c r="F9" s="22" t="s">
        <v>240</v>
      </c>
      <c r="G9" s="32">
        <v>-3.6574427479155673</v>
      </c>
      <c r="H9" s="33">
        <v>-19.629124630435683</v>
      </c>
    </row>
    <row r="10" spans="1:8" x14ac:dyDescent="0.2">
      <c r="A10" s="34"/>
      <c r="B10" s="25" t="s">
        <v>241</v>
      </c>
      <c r="C10" s="26">
        <v>99.712500000000006</v>
      </c>
      <c r="D10" s="26">
        <v>136.77168242499999</v>
      </c>
      <c r="E10" s="26">
        <v>104.881</v>
      </c>
      <c r="F10" s="27"/>
      <c r="G10" s="35">
        <v>5.1834022815594665</v>
      </c>
      <c r="H10" s="29">
        <v>-23.316728916080663</v>
      </c>
    </row>
    <row r="11" spans="1:8" x14ac:dyDescent="0.2">
      <c r="A11" s="30" t="s">
        <v>18</v>
      </c>
      <c r="B11" s="31" t="s">
        <v>3</v>
      </c>
      <c r="C11" s="20">
        <v>294.5324</v>
      </c>
      <c r="D11" s="20">
        <v>315.64159999999998</v>
      </c>
      <c r="E11" s="21">
        <v>295.69718349936659</v>
      </c>
      <c r="F11" s="22" t="s">
        <v>240</v>
      </c>
      <c r="G11" s="37">
        <v>0.39546871562062336</v>
      </c>
      <c r="H11" s="33">
        <v>-6.3186907241103256</v>
      </c>
    </row>
    <row r="12" spans="1:8" x14ac:dyDescent="0.2">
      <c r="A12" s="34"/>
      <c r="B12" s="25" t="s">
        <v>241</v>
      </c>
      <c r="C12" s="26">
        <v>138.88499999999999</v>
      </c>
      <c r="D12" s="26">
        <v>139.30867297</v>
      </c>
      <c r="E12" s="26">
        <v>133.35239999999999</v>
      </c>
      <c r="F12" s="27"/>
      <c r="G12" s="28">
        <v>-3.9835835403391258</v>
      </c>
      <c r="H12" s="29">
        <v>-4.2755937896865106</v>
      </c>
    </row>
    <row r="13" spans="1:8" x14ac:dyDescent="0.2">
      <c r="A13" s="30" t="s">
        <v>63</v>
      </c>
      <c r="B13" s="31" t="s">
        <v>3</v>
      </c>
      <c r="C13" s="20">
        <v>1188.99125</v>
      </c>
      <c r="D13" s="20">
        <v>1446.0149999999999</v>
      </c>
      <c r="E13" s="21">
        <v>1178.5372571276016</v>
      </c>
      <c r="F13" s="22" t="s">
        <v>240</v>
      </c>
      <c r="G13" s="23">
        <v>-0.87923211145569269</v>
      </c>
      <c r="H13" s="24">
        <v>-18.497577333042756</v>
      </c>
    </row>
    <row r="14" spans="1:8" x14ac:dyDescent="0.2">
      <c r="A14" s="34"/>
      <c r="B14" s="25" t="s">
        <v>241</v>
      </c>
      <c r="C14" s="26">
        <v>458.67187500000006</v>
      </c>
      <c r="D14" s="26">
        <v>592.89380909374995</v>
      </c>
      <c r="E14" s="26">
        <v>473.30375000000004</v>
      </c>
      <c r="F14" s="27"/>
      <c r="G14" s="38">
        <v>3.1900528019076688</v>
      </c>
      <c r="H14" s="24">
        <v>-20.170569714085175</v>
      </c>
    </row>
    <row r="15" spans="1:8" x14ac:dyDescent="0.2">
      <c r="A15" s="30" t="s">
        <v>52</v>
      </c>
      <c r="B15" s="31" t="s">
        <v>3</v>
      </c>
      <c r="C15" s="20">
        <v>5801.2924999999996</v>
      </c>
      <c r="D15" s="20">
        <v>7391.07</v>
      </c>
      <c r="E15" s="21">
        <v>7748.3518550783383</v>
      </c>
      <c r="F15" s="22" t="s">
        <v>240</v>
      </c>
      <c r="G15" s="37">
        <v>33.562509648984928</v>
      </c>
      <c r="H15" s="33">
        <v>4.8339665985890861</v>
      </c>
    </row>
    <row r="16" spans="1:8" x14ac:dyDescent="0.2">
      <c r="A16" s="34"/>
      <c r="B16" s="25" t="s">
        <v>241</v>
      </c>
      <c r="C16" s="26">
        <v>2299.46875</v>
      </c>
      <c r="D16" s="26">
        <v>3019.5044424375001</v>
      </c>
      <c r="E16" s="26">
        <v>3133.4175</v>
      </c>
      <c r="F16" s="27"/>
      <c r="G16" s="28">
        <v>36.267018197137929</v>
      </c>
      <c r="H16" s="29">
        <v>3.7725745973913263</v>
      </c>
    </row>
    <row r="17" spans="1:9" x14ac:dyDescent="0.2">
      <c r="A17" s="30" t="s">
        <v>50</v>
      </c>
      <c r="B17" s="31" t="s">
        <v>3</v>
      </c>
      <c r="C17" s="20">
        <v>3958.6549999999997</v>
      </c>
      <c r="D17" s="20">
        <v>5109.0200000000004</v>
      </c>
      <c r="E17" s="21">
        <v>5069.5541783749268</v>
      </c>
      <c r="F17" s="22" t="s">
        <v>240</v>
      </c>
      <c r="G17" s="37">
        <v>28.062540897727303</v>
      </c>
      <c r="H17" s="33">
        <v>-0.77247342200801938</v>
      </c>
    </row>
    <row r="18" spans="1:9" ht="13.5" thickBot="1" x14ac:dyDescent="0.25">
      <c r="A18" s="56"/>
      <c r="B18" s="42" t="s">
        <v>241</v>
      </c>
      <c r="C18" s="43">
        <v>1581.5625</v>
      </c>
      <c r="D18" s="43">
        <v>1877.8584121250001</v>
      </c>
      <c r="E18" s="43">
        <v>1914.405</v>
      </c>
      <c r="F18" s="44"/>
      <c r="G18" s="57">
        <v>21.045168938944883</v>
      </c>
      <c r="H18" s="46">
        <v>1.9461844215210817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51</v>
      </c>
      <c r="B35" s="19" t="s">
        <v>3</v>
      </c>
      <c r="C35" s="80">
        <v>506.53855755591945</v>
      </c>
      <c r="D35" s="80">
        <v>607.81922434697947</v>
      </c>
      <c r="E35" s="81">
        <v>577.645822544476</v>
      </c>
      <c r="F35" s="22" t="s">
        <v>240</v>
      </c>
      <c r="G35" s="23">
        <v>14.037878050518728</v>
      </c>
      <c r="H35" s="24">
        <v>-4.964206559099992</v>
      </c>
    </row>
    <row r="36" spans="1:9" ht="12.75" customHeight="1" x14ac:dyDescent="0.2">
      <c r="A36" s="206"/>
      <c r="B36" s="25" t="s">
        <v>241</v>
      </c>
      <c r="C36" s="82">
        <v>210.51216448811604</v>
      </c>
      <c r="D36" s="82">
        <v>262.93120032699858</v>
      </c>
      <c r="E36" s="82">
        <v>246.51905838508478</v>
      </c>
      <c r="F36" s="27"/>
      <c r="G36" s="28">
        <v>17.104424337911084</v>
      </c>
      <c r="H36" s="29">
        <v>-6.241991030924666</v>
      </c>
    </row>
    <row r="37" spans="1:9" x14ac:dyDescent="0.2">
      <c r="A37" s="30" t="s">
        <v>12</v>
      </c>
      <c r="B37" s="31" t="s">
        <v>3</v>
      </c>
      <c r="C37" s="80">
        <v>7.1079572424110644</v>
      </c>
      <c r="D37" s="80">
        <v>5.967428879706671</v>
      </c>
      <c r="E37" s="83">
        <v>5.1669928180189819</v>
      </c>
      <c r="F37" s="22" t="s">
        <v>240</v>
      </c>
      <c r="G37" s="32">
        <v>-27.306923187592147</v>
      </c>
      <c r="H37" s="33">
        <v>-13.413416025949104</v>
      </c>
    </row>
    <row r="38" spans="1:9" x14ac:dyDescent="0.2">
      <c r="A38" s="34"/>
      <c r="B38" s="25" t="s">
        <v>241</v>
      </c>
      <c r="C38" s="82">
        <v>2.8476447217000138</v>
      </c>
      <c r="D38" s="82">
        <v>2.0926259822389812</v>
      </c>
      <c r="E38" s="82">
        <v>1.8905072658898956</v>
      </c>
      <c r="F38" s="27"/>
      <c r="G38" s="35">
        <v>-33.611547413777004</v>
      </c>
      <c r="H38" s="29">
        <v>-9.6586164018106615</v>
      </c>
    </row>
    <row r="39" spans="1:9" x14ac:dyDescent="0.2">
      <c r="A39" s="30" t="s">
        <v>18</v>
      </c>
      <c r="B39" s="31" t="s">
        <v>3</v>
      </c>
      <c r="C39" s="80">
        <v>27.304542334659359</v>
      </c>
      <c r="D39" s="80">
        <v>26.560843062390408</v>
      </c>
      <c r="E39" s="83">
        <v>29.046196569698427</v>
      </c>
      <c r="F39" s="22" t="s">
        <v>240</v>
      </c>
      <c r="G39" s="37">
        <v>6.3786245295467836</v>
      </c>
      <c r="H39" s="33">
        <v>9.3572086603953721</v>
      </c>
    </row>
    <row r="40" spans="1:9" x14ac:dyDescent="0.2">
      <c r="A40" s="34"/>
      <c r="B40" s="25" t="s">
        <v>241</v>
      </c>
      <c r="C40" s="82">
        <v>14.147076574617042</v>
      </c>
      <c r="D40" s="82">
        <v>12.742622922121795</v>
      </c>
      <c r="E40" s="82">
        <v>14.287668002132875</v>
      </c>
      <c r="F40" s="27"/>
      <c r="G40" s="28">
        <v>0.99378431136850054</v>
      </c>
      <c r="H40" s="29">
        <v>12.125016093262957</v>
      </c>
    </row>
    <row r="41" spans="1:9" x14ac:dyDescent="0.2">
      <c r="A41" s="30" t="s">
        <v>63</v>
      </c>
      <c r="B41" s="31" t="s">
        <v>3</v>
      </c>
      <c r="C41" s="80">
        <v>61.88728937561298</v>
      </c>
      <c r="D41" s="80">
        <v>71.392452973212698</v>
      </c>
      <c r="E41" s="83">
        <v>47.997731644922922</v>
      </c>
      <c r="F41" s="22" t="s">
        <v>240</v>
      </c>
      <c r="G41" s="23">
        <v>-22.443312465004013</v>
      </c>
      <c r="H41" s="24">
        <v>-32.769179869849481</v>
      </c>
    </row>
    <row r="42" spans="1:9" x14ac:dyDescent="0.2">
      <c r="A42" s="34"/>
      <c r="B42" s="25" t="s">
        <v>241</v>
      </c>
      <c r="C42" s="82">
        <v>24.828127631939722</v>
      </c>
      <c r="D42" s="82">
        <v>33.847786736143242</v>
      </c>
      <c r="E42" s="82">
        <v>21.456072476178004</v>
      </c>
      <c r="F42" s="27"/>
      <c r="G42" s="38">
        <v>-13.581592642627598</v>
      </c>
      <c r="H42" s="24">
        <v>-36.610116804869705</v>
      </c>
    </row>
    <row r="43" spans="1:9" x14ac:dyDescent="0.2">
      <c r="A43" s="30" t="s">
        <v>52</v>
      </c>
      <c r="B43" s="31" t="s">
        <v>3</v>
      </c>
      <c r="C43" s="80">
        <v>277.98505848710886</v>
      </c>
      <c r="D43" s="80">
        <v>339.77249401097208</v>
      </c>
      <c r="E43" s="83">
        <v>347.15197112768993</v>
      </c>
      <c r="F43" s="22" t="s">
        <v>240</v>
      </c>
      <c r="G43" s="37">
        <v>24.881521696529816</v>
      </c>
      <c r="H43" s="33">
        <v>2.1718877327602399</v>
      </c>
    </row>
    <row r="44" spans="1:9" x14ac:dyDescent="0.2">
      <c r="A44" s="34"/>
      <c r="B44" s="25" t="s">
        <v>241</v>
      </c>
      <c r="C44" s="82">
        <v>115.51981243520731</v>
      </c>
      <c r="D44" s="82">
        <v>146.89231790705139</v>
      </c>
      <c r="E44" s="82">
        <v>148.09125566942444</v>
      </c>
      <c r="F44" s="27"/>
      <c r="G44" s="28">
        <v>28.195547194543593</v>
      </c>
      <c r="H44" s="29">
        <v>0.81620181331176411</v>
      </c>
    </row>
    <row r="45" spans="1:9" x14ac:dyDescent="0.2">
      <c r="A45" s="30" t="s">
        <v>50</v>
      </c>
      <c r="B45" s="31" t="s">
        <v>3</v>
      </c>
      <c r="C45" s="80">
        <v>132.25371011612714</v>
      </c>
      <c r="D45" s="80">
        <v>164.12600542069762</v>
      </c>
      <c r="E45" s="83">
        <v>149.16303197529649</v>
      </c>
      <c r="F45" s="22" t="s">
        <v>240</v>
      </c>
      <c r="G45" s="37">
        <v>12.785517959626162</v>
      </c>
      <c r="H45" s="33">
        <v>-9.116759654904854</v>
      </c>
    </row>
    <row r="46" spans="1:9" ht="13.5" thickBot="1" x14ac:dyDescent="0.25">
      <c r="A46" s="56"/>
      <c r="B46" s="42" t="s">
        <v>241</v>
      </c>
      <c r="C46" s="86">
        <v>53.169503124651953</v>
      </c>
      <c r="D46" s="86">
        <v>67.355846779443155</v>
      </c>
      <c r="E46" s="86">
        <v>60.793554971459557</v>
      </c>
      <c r="F46" s="44"/>
      <c r="G46" s="57">
        <v>14.339144431975569</v>
      </c>
      <c r="H46" s="46">
        <v>-9.7427203750727642</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25</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64</v>
      </c>
      <c r="B7" s="19" t="s">
        <v>3</v>
      </c>
      <c r="C7" s="20">
        <v>11204.776</v>
      </c>
      <c r="D7" s="20">
        <v>11603.98</v>
      </c>
      <c r="E7" s="79">
        <v>12174.707780348639</v>
      </c>
      <c r="F7" s="22" t="s">
        <v>240</v>
      </c>
      <c r="G7" s="23">
        <v>8.6564138394970058</v>
      </c>
      <c r="H7" s="24">
        <v>4.9183795589844266</v>
      </c>
    </row>
    <row r="8" spans="1:8" ht="12.75" customHeight="1" x14ac:dyDescent="0.2">
      <c r="A8" s="206"/>
      <c r="B8" s="25" t="s">
        <v>241</v>
      </c>
      <c r="C8" s="26">
        <v>5862.3879999999999</v>
      </c>
      <c r="D8" s="26">
        <v>5601.33677102</v>
      </c>
      <c r="E8" s="26">
        <v>6032.47</v>
      </c>
      <c r="F8" s="27"/>
      <c r="G8" s="28">
        <v>2.901240927758451</v>
      </c>
      <c r="H8" s="29">
        <v>7.6969703234160534</v>
      </c>
    </row>
    <row r="9" spans="1:8" x14ac:dyDescent="0.2">
      <c r="A9" s="30" t="s">
        <v>53</v>
      </c>
      <c r="B9" s="31" t="s">
        <v>3</v>
      </c>
      <c r="C9" s="20">
        <v>6.1577599999999997</v>
      </c>
      <c r="D9" s="20">
        <v>2.2198000000000002</v>
      </c>
      <c r="E9" s="21">
        <v>0.3730733833639841</v>
      </c>
      <c r="F9" s="22" t="s">
        <v>240</v>
      </c>
      <c r="G9" s="32">
        <v>-93.941410783077217</v>
      </c>
      <c r="H9" s="33">
        <v>-83.19337853121975</v>
      </c>
    </row>
    <row r="10" spans="1:8" x14ac:dyDescent="0.2">
      <c r="A10" s="34"/>
      <c r="B10" s="25" t="s">
        <v>241</v>
      </c>
      <c r="C10" s="26">
        <v>1.0738799999999999</v>
      </c>
      <c r="D10" s="26">
        <v>1.1033677101999999</v>
      </c>
      <c r="E10" s="26">
        <v>0.11470000000000001</v>
      </c>
      <c r="F10" s="27"/>
      <c r="G10" s="35">
        <v>-89.319104555443815</v>
      </c>
      <c r="H10" s="29">
        <v>-89.604553501098096</v>
      </c>
    </row>
    <row r="11" spans="1:8" x14ac:dyDescent="0.2">
      <c r="A11" s="30" t="s">
        <v>54</v>
      </c>
      <c r="B11" s="31" t="s">
        <v>3</v>
      </c>
      <c r="C11" s="20">
        <v>845.78880000000004</v>
      </c>
      <c r="D11" s="20">
        <v>760.09899999999993</v>
      </c>
      <c r="E11" s="21">
        <v>829.34113859881836</v>
      </c>
      <c r="F11" s="22" t="s">
        <v>240</v>
      </c>
      <c r="G11" s="37">
        <v>-1.9446534881026594</v>
      </c>
      <c r="H11" s="33">
        <v>9.1096210623640417</v>
      </c>
    </row>
    <row r="12" spans="1:8" x14ac:dyDescent="0.2">
      <c r="A12" s="34"/>
      <c r="B12" s="25" t="s">
        <v>241</v>
      </c>
      <c r="C12" s="26">
        <v>434.36940000000004</v>
      </c>
      <c r="D12" s="26">
        <v>347.51683855099998</v>
      </c>
      <c r="E12" s="26">
        <v>393.57349999999997</v>
      </c>
      <c r="F12" s="27"/>
      <c r="G12" s="28">
        <v>-9.3919829527586529</v>
      </c>
      <c r="H12" s="29">
        <v>13.253073330500186</v>
      </c>
    </row>
    <row r="13" spans="1:8" x14ac:dyDescent="0.2">
      <c r="A13" s="30" t="s">
        <v>66</v>
      </c>
      <c r="B13" s="31" t="s">
        <v>3</v>
      </c>
      <c r="C13" s="20">
        <v>99.315520000000006</v>
      </c>
      <c r="D13" s="20">
        <v>60.439599999999999</v>
      </c>
      <c r="E13" s="21">
        <v>24.033922906230945</v>
      </c>
      <c r="F13" s="22" t="s">
        <v>240</v>
      </c>
      <c r="G13" s="23">
        <v>-75.800435917537413</v>
      </c>
      <c r="H13" s="24">
        <v>-60.234808128725298</v>
      </c>
    </row>
    <row r="14" spans="1:8" x14ac:dyDescent="0.2">
      <c r="A14" s="34"/>
      <c r="B14" s="25" t="s">
        <v>241</v>
      </c>
      <c r="C14" s="26">
        <v>55.147759999999998</v>
      </c>
      <c r="D14" s="26">
        <v>41.206735420400001</v>
      </c>
      <c r="E14" s="26">
        <v>15.2294</v>
      </c>
      <c r="F14" s="27"/>
      <c r="G14" s="38">
        <v>-72.384372456832338</v>
      </c>
      <c r="H14" s="24">
        <v>-63.041478912060427</v>
      </c>
    </row>
    <row r="15" spans="1:8" x14ac:dyDescent="0.2">
      <c r="A15" s="30" t="s">
        <v>55</v>
      </c>
      <c r="B15" s="31" t="s">
        <v>3</v>
      </c>
      <c r="C15" s="20">
        <v>8441.6208000000006</v>
      </c>
      <c r="D15" s="20">
        <v>8522.5840000000007</v>
      </c>
      <c r="E15" s="21">
        <v>7389.7348896375215</v>
      </c>
      <c r="F15" s="22" t="s">
        <v>240</v>
      </c>
      <c r="G15" s="37">
        <v>-12.4607102745302</v>
      </c>
      <c r="H15" s="33">
        <v>-13.292319681008465</v>
      </c>
    </row>
    <row r="16" spans="1:8" x14ac:dyDescent="0.2">
      <c r="A16" s="34"/>
      <c r="B16" s="25" t="s">
        <v>241</v>
      </c>
      <c r="C16" s="26">
        <v>8934.0263999999988</v>
      </c>
      <c r="D16" s="26">
        <v>4158.2694168159996</v>
      </c>
      <c r="E16" s="26">
        <v>4395.1759999999995</v>
      </c>
      <c r="F16" s="27"/>
      <c r="G16" s="28">
        <v>-50.804085378570178</v>
      </c>
      <c r="H16" s="29">
        <v>5.6972398716146557</v>
      </c>
    </row>
    <row r="17" spans="1:9" x14ac:dyDescent="0.2">
      <c r="A17" s="30" t="s">
        <v>67</v>
      </c>
      <c r="B17" s="31" t="s">
        <v>3</v>
      </c>
      <c r="C17" s="20">
        <v>858.78880000000004</v>
      </c>
      <c r="D17" s="20">
        <v>805.09900000000005</v>
      </c>
      <c r="E17" s="21">
        <v>1094.5738331763268</v>
      </c>
      <c r="F17" s="22" t="s">
        <v>240</v>
      </c>
      <c r="G17" s="37">
        <v>27.455531927794908</v>
      </c>
      <c r="H17" s="33">
        <v>35.955184787998348</v>
      </c>
    </row>
    <row r="18" spans="1:9" x14ac:dyDescent="0.2">
      <c r="A18" s="30"/>
      <c r="B18" s="25" t="s">
        <v>241</v>
      </c>
      <c r="C18" s="26">
        <v>228.36939999999998</v>
      </c>
      <c r="D18" s="26">
        <v>416.51683855099998</v>
      </c>
      <c r="E18" s="26">
        <v>430.57349999999997</v>
      </c>
      <c r="F18" s="27"/>
      <c r="G18" s="28">
        <v>88.542554300182076</v>
      </c>
      <c r="H18" s="29">
        <v>3.3748122879980116</v>
      </c>
    </row>
    <row r="19" spans="1:9" x14ac:dyDescent="0.2">
      <c r="A19" s="39" t="s">
        <v>56</v>
      </c>
      <c r="B19" s="31" t="s">
        <v>3</v>
      </c>
      <c r="C19" s="20">
        <v>94.157759999999996</v>
      </c>
      <c r="D19" s="20">
        <v>97.219800000000006</v>
      </c>
      <c r="E19" s="21">
        <v>105.55304632197195</v>
      </c>
      <c r="F19" s="22" t="s">
        <v>240</v>
      </c>
      <c r="G19" s="23">
        <v>12.102333702471199</v>
      </c>
      <c r="H19" s="24">
        <v>8.5715526281394716</v>
      </c>
    </row>
    <row r="20" spans="1:9" x14ac:dyDescent="0.2">
      <c r="A20" s="34"/>
      <c r="B20" s="25" t="s">
        <v>241</v>
      </c>
      <c r="C20" s="26">
        <v>44.073880000000003</v>
      </c>
      <c r="D20" s="26">
        <v>45.103367710199997</v>
      </c>
      <c r="E20" s="26">
        <v>49.114699999999999</v>
      </c>
      <c r="F20" s="27"/>
      <c r="G20" s="38">
        <v>11.437204983995059</v>
      </c>
      <c r="H20" s="24">
        <v>8.8936425226022493</v>
      </c>
    </row>
    <row r="21" spans="1:9" x14ac:dyDescent="0.2">
      <c r="A21" s="39" t="s">
        <v>68</v>
      </c>
      <c r="B21" s="31" t="s">
        <v>3</v>
      </c>
      <c r="C21" s="20">
        <v>11.15776</v>
      </c>
      <c r="D21" s="20">
        <v>9.2197999999999993</v>
      </c>
      <c r="E21" s="21">
        <v>5.0383846670749675</v>
      </c>
      <c r="F21" s="22" t="s">
        <v>240</v>
      </c>
      <c r="G21" s="37">
        <v>-54.844120441065527</v>
      </c>
      <c r="H21" s="33">
        <v>-45.352560065565761</v>
      </c>
    </row>
    <row r="22" spans="1:9" x14ac:dyDescent="0.2">
      <c r="A22" s="34"/>
      <c r="B22" s="25" t="s">
        <v>241</v>
      </c>
      <c r="C22" s="26">
        <v>31.073879999999999</v>
      </c>
      <c r="D22" s="26">
        <v>4.1033677101999997</v>
      </c>
      <c r="E22" s="26">
        <v>3.1147</v>
      </c>
      <c r="F22" s="27"/>
      <c r="G22" s="28">
        <v>-89.976468982952881</v>
      </c>
      <c r="H22" s="29">
        <v>-24.094055907843853</v>
      </c>
    </row>
    <row r="23" spans="1:9" x14ac:dyDescent="0.2">
      <c r="A23" s="30" t="s">
        <v>69</v>
      </c>
      <c r="B23" s="31" t="s">
        <v>3</v>
      </c>
      <c r="C23" s="20">
        <v>1446.7888</v>
      </c>
      <c r="D23" s="20">
        <v>1367.0989999999999</v>
      </c>
      <c r="E23" s="21">
        <v>1386.0735549453916</v>
      </c>
      <c r="F23" s="22" t="s">
        <v>240</v>
      </c>
      <c r="G23" s="23">
        <v>-4.1965520506246889</v>
      </c>
      <c r="H23" s="24">
        <v>1.3879430052535753</v>
      </c>
    </row>
    <row r="24" spans="1:9" ht="13.5" thickBot="1" x14ac:dyDescent="0.25">
      <c r="A24" s="56"/>
      <c r="B24" s="42" t="s">
        <v>241</v>
      </c>
      <c r="C24" s="43">
        <v>856.36940000000004</v>
      </c>
      <c r="D24" s="43">
        <v>726.51683855099998</v>
      </c>
      <c r="E24" s="43">
        <v>762.57349999999997</v>
      </c>
      <c r="F24" s="44"/>
      <c r="G24" s="57">
        <v>-10.952738386028287</v>
      </c>
      <c r="H24" s="46">
        <v>4.9629491755364086</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64</v>
      </c>
      <c r="B35" s="19" t="s">
        <v>3</v>
      </c>
      <c r="C35" s="80">
        <v>1202.7935045741631</v>
      </c>
      <c r="D35" s="80">
        <v>1394.3954936555808</v>
      </c>
      <c r="E35" s="81">
        <v>1646.6781053980574</v>
      </c>
      <c r="F35" s="22" t="s">
        <v>240</v>
      </c>
      <c r="G35" s="23">
        <v>36.904472724189446</v>
      </c>
      <c r="H35" s="24">
        <v>18.092615250863034</v>
      </c>
    </row>
    <row r="36" spans="1:8" ht="12.75" customHeight="1" x14ac:dyDescent="0.2">
      <c r="A36" s="206"/>
      <c r="B36" s="25" t="s">
        <v>241</v>
      </c>
      <c r="C36" s="82">
        <v>585.27563423107085</v>
      </c>
      <c r="D36" s="82">
        <v>651.86936651844542</v>
      </c>
      <c r="E36" s="82">
        <v>780.0177842858335</v>
      </c>
      <c r="F36" s="27"/>
      <c r="G36" s="28">
        <v>33.273578919890099</v>
      </c>
      <c r="H36" s="29">
        <v>19.658604062315902</v>
      </c>
    </row>
    <row r="37" spans="1:8" x14ac:dyDescent="0.2">
      <c r="A37" s="30" t="s">
        <v>53</v>
      </c>
      <c r="B37" s="31" t="s">
        <v>3</v>
      </c>
      <c r="C37" s="80">
        <v>0.134134343800104</v>
      </c>
      <c r="D37" s="80">
        <v>7.6027626367869916E-2</v>
      </c>
      <c r="E37" s="83">
        <v>4.3444882452956315E-2</v>
      </c>
      <c r="F37" s="22" t="s">
        <v>240</v>
      </c>
      <c r="G37" s="32">
        <v>-67.610918112291358</v>
      </c>
      <c r="H37" s="33">
        <v>-42.856452938906187</v>
      </c>
    </row>
    <row r="38" spans="1:8" x14ac:dyDescent="0.2">
      <c r="A38" s="34"/>
      <c r="B38" s="25" t="s">
        <v>241</v>
      </c>
      <c r="C38" s="82">
        <v>7.9747527541790486E-2</v>
      </c>
      <c r="D38" s="82">
        <v>9.3859808608034265E-2</v>
      </c>
      <c r="E38" s="82">
        <v>3.9471274213273469E-2</v>
      </c>
      <c r="F38" s="27"/>
      <c r="G38" s="35">
        <v>-50.504704747631024</v>
      </c>
      <c r="H38" s="29">
        <v>-57.946564350979521</v>
      </c>
    </row>
    <row r="39" spans="1:8" x14ac:dyDescent="0.2">
      <c r="A39" s="30" t="s">
        <v>54</v>
      </c>
      <c r="B39" s="31" t="s">
        <v>3</v>
      </c>
      <c r="C39" s="80">
        <v>57.991080964356627</v>
      </c>
      <c r="D39" s="80">
        <v>71.708466618889062</v>
      </c>
      <c r="E39" s="83">
        <v>93.428045898967369</v>
      </c>
      <c r="F39" s="22" t="s">
        <v>240</v>
      </c>
      <c r="G39" s="37">
        <v>61.107612317817569</v>
      </c>
      <c r="H39" s="33">
        <v>30.288723639165141</v>
      </c>
    </row>
    <row r="40" spans="1:8" x14ac:dyDescent="0.2">
      <c r="A40" s="34"/>
      <c r="B40" s="25" t="s">
        <v>241</v>
      </c>
      <c r="C40" s="82">
        <v>26.253283694642583</v>
      </c>
      <c r="D40" s="82">
        <v>28.860446835406279</v>
      </c>
      <c r="E40" s="82">
        <v>39.046400114620809</v>
      </c>
      <c r="F40" s="27"/>
      <c r="G40" s="28">
        <v>48.729585863534766</v>
      </c>
      <c r="H40" s="29">
        <v>35.293816957533409</v>
      </c>
    </row>
    <row r="41" spans="1:8" x14ac:dyDescent="0.2">
      <c r="A41" s="30" t="s">
        <v>66</v>
      </c>
      <c r="B41" s="31" t="s">
        <v>3</v>
      </c>
      <c r="C41" s="80">
        <v>13.468025871353923</v>
      </c>
      <c r="D41" s="80">
        <v>16.644909976128837</v>
      </c>
      <c r="E41" s="83">
        <v>14.07343585593884</v>
      </c>
      <c r="F41" s="22" t="s">
        <v>240</v>
      </c>
      <c r="G41" s="23">
        <v>4.4951649957296667</v>
      </c>
      <c r="H41" s="24">
        <v>-15.449011883379697</v>
      </c>
    </row>
    <row r="42" spans="1:8" x14ac:dyDescent="0.2">
      <c r="A42" s="34"/>
      <c r="B42" s="25" t="s">
        <v>241</v>
      </c>
      <c r="C42" s="82">
        <v>8.0596937214516693</v>
      </c>
      <c r="D42" s="82">
        <v>6.0201752652114076</v>
      </c>
      <c r="E42" s="82">
        <v>5.8633258242886912</v>
      </c>
      <c r="F42" s="27"/>
      <c r="G42" s="38">
        <v>-27.251257592048788</v>
      </c>
      <c r="H42" s="24">
        <v>-2.6053965875229181</v>
      </c>
    </row>
    <row r="43" spans="1:8" x14ac:dyDescent="0.2">
      <c r="A43" s="30" t="s">
        <v>55</v>
      </c>
      <c r="B43" s="31" t="s">
        <v>3</v>
      </c>
      <c r="C43" s="80">
        <v>759.29921336107589</v>
      </c>
      <c r="D43" s="80">
        <v>931.02751570303553</v>
      </c>
      <c r="E43" s="83">
        <v>1126.4238278014209</v>
      </c>
      <c r="F43" s="22" t="s">
        <v>240</v>
      </c>
      <c r="G43" s="37">
        <v>48.350453678892876</v>
      </c>
      <c r="H43" s="33">
        <v>20.987168349244541</v>
      </c>
    </row>
    <row r="44" spans="1:8" x14ac:dyDescent="0.2">
      <c r="A44" s="34"/>
      <c r="B44" s="25" t="s">
        <v>241</v>
      </c>
      <c r="C44" s="82">
        <v>373.02495983516337</v>
      </c>
      <c r="D44" s="82">
        <v>433.30795108952168</v>
      </c>
      <c r="E44" s="82">
        <v>533.61240681593358</v>
      </c>
      <c r="F44" s="27"/>
      <c r="G44" s="28">
        <v>43.050054090678657</v>
      </c>
      <c r="H44" s="29">
        <v>23.148538002638432</v>
      </c>
    </row>
    <row r="45" spans="1:8" x14ac:dyDescent="0.2">
      <c r="A45" s="30" t="s">
        <v>67</v>
      </c>
      <c r="B45" s="31" t="s">
        <v>3</v>
      </c>
      <c r="C45" s="80">
        <v>205.76448864684266</v>
      </c>
      <c r="D45" s="80">
        <v>211.08535407145368</v>
      </c>
      <c r="E45" s="83">
        <v>330.88043127177821</v>
      </c>
      <c r="F45" s="22" t="s">
        <v>240</v>
      </c>
      <c r="G45" s="37">
        <v>60.80541081103371</v>
      </c>
      <c r="H45" s="33">
        <v>56.751960706744796</v>
      </c>
    </row>
    <row r="46" spans="1:8" x14ac:dyDescent="0.2">
      <c r="A46" s="30"/>
      <c r="B46" s="25" t="s">
        <v>241</v>
      </c>
      <c r="C46" s="82">
        <v>45.756536043682551</v>
      </c>
      <c r="D46" s="82">
        <v>100.09802788603625</v>
      </c>
      <c r="E46" s="82">
        <v>113.90666376221562</v>
      </c>
      <c r="F46" s="27"/>
      <c r="G46" s="28">
        <v>148.94074947778378</v>
      </c>
      <c r="H46" s="29">
        <v>13.795112818706869</v>
      </c>
    </row>
    <row r="47" spans="1:8" x14ac:dyDescent="0.2">
      <c r="A47" s="39" t="s">
        <v>56</v>
      </c>
      <c r="B47" s="31" t="s">
        <v>3</v>
      </c>
      <c r="C47" s="80">
        <v>10.318568645070682</v>
      </c>
      <c r="D47" s="80">
        <v>13.040535450521411</v>
      </c>
      <c r="E47" s="83">
        <v>12.537910278049399</v>
      </c>
      <c r="F47" s="22" t="s">
        <v>240</v>
      </c>
      <c r="G47" s="23">
        <v>21.508231512700405</v>
      </c>
      <c r="H47" s="24">
        <v>-3.8543292518860142</v>
      </c>
    </row>
    <row r="48" spans="1:8" x14ac:dyDescent="0.2">
      <c r="A48" s="34"/>
      <c r="B48" s="25" t="s">
        <v>241</v>
      </c>
      <c r="C48" s="82">
        <v>5.5364956604348379</v>
      </c>
      <c r="D48" s="82">
        <v>7.1245277945487633</v>
      </c>
      <c r="E48" s="82">
        <v>6.8085556163189409</v>
      </c>
      <c r="F48" s="27"/>
      <c r="G48" s="38">
        <v>22.975904505345454</v>
      </c>
      <c r="H48" s="24">
        <v>-4.4349911649103859</v>
      </c>
    </row>
    <row r="49" spans="1:9" x14ac:dyDescent="0.2">
      <c r="A49" s="39" t="s">
        <v>68</v>
      </c>
      <c r="B49" s="31" t="s">
        <v>3</v>
      </c>
      <c r="C49" s="80">
        <v>4.4052246519785063</v>
      </c>
      <c r="D49" s="80">
        <v>3.8139490570951864</v>
      </c>
      <c r="E49" s="83">
        <v>2.5317774352606723</v>
      </c>
      <c r="F49" s="22" t="s">
        <v>240</v>
      </c>
      <c r="G49" s="37">
        <v>-42.527847379506923</v>
      </c>
      <c r="H49" s="33">
        <v>-33.617953534257566</v>
      </c>
    </row>
    <row r="50" spans="1:9" x14ac:dyDescent="0.2">
      <c r="A50" s="34"/>
      <c r="B50" s="25" t="s">
        <v>241</v>
      </c>
      <c r="C50" s="82">
        <v>4.3923652648181069</v>
      </c>
      <c r="D50" s="82">
        <v>2.6817687531559082</v>
      </c>
      <c r="E50" s="82">
        <v>1.9742077950144776</v>
      </c>
      <c r="F50" s="27"/>
      <c r="G50" s="28">
        <v>-55.053651597979481</v>
      </c>
      <c r="H50" s="29">
        <v>-26.38411523397653</v>
      </c>
    </row>
    <row r="51" spans="1:9" x14ac:dyDescent="0.2">
      <c r="A51" s="30" t="s">
        <v>69</v>
      </c>
      <c r="B51" s="31" t="s">
        <v>3</v>
      </c>
      <c r="C51" s="80">
        <v>151.4127680896845</v>
      </c>
      <c r="D51" s="80">
        <v>146.9987351520891</v>
      </c>
      <c r="E51" s="83">
        <v>137.30063197392406</v>
      </c>
      <c r="F51" s="22" t="s">
        <v>240</v>
      </c>
      <c r="G51" s="23">
        <v>-9.3203078536953825</v>
      </c>
      <c r="H51" s="24">
        <v>-6.5974058675614486</v>
      </c>
    </row>
    <row r="52" spans="1:9" ht="13.5" thickBot="1" x14ac:dyDescent="0.25">
      <c r="A52" s="56"/>
      <c r="B52" s="42" t="s">
        <v>241</v>
      </c>
      <c r="C52" s="86">
        <v>122.17255248333599</v>
      </c>
      <c r="D52" s="86">
        <v>73.682609085957253</v>
      </c>
      <c r="E52" s="86">
        <v>78.76675308322784</v>
      </c>
      <c r="F52" s="44"/>
      <c r="G52" s="57">
        <v>-35.528274164549828</v>
      </c>
      <c r="H52" s="46">
        <v>6.9000596753292029</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8">
        <v>26</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2. kvartal 2021</v>
      </c>
      <c r="G53" s="201"/>
      <c r="H53" s="54" t="str">
        <f>+Innhold!B124</f>
        <v>Skadestatistikk for landbasert forsikring 2. kvartal 2021</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232</v>
      </c>
      <c r="B48" s="73"/>
      <c r="C48" s="73"/>
      <c r="D48" s="73"/>
      <c r="E48" s="73"/>
      <c r="F48" s="73"/>
      <c r="G48" s="73"/>
      <c r="M48" s="77"/>
    </row>
    <row r="49" spans="1:13" ht="15.6" customHeight="1" x14ac:dyDescent="0.25">
      <c r="A49" s="148" t="s">
        <v>233</v>
      </c>
      <c r="B49" s="73"/>
      <c r="C49" s="73"/>
      <c r="D49" s="73"/>
      <c r="E49" s="73"/>
      <c r="F49" s="73"/>
      <c r="G49" s="73"/>
      <c r="M49" s="77"/>
    </row>
    <row r="50" spans="1:13" ht="15.6" customHeight="1" x14ac:dyDescent="0.2">
      <c r="A50" s="149" t="s">
        <v>234</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2. kvartal 2021</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146" t="s">
        <v>0</v>
      </c>
      <c r="B2" s="2"/>
      <c r="C2" s="2"/>
      <c r="D2" s="2"/>
      <c r="E2" s="2"/>
      <c r="F2" s="2"/>
      <c r="G2" s="2"/>
    </row>
    <row r="3" spans="1:36" ht="6" customHeight="1" x14ac:dyDescent="0.25">
      <c r="A3" s="147"/>
      <c r="B3" s="2"/>
      <c r="C3" s="2"/>
      <c r="D3" s="2"/>
      <c r="E3" s="2"/>
      <c r="F3" s="2"/>
      <c r="G3" s="2"/>
    </row>
    <row r="4" spans="1:36" ht="12.75" customHeight="1" x14ac:dyDescent="0.2">
      <c r="A4" s="202" t="s">
        <v>90</v>
      </c>
      <c r="B4" s="2"/>
      <c r="C4" s="2"/>
      <c r="D4" s="2"/>
      <c r="E4" s="2"/>
      <c r="F4" s="2"/>
      <c r="G4" s="2"/>
      <c r="H4" s="67"/>
    </row>
    <row r="5" spans="1:36" ht="12.75" customHeight="1" x14ac:dyDescent="0.2">
      <c r="A5" s="202"/>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147"/>
      <c r="B7" s="2"/>
      <c r="C7" s="2"/>
      <c r="D7" s="2"/>
      <c r="E7" s="2"/>
      <c r="F7" s="2"/>
      <c r="G7" s="2"/>
      <c r="H7" s="67"/>
      <c r="V7" s="88"/>
      <c r="AJ7" s="88"/>
    </row>
    <row r="8" spans="1:36" ht="15.75" x14ac:dyDescent="0.25">
      <c r="A8" s="147"/>
      <c r="B8" s="2"/>
      <c r="C8" s="2"/>
      <c r="D8" s="2"/>
      <c r="E8" s="2"/>
      <c r="F8" s="2"/>
      <c r="G8" s="2"/>
      <c r="H8" s="67"/>
    </row>
    <row r="9" spans="1:36" ht="15.75" x14ac:dyDescent="0.25">
      <c r="A9" s="147"/>
      <c r="B9" s="2"/>
      <c r="C9" s="2"/>
      <c r="D9" s="2"/>
      <c r="E9" s="2"/>
      <c r="F9" s="2"/>
      <c r="G9" s="2"/>
      <c r="H9" s="67"/>
    </row>
    <row r="10" spans="1:36" ht="15.75" x14ac:dyDescent="0.25">
      <c r="A10" s="147"/>
      <c r="B10" s="2"/>
      <c r="C10" s="2"/>
      <c r="D10" s="2"/>
      <c r="E10" s="2"/>
      <c r="F10" s="2"/>
      <c r="G10" s="2"/>
      <c r="H10" s="67"/>
    </row>
    <row r="11" spans="1:36" ht="15.75" x14ac:dyDescent="0.25">
      <c r="A11" s="147"/>
      <c r="B11" s="2"/>
      <c r="C11" s="2"/>
      <c r="D11" s="2"/>
      <c r="E11" s="2"/>
      <c r="F11" s="2"/>
      <c r="G11" s="2"/>
      <c r="H11" s="67"/>
    </row>
    <row r="12" spans="1:36" ht="15.75" x14ac:dyDescent="0.25">
      <c r="A12" s="147"/>
      <c r="B12" s="2"/>
      <c r="C12" s="2"/>
      <c r="D12" s="2"/>
      <c r="E12" s="2"/>
      <c r="F12" s="2"/>
      <c r="G12" s="2"/>
      <c r="H12" s="67"/>
    </row>
    <row r="13" spans="1:36" ht="15.75" x14ac:dyDescent="0.25">
      <c r="A13" s="147"/>
      <c r="B13" s="2"/>
      <c r="C13" s="2"/>
      <c r="D13" s="2"/>
      <c r="E13" s="2"/>
      <c r="F13" s="2"/>
      <c r="G13" s="2"/>
      <c r="H13" s="67"/>
    </row>
    <row r="14" spans="1:36" ht="15.75" x14ac:dyDescent="0.25">
      <c r="A14" s="147"/>
      <c r="B14" s="2"/>
      <c r="C14" s="2"/>
      <c r="D14" s="2"/>
      <c r="E14" s="2"/>
      <c r="F14" s="2"/>
      <c r="G14" s="2"/>
      <c r="H14" s="67"/>
    </row>
    <row r="15" spans="1:36" ht="15.75" x14ac:dyDescent="0.25">
      <c r="A15" s="147"/>
      <c r="B15" s="2"/>
      <c r="C15" s="2"/>
      <c r="D15" s="2"/>
      <c r="E15" s="2"/>
      <c r="F15" s="2"/>
      <c r="G15" s="2"/>
      <c r="H15" s="67"/>
    </row>
    <row r="16" spans="1:36" ht="15.75" x14ac:dyDescent="0.25">
      <c r="A16" s="147"/>
      <c r="B16" s="2"/>
      <c r="C16" s="2"/>
      <c r="D16" s="2"/>
      <c r="E16" s="2"/>
      <c r="F16" s="2"/>
      <c r="G16" s="2"/>
      <c r="H16" s="67"/>
    </row>
    <row r="17" spans="1:30" ht="15.75" x14ac:dyDescent="0.25">
      <c r="A17" s="147"/>
      <c r="B17" s="2"/>
      <c r="C17" s="2"/>
      <c r="D17" s="2"/>
      <c r="E17" s="2"/>
      <c r="F17" s="2"/>
      <c r="G17" s="2"/>
      <c r="H17" s="67"/>
    </row>
    <row r="18" spans="1:30" ht="15.75" x14ac:dyDescent="0.25">
      <c r="A18" s="147"/>
      <c r="B18" s="2"/>
      <c r="C18" s="2"/>
      <c r="D18" s="2"/>
      <c r="E18" s="2"/>
      <c r="F18" s="2"/>
      <c r="G18" s="2"/>
      <c r="H18" s="67"/>
    </row>
    <row r="19" spans="1:30" ht="15.75" x14ac:dyDescent="0.25">
      <c r="A19" s="147"/>
      <c r="B19" s="2"/>
      <c r="C19" s="2"/>
      <c r="D19" s="2"/>
      <c r="E19" s="2"/>
      <c r="F19" s="2"/>
      <c r="G19" s="2"/>
      <c r="H19" s="67"/>
    </row>
    <row r="20" spans="1:30" ht="15.75" x14ac:dyDescent="0.25">
      <c r="A20" s="147"/>
      <c r="B20" s="2"/>
      <c r="C20" s="2"/>
      <c r="D20" s="2"/>
      <c r="E20" s="2"/>
      <c r="F20" s="2"/>
      <c r="G20" s="2"/>
      <c r="H20" s="67"/>
    </row>
    <row r="21" spans="1:30" ht="15.75" x14ac:dyDescent="0.25">
      <c r="A21" s="147"/>
      <c r="B21" s="2"/>
      <c r="C21" s="2"/>
      <c r="D21" s="2"/>
      <c r="E21" s="2"/>
      <c r="F21" s="2"/>
      <c r="G21" s="2"/>
      <c r="H21" s="67"/>
    </row>
    <row r="22" spans="1:30" ht="15.75" x14ac:dyDescent="0.25">
      <c r="A22" s="147"/>
      <c r="B22" s="2"/>
      <c r="C22" s="2"/>
      <c r="D22" s="2"/>
      <c r="E22" s="2"/>
      <c r="F22" s="2"/>
      <c r="G22" s="2"/>
      <c r="H22" s="67"/>
    </row>
    <row r="23" spans="1:30" ht="15.75" x14ac:dyDescent="0.25">
      <c r="A23" s="147"/>
      <c r="B23" s="2"/>
      <c r="C23" s="2"/>
      <c r="D23" s="2"/>
      <c r="E23" s="2"/>
      <c r="F23" s="2"/>
      <c r="G23" s="2"/>
      <c r="H23" s="67"/>
    </row>
    <row r="24" spans="1:30" ht="15.75" x14ac:dyDescent="0.25">
      <c r="A24" s="147"/>
      <c r="B24" s="2"/>
      <c r="C24" s="2"/>
      <c r="D24" s="2"/>
      <c r="E24" s="2"/>
      <c r="F24" s="2"/>
      <c r="G24" s="2"/>
      <c r="H24" s="67"/>
    </row>
    <row r="25" spans="1:30" ht="15.75" x14ac:dyDescent="0.25">
      <c r="A25" s="147"/>
      <c r="B25" s="2"/>
      <c r="C25" s="2"/>
      <c r="D25" s="2"/>
      <c r="E25" s="2"/>
      <c r="F25" s="2"/>
      <c r="G25" s="2"/>
      <c r="H25" s="67"/>
    </row>
    <row r="26" spans="1:30" ht="15.75" x14ac:dyDescent="0.25">
      <c r="A26" s="147"/>
      <c r="B26" s="2"/>
      <c r="C26" s="2"/>
      <c r="D26" s="2"/>
      <c r="E26" s="2"/>
      <c r="F26" s="2"/>
      <c r="G26" s="2"/>
      <c r="H26" s="67"/>
    </row>
    <row r="27" spans="1:30" ht="15.75" x14ac:dyDescent="0.25">
      <c r="A27" s="147"/>
      <c r="B27" s="2"/>
      <c r="C27" s="2"/>
      <c r="D27" s="2"/>
      <c r="E27" s="2"/>
      <c r="F27" s="2"/>
      <c r="G27" s="2"/>
      <c r="H27" s="67"/>
    </row>
    <row r="28" spans="1:30" ht="15.75" x14ac:dyDescent="0.25">
      <c r="A28" s="147"/>
      <c r="B28" s="2"/>
      <c r="C28" s="2"/>
      <c r="D28" s="2"/>
      <c r="E28" s="2"/>
      <c r="F28" s="2"/>
      <c r="G28" s="2"/>
      <c r="H28" s="67"/>
    </row>
    <row r="29" spans="1:30" ht="15.75" x14ac:dyDescent="0.25">
      <c r="A29" s="147"/>
      <c r="B29" s="2"/>
      <c r="C29" s="2"/>
      <c r="D29" s="2"/>
      <c r="E29" s="2"/>
      <c r="F29" s="2"/>
      <c r="G29" s="2"/>
      <c r="H29" s="67"/>
    </row>
    <row r="30" spans="1:30" ht="15.75" x14ac:dyDescent="0.25">
      <c r="A30" s="147"/>
      <c r="B30" s="2"/>
      <c r="C30" s="2"/>
      <c r="D30" s="2"/>
      <c r="E30" s="2"/>
      <c r="F30" s="2"/>
      <c r="G30" s="2"/>
      <c r="H30" s="67"/>
    </row>
    <row r="31" spans="1:30" ht="15.75" x14ac:dyDescent="0.25">
      <c r="A31" s="147"/>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2021</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ht="15.75" x14ac:dyDescent="0.25">
      <c r="A33" s="147"/>
      <c r="B33" s="2"/>
      <c r="C33" s="2"/>
      <c r="D33" s="2"/>
      <c r="E33" s="2"/>
      <c r="F33" s="2"/>
      <c r="G33" s="2"/>
      <c r="H33" s="67"/>
    </row>
    <row r="34" spans="1:8" ht="15.75" x14ac:dyDescent="0.25">
      <c r="A34" s="147"/>
      <c r="B34" s="2"/>
      <c r="C34" s="2"/>
      <c r="D34" s="2"/>
      <c r="E34" s="2"/>
      <c r="F34" s="2"/>
      <c r="G34" s="2"/>
      <c r="H34" s="67"/>
    </row>
    <row r="35" spans="1:8" ht="15.75" x14ac:dyDescent="0.25">
      <c r="A35" s="147"/>
      <c r="B35" s="2"/>
      <c r="C35" s="2"/>
      <c r="D35" s="2"/>
      <c r="E35" s="2"/>
      <c r="F35" s="2"/>
      <c r="G35" s="2"/>
      <c r="H35" s="67"/>
    </row>
    <row r="36" spans="1:8" ht="15.75" x14ac:dyDescent="0.25">
      <c r="A36" s="147"/>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97"/>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x14ac:dyDescent="0.2">
      <c r="A62" s="54" t="str">
        <f>+Innhold!B124</f>
        <v>Skadestatistikk for landbasert forsikring 2. kvartal 2021</v>
      </c>
      <c r="H62" s="201"/>
      <c r="I62" s="54" t="str">
        <f>+Innhold!B124</f>
        <v>Skadestatistikk for landbasert forsikring 2. kvartal 2021</v>
      </c>
      <c r="O62" s="201"/>
      <c r="P62" s="54" t="str">
        <f>+Innhold!B124</f>
        <v>Skadestatistikk for landbasert forsikring 2. kvartal 2021</v>
      </c>
      <c r="V62" s="201"/>
      <c r="W62" s="54" t="str">
        <f>+Innhold!B124</f>
        <v>Skadestatistikk for landbasert forsikring 2. kvartal 2021</v>
      </c>
      <c r="AC62" s="201"/>
      <c r="AD62" s="54" t="str">
        <f>+Innhold!B124</f>
        <v>Skadestatistikk for landbasert forsikring 2. kvartal 2021</v>
      </c>
      <c r="AJ62" s="201"/>
    </row>
    <row r="63" spans="1:36" x14ac:dyDescent="0.2">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36" x14ac:dyDescent="0.2">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x14ac:dyDescent="0.2">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row>
    <row r="66" spans="1:36" x14ac:dyDescent="0.2">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row>
    <row r="67" spans="1:36" ht="12.75" customHeight="1" x14ac:dyDescent="0.2">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6" ht="12.75" customHeight="1" x14ac:dyDescent="0.2">
      <c r="A68" s="168"/>
      <c r="B68" s="168"/>
      <c r="C68" s="168"/>
      <c r="D68" s="168"/>
      <c r="E68" s="168"/>
      <c r="F68" s="168"/>
      <c r="G68" s="168"/>
      <c r="H68" s="168"/>
      <c r="I68" s="168"/>
      <c r="J68" s="168"/>
      <c r="K68" s="168"/>
      <c r="L68" s="168"/>
      <c r="M68" s="169" t="s">
        <v>177</v>
      </c>
      <c r="N68" s="168"/>
      <c r="O68" s="168"/>
      <c r="P68" s="169" t="s">
        <v>179</v>
      </c>
      <c r="Q68" s="168"/>
      <c r="R68" s="168"/>
      <c r="S68" s="169" t="s">
        <v>178</v>
      </c>
      <c r="T68" s="168"/>
      <c r="U68" s="168"/>
      <c r="V68" s="168"/>
      <c r="W68" s="168"/>
      <c r="X68" s="168"/>
      <c r="Y68" s="168"/>
      <c r="Z68" s="168"/>
      <c r="AA68" s="168"/>
      <c r="AB68" s="168"/>
      <c r="AC68" s="168"/>
      <c r="AD68" s="168"/>
      <c r="AE68" s="168"/>
      <c r="AF68" s="168"/>
      <c r="AG68" s="168"/>
      <c r="AH68" s="168"/>
      <c r="AI68" s="168"/>
      <c r="AJ68" s="168"/>
    </row>
    <row r="69" spans="1:36" x14ac:dyDescent="0.2">
      <c r="A69" s="170" t="s">
        <v>183</v>
      </c>
      <c r="B69" s="171"/>
      <c r="C69" s="171"/>
      <c r="D69" s="171" t="s">
        <v>74</v>
      </c>
      <c r="E69" s="171"/>
      <c r="F69" s="171"/>
      <c r="G69" s="171"/>
      <c r="H69" s="170"/>
      <c r="I69" s="172">
        <v>156.38500000000002</v>
      </c>
      <c r="J69" s="173" t="s">
        <v>231</v>
      </c>
      <c r="K69" s="168"/>
      <c r="L69" s="168"/>
      <c r="M69" s="169" t="s">
        <v>161</v>
      </c>
      <c r="N69" s="168"/>
      <c r="O69" s="168"/>
      <c r="P69" s="169" t="s">
        <v>175</v>
      </c>
      <c r="Q69" s="168"/>
      <c r="R69" s="168"/>
      <c r="S69" s="169" t="s">
        <v>176</v>
      </c>
      <c r="T69" s="168"/>
      <c r="U69" s="168"/>
      <c r="V69" s="170" t="s">
        <v>184</v>
      </c>
      <c r="W69" s="171"/>
      <c r="X69" s="171"/>
      <c r="Y69" s="171"/>
      <c r="Z69" s="171"/>
      <c r="AA69" s="168"/>
      <c r="AB69" s="168"/>
      <c r="AC69" s="168"/>
      <c r="AD69" s="168"/>
      <c r="AE69" s="168"/>
      <c r="AF69" s="168"/>
      <c r="AG69" s="168"/>
      <c r="AH69" s="168"/>
      <c r="AI69" s="168"/>
      <c r="AJ69" s="168"/>
    </row>
    <row r="70" spans="1:36" x14ac:dyDescent="0.2">
      <c r="A70" s="171" t="s">
        <v>75</v>
      </c>
      <c r="B70" s="171" t="s">
        <v>76</v>
      </c>
      <c r="C70" s="171" t="s">
        <v>26</v>
      </c>
      <c r="D70" s="171" t="s">
        <v>77</v>
      </c>
      <c r="E70" s="171"/>
      <c r="F70" s="171"/>
      <c r="G70" s="171"/>
      <c r="H70" s="168"/>
      <c r="I70" s="174" t="s">
        <v>159</v>
      </c>
      <c r="J70" s="168" t="s">
        <v>229</v>
      </c>
      <c r="K70" s="174" t="s">
        <v>76</v>
      </c>
      <c r="L70" s="174" t="s">
        <v>108</v>
      </c>
      <c r="M70" s="174" t="s">
        <v>157</v>
      </c>
      <c r="N70" s="174" t="s">
        <v>158</v>
      </c>
      <c r="O70" s="174" t="s">
        <v>108</v>
      </c>
      <c r="P70" s="174" t="s">
        <v>157</v>
      </c>
      <c r="Q70" s="174" t="s">
        <v>158</v>
      </c>
      <c r="R70" s="174" t="s">
        <v>108</v>
      </c>
      <c r="S70" s="174" t="s">
        <v>157</v>
      </c>
      <c r="T70" s="174" t="s">
        <v>158</v>
      </c>
      <c r="U70" s="168"/>
      <c r="V70" s="171" t="s">
        <v>81</v>
      </c>
      <c r="W70" s="171"/>
      <c r="X70" s="175" t="str">
        <f>+'Tab3'!C6</f>
        <v>2019</v>
      </c>
      <c r="Y70" s="175" t="str">
        <f>+'Tab3'!D6</f>
        <v>2020</v>
      </c>
      <c r="Z70" s="175" t="str">
        <f>+'Tab3'!E6</f>
        <v>2021</v>
      </c>
      <c r="AA70" s="168"/>
      <c r="AB70" s="168"/>
      <c r="AC70" s="168"/>
      <c r="AD70" s="168"/>
      <c r="AE70" s="168"/>
      <c r="AF70" s="168"/>
      <c r="AG70" s="168"/>
      <c r="AH70" s="168"/>
      <c r="AI70" s="168"/>
      <c r="AJ70" s="168"/>
    </row>
    <row r="71" spans="1:36" x14ac:dyDescent="0.2">
      <c r="A71" s="171">
        <v>1</v>
      </c>
      <c r="B71" s="171">
        <v>1983</v>
      </c>
      <c r="C71" s="171">
        <v>97</v>
      </c>
      <c r="D71" s="171">
        <v>78.3</v>
      </c>
      <c r="E71" s="171"/>
      <c r="F71" s="171"/>
      <c r="G71" s="171"/>
      <c r="H71" s="168"/>
      <c r="I71" s="176">
        <v>53.8</v>
      </c>
      <c r="J71" s="168">
        <v>1</v>
      </c>
      <c r="K71" s="168">
        <v>1983</v>
      </c>
      <c r="L71" s="177">
        <v>11621</v>
      </c>
      <c r="M71" s="176">
        <v>80.900000000000006</v>
      </c>
      <c r="N71" s="176">
        <f t="shared" ref="N71:N102" si="0">M71/I71*$I$69</f>
        <v>235.15885687732347</v>
      </c>
      <c r="O71" s="168"/>
      <c r="P71" s="168"/>
      <c r="Q71" s="168"/>
      <c r="R71" s="168"/>
      <c r="S71" s="168"/>
      <c r="T71" s="168"/>
      <c r="U71" s="168"/>
      <c r="V71" s="171"/>
      <c r="W71" s="171"/>
      <c r="X71" s="171"/>
      <c r="Y71" s="171"/>
      <c r="Z71" s="171"/>
      <c r="AA71" s="168"/>
      <c r="AB71" s="168"/>
      <c r="AC71" s="168"/>
      <c r="AD71" s="168"/>
      <c r="AE71" s="168"/>
      <c r="AF71" s="168"/>
      <c r="AG71" s="168"/>
      <c r="AH71" s="168"/>
      <c r="AI71" s="168"/>
      <c r="AJ71" s="168"/>
    </row>
    <row r="72" spans="1:36" x14ac:dyDescent="0.2">
      <c r="A72" s="171">
        <v>2</v>
      </c>
      <c r="B72" s="171"/>
      <c r="C72" s="171">
        <v>78.8</v>
      </c>
      <c r="D72" s="171">
        <v>61.3</v>
      </c>
      <c r="E72" s="171"/>
      <c r="F72" s="171"/>
      <c r="G72" s="171"/>
      <c r="H72" s="168"/>
      <c r="I72" s="176">
        <v>54.7</v>
      </c>
      <c r="J72" s="168">
        <v>2</v>
      </c>
      <c r="K72" s="168"/>
      <c r="L72" s="177">
        <v>11120</v>
      </c>
      <c r="M72" s="176">
        <v>68.900000000000006</v>
      </c>
      <c r="N72" s="176">
        <f t="shared" si="0"/>
        <v>196.98220292504575</v>
      </c>
      <c r="O72" s="168"/>
      <c r="P72" s="168"/>
      <c r="Q72" s="168"/>
      <c r="R72" s="168"/>
      <c r="S72" s="168"/>
      <c r="T72" s="168"/>
      <c r="U72" s="168"/>
      <c r="V72" s="171" t="s">
        <v>26</v>
      </c>
      <c r="W72" s="171"/>
      <c r="X72" s="178">
        <f>IF('Tab6'!C36="",'Tab6'!C35,'Tab6'!C36)</f>
        <v>8046.5419179562905</v>
      </c>
      <c r="Y72" s="178">
        <f>IF('Tab6'!D36="",'Tab6'!D35,'Tab6'!D36)</f>
        <v>7792.8489512579672</v>
      </c>
      <c r="Z72" s="178">
        <f>IF('Tab6'!E36="",'Tab6'!E35,'Tab6'!E36)</f>
        <v>8200.8739952118849</v>
      </c>
      <c r="AA72" s="168"/>
      <c r="AB72" s="168"/>
      <c r="AC72" s="168"/>
      <c r="AD72" s="168"/>
      <c r="AE72" s="168"/>
      <c r="AF72" s="168"/>
      <c r="AG72" s="168"/>
      <c r="AH72" s="168"/>
      <c r="AI72" s="168"/>
      <c r="AJ72" s="168"/>
    </row>
    <row r="73" spans="1:36" x14ac:dyDescent="0.2">
      <c r="A73" s="171">
        <v>3</v>
      </c>
      <c r="B73" s="171"/>
      <c r="C73" s="171">
        <v>84.8</v>
      </c>
      <c r="D73" s="171">
        <v>63</v>
      </c>
      <c r="E73" s="171"/>
      <c r="F73" s="171"/>
      <c r="G73" s="171"/>
      <c r="H73" s="168"/>
      <c r="I73" s="176">
        <v>55.3</v>
      </c>
      <c r="J73" s="168">
        <v>3</v>
      </c>
      <c r="K73" s="168"/>
      <c r="L73" s="177">
        <v>11918</v>
      </c>
      <c r="M73" s="176">
        <v>63.7</v>
      </c>
      <c r="N73" s="176">
        <f t="shared" si="0"/>
        <v>180.13968354430384</v>
      </c>
      <c r="O73" s="168"/>
      <c r="P73" s="168"/>
      <c r="Q73" s="168"/>
      <c r="R73" s="168"/>
      <c r="S73" s="168"/>
      <c r="T73" s="168"/>
      <c r="U73" s="168"/>
      <c r="V73" s="171"/>
      <c r="W73" s="171"/>
      <c r="X73" s="178"/>
      <c r="Y73" s="178"/>
      <c r="Z73" s="178"/>
      <c r="AA73" s="168"/>
      <c r="AB73" s="168"/>
      <c r="AC73" s="168"/>
      <c r="AD73" s="168"/>
      <c r="AE73" s="168"/>
      <c r="AF73" s="168"/>
      <c r="AG73" s="168"/>
      <c r="AH73" s="168"/>
      <c r="AI73" s="168"/>
      <c r="AJ73" s="168"/>
    </row>
    <row r="74" spans="1:36" x14ac:dyDescent="0.2">
      <c r="A74" s="171">
        <v>4</v>
      </c>
      <c r="B74" s="171"/>
      <c r="C74" s="171">
        <v>91.2</v>
      </c>
      <c r="D74" s="171">
        <v>70.8</v>
      </c>
      <c r="E74" s="171"/>
      <c r="F74" s="171"/>
      <c r="G74" s="171"/>
      <c r="H74" s="168"/>
      <c r="I74" s="176">
        <v>56.2</v>
      </c>
      <c r="J74" s="168">
        <v>4</v>
      </c>
      <c r="K74" s="168"/>
      <c r="L74" s="177">
        <v>11905</v>
      </c>
      <c r="M74" s="176">
        <v>79.3</v>
      </c>
      <c r="N74" s="176">
        <f t="shared" si="0"/>
        <v>220.664243772242</v>
      </c>
      <c r="O74" s="168"/>
      <c r="P74" s="168"/>
      <c r="Q74" s="168"/>
      <c r="R74" s="168"/>
      <c r="S74" s="168"/>
      <c r="T74" s="168"/>
      <c r="U74" s="168"/>
      <c r="V74" s="171" t="s">
        <v>63</v>
      </c>
      <c r="W74" s="171"/>
      <c r="X74" s="178">
        <f>IF('Tab6'!C36="",'Tab6'!C45+'Tab6'!C47,'Tab6'!C46+'Tab6'!C48)</f>
        <v>135.29004225738475</v>
      </c>
      <c r="Y74" s="178">
        <f>IF('Tab6'!D36="",'Tab6'!D45+'Tab6'!D47,'Tab6'!D46+'Tab6'!D48)</f>
        <v>101.86577125228784</v>
      </c>
      <c r="Z74" s="178">
        <f>IF('Tab6'!E36="",'Tab6'!E45+'Tab6'!E47,'Tab6'!E46+'Tab6'!E48)</f>
        <v>71.758625561753647</v>
      </c>
      <c r="AA74" s="168"/>
      <c r="AB74" s="168"/>
      <c r="AC74" s="168"/>
      <c r="AD74" s="168"/>
      <c r="AE74" s="168"/>
      <c r="AF74" s="168"/>
      <c r="AG74" s="168"/>
      <c r="AH74" s="168"/>
      <c r="AI74" s="168"/>
      <c r="AJ74" s="168"/>
    </row>
    <row r="75" spans="1:36" x14ac:dyDescent="0.2">
      <c r="A75" s="171">
        <v>1</v>
      </c>
      <c r="B75" s="171">
        <v>1984</v>
      </c>
      <c r="C75" s="171">
        <v>112.2</v>
      </c>
      <c r="D75" s="171">
        <v>90.4</v>
      </c>
      <c r="E75" s="171"/>
      <c r="F75" s="171"/>
      <c r="G75" s="171"/>
      <c r="H75" s="168"/>
      <c r="I75" s="176">
        <v>57.3</v>
      </c>
      <c r="J75" s="168">
        <v>1</v>
      </c>
      <c r="K75" s="168">
        <v>1984</v>
      </c>
      <c r="L75" s="177">
        <v>13205</v>
      </c>
      <c r="M75" s="176">
        <v>86.7</v>
      </c>
      <c r="N75" s="176">
        <f t="shared" si="0"/>
        <v>236.6244240837697</v>
      </c>
      <c r="O75" s="168"/>
      <c r="P75" s="168"/>
      <c r="Q75" s="168"/>
      <c r="R75" s="168"/>
      <c r="S75" s="168"/>
      <c r="T75" s="168"/>
      <c r="U75" s="168"/>
      <c r="V75" s="171" t="s">
        <v>39</v>
      </c>
      <c r="W75" s="171"/>
      <c r="X75" s="178">
        <f>IF('Tab6'!C36="",'Tab6'!C49,'Tab6'!C50)</f>
        <v>818.78967411403494</v>
      </c>
      <c r="Y75" s="178">
        <f>IF('Tab6'!D36="",'Tab6'!D49,'Tab6'!D50)</f>
        <v>892.47476714259221</v>
      </c>
      <c r="Z75" s="178">
        <f>IF('Tab6'!E36="",'Tab6'!E49,'Tab6'!E50)</f>
        <v>715.64034266029489</v>
      </c>
      <c r="AA75" s="168"/>
      <c r="AB75" s="168"/>
      <c r="AC75" s="168"/>
      <c r="AD75" s="168"/>
      <c r="AE75" s="168"/>
      <c r="AF75" s="168"/>
      <c r="AG75" s="168"/>
      <c r="AH75" s="168"/>
      <c r="AI75" s="168"/>
      <c r="AJ75" s="168"/>
    </row>
    <row r="76" spans="1:36" x14ac:dyDescent="0.2">
      <c r="A76" s="171">
        <v>2</v>
      </c>
      <c r="B76" s="171"/>
      <c r="C76" s="171">
        <v>81.8</v>
      </c>
      <c r="D76" s="171">
        <v>64.400000000000006</v>
      </c>
      <c r="E76" s="171"/>
      <c r="F76" s="171"/>
      <c r="G76" s="171"/>
      <c r="H76" s="168"/>
      <c r="I76" s="176">
        <v>58.2</v>
      </c>
      <c r="J76" s="168">
        <v>2</v>
      </c>
      <c r="K76" s="168"/>
      <c r="L76" s="177">
        <v>12453</v>
      </c>
      <c r="M76" s="176">
        <v>83.3</v>
      </c>
      <c r="N76" s="176">
        <f t="shared" si="0"/>
        <v>223.82939003436425</v>
      </c>
      <c r="O76" s="168"/>
      <c r="P76" s="168"/>
      <c r="Q76" s="168"/>
      <c r="R76" s="168"/>
      <c r="S76" s="168"/>
      <c r="T76" s="168"/>
      <c r="U76" s="168"/>
      <c r="V76" s="171" t="s">
        <v>18</v>
      </c>
      <c r="W76" s="171"/>
      <c r="X76" s="178">
        <f>IF('Tab6'!C36="",'Tab6'!C43,'Tab6'!C44)</f>
        <v>145.16111418247908</v>
      </c>
      <c r="Y76" s="178">
        <f>IF('Tab6'!D36="",'Tab6'!D43,'Tab6'!D44)</f>
        <v>264.16874485668859</v>
      </c>
      <c r="Z76" s="178">
        <f>IF('Tab6'!E36="",'Tab6'!E43,'Tab6'!E44)</f>
        <v>151.68720751265673</v>
      </c>
      <c r="AA76" s="168"/>
      <c r="AB76" s="168"/>
      <c r="AC76" s="168"/>
      <c r="AD76" s="168"/>
      <c r="AE76" s="168"/>
      <c r="AF76" s="168"/>
      <c r="AG76" s="168"/>
      <c r="AH76" s="168"/>
      <c r="AI76" s="168"/>
      <c r="AJ76" s="168"/>
    </row>
    <row r="77" spans="1:36" x14ac:dyDescent="0.2">
      <c r="A77" s="171">
        <v>3</v>
      </c>
      <c r="B77" s="171"/>
      <c r="C77" s="171">
        <v>90.4</v>
      </c>
      <c r="D77" s="171">
        <v>71.099999999999994</v>
      </c>
      <c r="E77" s="171"/>
      <c r="F77" s="171"/>
      <c r="G77" s="171"/>
      <c r="H77" s="168"/>
      <c r="I77" s="176">
        <v>58.7</v>
      </c>
      <c r="J77" s="168">
        <v>3</v>
      </c>
      <c r="K77" s="168"/>
      <c r="L77" s="177">
        <v>12278</v>
      </c>
      <c r="M77" s="176">
        <v>83.3</v>
      </c>
      <c r="N77" s="176">
        <f t="shared" si="0"/>
        <v>221.92283645655877</v>
      </c>
      <c r="O77" s="168"/>
      <c r="P77" s="168"/>
      <c r="Q77" s="168"/>
      <c r="R77" s="168"/>
      <c r="S77" s="168"/>
      <c r="T77" s="168"/>
      <c r="U77" s="168"/>
      <c r="V77" s="171" t="s">
        <v>82</v>
      </c>
      <c r="W77" s="171"/>
      <c r="X77" s="178">
        <f>IF('Tab6'!C36="",'Tab6'!C37+'Tab6'!C39,'Tab6'!C38+'Tab6'!C40)</f>
        <v>778.14138494012479</v>
      </c>
      <c r="Y77" s="178">
        <f>IF('Tab6'!D36="",'Tab6'!D37+'Tab6'!D39,'Tab6'!D38+'Tab6'!D40)</f>
        <v>670.14627801227562</v>
      </c>
      <c r="Z77" s="178">
        <f>IF('Tab6'!E36="",'Tab6'!E37+'Tab6'!E39,'Tab6'!E38+'Tab6'!E40)</f>
        <v>678.80503555767564</v>
      </c>
      <c r="AA77" s="168"/>
      <c r="AB77" s="168"/>
      <c r="AC77" s="168"/>
      <c r="AD77" s="168"/>
      <c r="AE77" s="168"/>
      <c r="AF77" s="168"/>
      <c r="AG77" s="168"/>
      <c r="AH77" s="168"/>
      <c r="AI77" s="168"/>
      <c r="AJ77" s="168"/>
    </row>
    <row r="78" spans="1:36" x14ac:dyDescent="0.2">
      <c r="A78" s="171">
        <v>4</v>
      </c>
      <c r="B78" s="171"/>
      <c r="C78" s="171">
        <v>92.9</v>
      </c>
      <c r="D78" s="171">
        <v>73.900000000000006</v>
      </c>
      <c r="E78" s="171"/>
      <c r="F78" s="171"/>
      <c r="G78" s="171"/>
      <c r="H78" s="168"/>
      <c r="I78" s="176">
        <v>59.6</v>
      </c>
      <c r="J78" s="168">
        <v>4</v>
      </c>
      <c r="K78" s="168"/>
      <c r="L78" s="177">
        <v>11449</v>
      </c>
      <c r="M78" s="176">
        <v>94.6</v>
      </c>
      <c r="N78" s="176">
        <f t="shared" si="0"/>
        <v>248.22182885906039</v>
      </c>
      <c r="O78" s="168"/>
      <c r="P78" s="168"/>
      <c r="Q78" s="168"/>
      <c r="R78" s="168"/>
      <c r="S78" s="168"/>
      <c r="T78" s="168"/>
      <c r="U78" s="168"/>
      <c r="V78" s="171" t="s">
        <v>83</v>
      </c>
      <c r="W78" s="171"/>
      <c r="X78" s="179">
        <f>X72-X77-X76-X75-X74</f>
        <v>6169.159702462267</v>
      </c>
      <c r="Y78" s="179">
        <f>Y72-Y77-Y76-Y75-Y74</f>
        <v>5864.1933899941223</v>
      </c>
      <c r="Z78" s="179">
        <f>Z72-Z77-Z76-Z75-Z74</f>
        <v>6582.9827839195041</v>
      </c>
      <c r="AA78" s="168"/>
      <c r="AB78" s="168"/>
      <c r="AC78" s="168"/>
      <c r="AD78" s="168"/>
      <c r="AE78" s="168"/>
      <c r="AF78" s="168"/>
      <c r="AG78" s="168"/>
      <c r="AH78" s="168"/>
      <c r="AI78" s="168"/>
      <c r="AJ78" s="168"/>
    </row>
    <row r="79" spans="1:36" x14ac:dyDescent="0.2">
      <c r="A79" s="171">
        <v>1</v>
      </c>
      <c r="B79" s="171">
        <v>1985</v>
      </c>
      <c r="C79" s="171">
        <v>123.4</v>
      </c>
      <c r="D79" s="171">
        <v>100.8</v>
      </c>
      <c r="E79" s="171"/>
      <c r="F79" s="171"/>
      <c r="G79" s="171"/>
      <c r="H79" s="168"/>
      <c r="I79" s="176">
        <v>60.4</v>
      </c>
      <c r="J79" s="168">
        <v>1</v>
      </c>
      <c r="K79" s="168">
        <v>1985</v>
      </c>
      <c r="L79" s="177">
        <v>16918</v>
      </c>
      <c r="M79" s="176">
        <v>103.6</v>
      </c>
      <c r="N79" s="176">
        <f t="shared" si="0"/>
        <v>268.23652317880794</v>
      </c>
      <c r="O79" s="168"/>
      <c r="P79" s="168"/>
      <c r="Q79" s="168"/>
      <c r="R79" s="168"/>
      <c r="S79" s="168"/>
      <c r="T79" s="168"/>
      <c r="U79" s="168"/>
      <c r="V79" s="171"/>
      <c r="W79" s="171"/>
      <c r="X79" s="171"/>
      <c r="Y79" s="171"/>
      <c r="Z79" s="171"/>
      <c r="AA79" s="168"/>
      <c r="AB79" s="168"/>
      <c r="AC79" s="168"/>
      <c r="AD79" s="168"/>
      <c r="AE79" s="168"/>
      <c r="AF79" s="168"/>
      <c r="AG79" s="168"/>
      <c r="AH79" s="168"/>
      <c r="AI79" s="168"/>
      <c r="AJ79" s="168"/>
    </row>
    <row r="80" spans="1:36" x14ac:dyDescent="0.2">
      <c r="A80" s="171">
        <v>2</v>
      </c>
      <c r="B80" s="171"/>
      <c r="C80" s="171">
        <v>102</v>
      </c>
      <c r="D80" s="171">
        <v>81.099999999999994</v>
      </c>
      <c r="E80" s="171"/>
      <c r="F80" s="171"/>
      <c r="G80" s="171"/>
      <c r="H80" s="168"/>
      <c r="I80" s="176">
        <v>61.5</v>
      </c>
      <c r="J80" s="168">
        <v>2</v>
      </c>
      <c r="K80" s="168"/>
      <c r="L80" s="177">
        <v>14237</v>
      </c>
      <c r="M80" s="176">
        <v>115.3</v>
      </c>
      <c r="N80" s="176">
        <f t="shared" si="0"/>
        <v>293.19008943089432</v>
      </c>
      <c r="O80" s="168"/>
      <c r="P80" s="168"/>
      <c r="Q80" s="168"/>
      <c r="R80" s="168"/>
      <c r="S80" s="168"/>
      <c r="T80" s="168"/>
      <c r="U80" s="168"/>
      <c r="V80" s="170" t="s">
        <v>162</v>
      </c>
      <c r="W80" s="171"/>
      <c r="X80" s="171"/>
      <c r="Y80" s="171"/>
      <c r="Z80" s="168"/>
      <c r="AA80" s="168"/>
      <c r="AB80" s="168"/>
      <c r="AC80" s="168"/>
      <c r="AD80" s="168"/>
      <c r="AE80" s="168"/>
      <c r="AF80" s="168"/>
      <c r="AG80" s="168"/>
      <c r="AH80" s="168"/>
      <c r="AI80" s="168"/>
      <c r="AJ80" s="168"/>
    </row>
    <row r="81" spans="1:36" x14ac:dyDescent="0.2">
      <c r="A81" s="171">
        <v>3</v>
      </c>
      <c r="B81" s="171"/>
      <c r="C81" s="171">
        <v>108.4</v>
      </c>
      <c r="D81" s="171">
        <v>86</v>
      </c>
      <c r="E81" s="171"/>
      <c r="F81" s="171"/>
      <c r="G81" s="171"/>
      <c r="H81" s="168"/>
      <c r="I81" s="176">
        <v>62</v>
      </c>
      <c r="J81" s="168">
        <v>3</v>
      </c>
      <c r="K81" s="168"/>
      <c r="L81" s="177">
        <v>14329</v>
      </c>
      <c r="M81" s="176">
        <v>103</v>
      </c>
      <c r="N81" s="176">
        <f t="shared" si="0"/>
        <v>259.80088709677426</v>
      </c>
      <c r="O81" s="168"/>
      <c r="P81" s="168"/>
      <c r="Q81" s="168"/>
      <c r="R81" s="168"/>
      <c r="S81" s="168"/>
      <c r="T81" s="168"/>
      <c r="U81" s="168"/>
      <c r="V81" s="171"/>
      <c r="W81" s="171"/>
      <c r="X81" s="171"/>
      <c r="Y81" s="171"/>
      <c r="Z81" s="168"/>
      <c r="AA81" s="168"/>
      <c r="AB81" s="168"/>
      <c r="AC81" s="168"/>
      <c r="AD81" s="168"/>
      <c r="AE81" s="168"/>
      <c r="AF81" s="168"/>
      <c r="AG81" s="168"/>
      <c r="AH81" s="168"/>
      <c r="AI81" s="168"/>
      <c r="AJ81" s="168"/>
    </row>
    <row r="82" spans="1:36" x14ac:dyDescent="0.2">
      <c r="A82" s="171">
        <v>4</v>
      </c>
      <c r="B82" s="171"/>
      <c r="C82" s="171">
        <v>109.6</v>
      </c>
      <c r="D82" s="171">
        <v>87.1</v>
      </c>
      <c r="E82" s="171"/>
      <c r="F82" s="171"/>
      <c r="G82" s="171"/>
      <c r="H82" s="168"/>
      <c r="I82" s="176">
        <v>63</v>
      </c>
      <c r="J82" s="168">
        <v>4</v>
      </c>
      <c r="K82" s="168"/>
      <c r="L82" s="177">
        <v>13060</v>
      </c>
      <c r="M82" s="176">
        <v>118.7</v>
      </c>
      <c r="N82" s="176">
        <f t="shared" si="0"/>
        <v>294.64919841269847</v>
      </c>
      <c r="O82" s="168"/>
      <c r="P82" s="168"/>
      <c r="Q82" s="168"/>
      <c r="R82" s="168"/>
      <c r="S82" s="168"/>
      <c r="T82" s="168"/>
      <c r="U82" s="168"/>
      <c r="V82" s="171"/>
      <c r="W82" s="175" t="str">
        <f>+'Tab4'!C6</f>
        <v>2019</v>
      </c>
      <c r="X82" s="175" t="str">
        <f>+'Tab4'!D6</f>
        <v>2020</v>
      </c>
      <c r="Y82" s="175" t="str">
        <f>+'Tab4'!E6</f>
        <v>2021</v>
      </c>
      <c r="Z82" s="168"/>
      <c r="AA82" s="168"/>
      <c r="AB82" s="168"/>
      <c r="AC82" s="168"/>
      <c r="AD82" s="168"/>
      <c r="AE82" s="168"/>
      <c r="AF82" s="168"/>
      <c r="AG82" s="168"/>
      <c r="AH82" s="168"/>
      <c r="AI82" s="168"/>
      <c r="AJ82" s="168"/>
    </row>
    <row r="83" spans="1:36" x14ac:dyDescent="0.2">
      <c r="A83" s="171">
        <v>1</v>
      </c>
      <c r="B83" s="171">
        <v>1986</v>
      </c>
      <c r="C83" s="171">
        <v>141</v>
      </c>
      <c r="D83" s="171">
        <v>115.2</v>
      </c>
      <c r="E83" s="171"/>
      <c r="F83" s="171"/>
      <c r="G83" s="171"/>
      <c r="H83" s="168"/>
      <c r="I83" s="176">
        <v>64</v>
      </c>
      <c r="J83" s="168">
        <v>1</v>
      </c>
      <c r="K83" s="168">
        <v>1986</v>
      </c>
      <c r="L83" s="177">
        <v>14314</v>
      </c>
      <c r="M83" s="176">
        <v>111.8</v>
      </c>
      <c r="N83" s="176">
        <f t="shared" si="0"/>
        <v>273.18504687500001</v>
      </c>
      <c r="O83" s="168"/>
      <c r="P83" s="168"/>
      <c r="Q83" s="168"/>
      <c r="R83" s="168"/>
      <c r="S83" s="168"/>
      <c r="T83" s="168"/>
      <c r="U83" s="168"/>
      <c r="V83" s="171" t="s">
        <v>84</v>
      </c>
      <c r="W83" s="178">
        <f>IF('Tab4'!C14="",'Tab4'!C13,'Tab4'!C14)</f>
        <v>4062.097701355669</v>
      </c>
      <c r="X83" s="178">
        <f>IF('Tab4'!D14="",'Tab4'!D13,'Tab4'!D14)</f>
        <v>4291.2065040304733</v>
      </c>
      <c r="Y83" s="178">
        <f>IF('Tab4'!E14="",'Tab4'!E13,'Tab4'!E14)</f>
        <v>4964.3175105394348</v>
      </c>
      <c r="Z83" s="168"/>
      <c r="AA83" s="168"/>
      <c r="AB83" s="168"/>
      <c r="AC83" s="168"/>
      <c r="AD83" s="168"/>
      <c r="AE83" s="168"/>
      <c r="AF83" s="168"/>
      <c r="AG83" s="168"/>
      <c r="AH83" s="168"/>
      <c r="AI83" s="168"/>
      <c r="AJ83" s="168"/>
    </row>
    <row r="84" spans="1:36" x14ac:dyDescent="0.2">
      <c r="A84" s="171">
        <v>2</v>
      </c>
      <c r="B84" s="171"/>
      <c r="C84" s="171">
        <v>120.5</v>
      </c>
      <c r="D84" s="171">
        <v>93.2</v>
      </c>
      <c r="E84" s="171"/>
      <c r="F84" s="171"/>
      <c r="G84" s="171"/>
      <c r="H84" s="168"/>
      <c r="I84" s="176">
        <v>65</v>
      </c>
      <c r="J84" s="168">
        <v>2</v>
      </c>
      <c r="K84" s="168"/>
      <c r="L84" s="177">
        <v>13505</v>
      </c>
      <c r="M84" s="176">
        <v>121.5</v>
      </c>
      <c r="N84" s="176">
        <f t="shared" si="0"/>
        <v>292.31965384615387</v>
      </c>
      <c r="O84" s="168"/>
      <c r="P84" s="168"/>
      <c r="Q84" s="168"/>
      <c r="R84" s="168"/>
      <c r="S84" s="168"/>
      <c r="T84" s="168"/>
      <c r="U84" s="168"/>
      <c r="V84" s="171" t="s">
        <v>169</v>
      </c>
      <c r="W84" s="178">
        <f>IF('Tab4'!C16="",'Tab4'!C15,'Tab4'!C16)</f>
        <v>3198.9516949800391</v>
      </c>
      <c r="X84" s="178">
        <f>IF('Tab4'!D16="",'Tab4'!D15,'Tab4'!D16)</f>
        <v>3215.9968028142866</v>
      </c>
      <c r="Y84" s="178">
        <f>IF('Tab4'!E16="",'Tab4'!E15,'Tab4'!E16)</f>
        <v>3185.2108121119513</v>
      </c>
      <c r="Z84" s="168"/>
      <c r="AA84" s="168"/>
      <c r="AB84" s="168"/>
      <c r="AC84" s="168"/>
      <c r="AD84" s="168"/>
      <c r="AE84" s="168"/>
      <c r="AF84" s="168"/>
      <c r="AG84" s="168"/>
      <c r="AH84" s="168"/>
      <c r="AI84" s="168"/>
      <c r="AJ84" s="168"/>
    </row>
    <row r="85" spans="1:36" x14ac:dyDescent="0.2">
      <c r="A85" s="171">
        <v>3</v>
      </c>
      <c r="B85" s="171"/>
      <c r="C85" s="171">
        <v>115.7</v>
      </c>
      <c r="D85" s="171">
        <v>91.1</v>
      </c>
      <c r="E85" s="171"/>
      <c r="F85" s="171"/>
      <c r="G85" s="171"/>
      <c r="H85" s="168"/>
      <c r="I85" s="176">
        <v>67</v>
      </c>
      <c r="J85" s="168">
        <v>3</v>
      </c>
      <c r="K85" s="168"/>
      <c r="L85" s="177">
        <v>12132</v>
      </c>
      <c r="M85" s="176">
        <v>100.8</v>
      </c>
      <c r="N85" s="176">
        <f t="shared" si="0"/>
        <v>235.27773134328362</v>
      </c>
      <c r="O85" s="168"/>
      <c r="P85" s="168"/>
      <c r="Q85" s="168"/>
      <c r="R85" s="168"/>
      <c r="S85" s="168"/>
      <c r="T85" s="168"/>
      <c r="U85" s="168"/>
      <c r="V85" s="171" t="s">
        <v>7</v>
      </c>
      <c r="W85" s="178">
        <f>IF('Tab4'!C18="",'Tab4'!C17,'Tab4'!C18)</f>
        <v>1082.4285095044327</v>
      </c>
      <c r="X85" s="178">
        <f>IF('Tab4'!D18="",'Tab4'!D17,'Tab4'!D18)</f>
        <v>917.48112890574225</v>
      </c>
      <c r="Y85" s="178">
        <f>IF('Tab4'!E18="",'Tab4'!E17,'Tab4'!E18)</f>
        <v>934.05641670497062</v>
      </c>
      <c r="Z85" s="168"/>
      <c r="AA85" s="168"/>
      <c r="AB85" s="168"/>
      <c r="AC85" s="168"/>
      <c r="AD85" s="168"/>
      <c r="AE85" s="168"/>
      <c r="AF85" s="168"/>
      <c r="AG85" s="168"/>
      <c r="AH85" s="168"/>
      <c r="AI85" s="168"/>
      <c r="AJ85" s="168"/>
    </row>
    <row r="86" spans="1:36" x14ac:dyDescent="0.2">
      <c r="A86" s="171">
        <v>4</v>
      </c>
      <c r="B86" s="171"/>
      <c r="C86" s="171">
        <v>114.4</v>
      </c>
      <c r="D86" s="171">
        <v>90.8</v>
      </c>
      <c r="E86" s="171"/>
      <c r="F86" s="171"/>
      <c r="G86" s="171"/>
      <c r="H86" s="168"/>
      <c r="I86" s="176">
        <v>68.5</v>
      </c>
      <c r="J86" s="168">
        <v>4</v>
      </c>
      <c r="K86" s="168"/>
      <c r="L86" s="177">
        <v>11763</v>
      </c>
      <c r="M86" s="176">
        <v>120.6</v>
      </c>
      <c r="N86" s="176">
        <f t="shared" si="0"/>
        <v>275.32891970802922</v>
      </c>
      <c r="O86" s="168"/>
      <c r="P86" s="168"/>
      <c r="Q86" s="168"/>
      <c r="R86" s="168"/>
      <c r="S86" s="168"/>
      <c r="T86" s="168"/>
      <c r="U86" s="168"/>
      <c r="V86" s="168" t="s">
        <v>8</v>
      </c>
      <c r="W86" s="178">
        <f>IF('Tab4'!C20="",'Tab4'!C19,'Tab4'!C20)</f>
        <v>844.52767250232239</v>
      </c>
      <c r="X86" s="178">
        <f>IF('Tab4'!D20="",'Tab4'!D19,'Tab4'!D20)</f>
        <v>966.10268894516707</v>
      </c>
      <c r="Y86" s="178">
        <f>IF('Tab4'!E20="",'Tab4'!E19,'Tab4'!E20)</f>
        <v>1230.7896372137748</v>
      </c>
      <c r="Z86" s="168"/>
      <c r="AA86" s="168"/>
      <c r="AB86" s="168"/>
      <c r="AC86" s="168"/>
      <c r="AD86" s="168"/>
      <c r="AE86" s="168"/>
      <c r="AF86" s="168"/>
      <c r="AG86" s="168"/>
      <c r="AH86" s="168"/>
      <c r="AI86" s="168"/>
      <c r="AJ86" s="168"/>
    </row>
    <row r="87" spans="1:36" x14ac:dyDescent="0.2">
      <c r="A87" s="171">
        <v>1</v>
      </c>
      <c r="B87" s="171">
        <v>1987</v>
      </c>
      <c r="C87" s="171">
        <v>152.19999999999999</v>
      </c>
      <c r="D87" s="171">
        <v>121.3</v>
      </c>
      <c r="E87" s="171"/>
      <c r="F87" s="171"/>
      <c r="G87" s="171"/>
      <c r="H87" s="168"/>
      <c r="I87" s="176">
        <v>70.5</v>
      </c>
      <c r="J87" s="168">
        <v>1</v>
      </c>
      <c r="K87" s="168">
        <v>1987</v>
      </c>
      <c r="L87" s="177">
        <v>17280</v>
      </c>
      <c r="M87" s="176">
        <v>135.6</v>
      </c>
      <c r="N87" s="176">
        <f t="shared" si="0"/>
        <v>300.79157446808512</v>
      </c>
      <c r="O87" s="168"/>
      <c r="P87" s="168"/>
      <c r="Q87" s="168"/>
      <c r="R87" s="168"/>
      <c r="S87" s="168"/>
      <c r="T87" s="168"/>
      <c r="U87" s="168"/>
      <c r="V87" s="171" t="s">
        <v>9</v>
      </c>
      <c r="W87" s="178">
        <f>IF('Tab4'!C20="",'Tab4'!C21,'Tab4'!C22)</f>
        <v>305.60577524503333</v>
      </c>
      <c r="X87" s="178">
        <f>IF('Tab4'!D20="",'Tab4'!D21,'Tab4'!D22)</f>
        <v>401.42631068577151</v>
      </c>
      <c r="Y87" s="178">
        <f>IF('Tab4'!E20="",'Tab4'!E21,'Tab4'!E22)</f>
        <v>485.77042894766703</v>
      </c>
      <c r="Z87" s="168"/>
      <c r="AA87" s="168"/>
      <c r="AB87" s="168"/>
      <c r="AC87" s="168"/>
      <c r="AD87" s="168"/>
      <c r="AE87" s="168"/>
      <c r="AF87" s="168"/>
      <c r="AG87" s="168"/>
      <c r="AH87" s="168"/>
      <c r="AI87" s="168"/>
      <c r="AJ87" s="168"/>
    </row>
    <row r="88" spans="1:36" x14ac:dyDescent="0.2">
      <c r="A88" s="171">
        <v>2</v>
      </c>
      <c r="B88" s="171"/>
      <c r="C88" s="171">
        <v>109.2</v>
      </c>
      <c r="D88" s="171">
        <v>86.1</v>
      </c>
      <c r="E88" s="171"/>
      <c r="F88" s="171"/>
      <c r="G88" s="171"/>
      <c r="H88" s="168"/>
      <c r="I88" s="176">
        <v>71.599999999999994</v>
      </c>
      <c r="J88" s="168">
        <v>2</v>
      </c>
      <c r="K88" s="168"/>
      <c r="L88" s="177">
        <v>12241</v>
      </c>
      <c r="M88" s="176">
        <v>135.9</v>
      </c>
      <c r="N88" s="176">
        <f t="shared" si="0"/>
        <v>296.82571927374306</v>
      </c>
      <c r="O88" s="168"/>
      <c r="P88" s="168"/>
      <c r="Q88" s="168"/>
      <c r="R88" s="168"/>
      <c r="S88" s="168"/>
      <c r="T88" s="168"/>
      <c r="U88" s="168"/>
      <c r="V88" s="171" t="s">
        <v>10</v>
      </c>
      <c r="W88" s="178">
        <f>IF('Tab4'!C22="",'Tab4'!C29,'Tab4'!C30)</f>
        <v>1164.6768455025992</v>
      </c>
      <c r="X88" s="178">
        <f>IF('Tab4'!D22="",'Tab4'!D29,'Tab4'!D30)</f>
        <v>1893.5409275796746</v>
      </c>
      <c r="Y88" s="178">
        <f>IF('Tab4'!E22="",'Tab4'!E29,'Tab4'!E30)</f>
        <v>225.66951530811212</v>
      </c>
      <c r="Z88" s="168"/>
      <c r="AA88" s="168"/>
      <c r="AB88" s="168"/>
      <c r="AC88" s="168"/>
      <c r="AD88" s="168"/>
      <c r="AE88" s="168"/>
      <c r="AF88" s="168"/>
      <c r="AG88" s="168"/>
      <c r="AH88" s="168"/>
      <c r="AI88" s="168"/>
      <c r="AJ88" s="168"/>
    </row>
    <row r="89" spans="1:36" x14ac:dyDescent="0.2">
      <c r="A89" s="171">
        <v>3</v>
      </c>
      <c r="B89" s="171"/>
      <c r="C89" s="171">
        <v>110.1</v>
      </c>
      <c r="D89" s="171">
        <v>87.3</v>
      </c>
      <c r="E89" s="171"/>
      <c r="F89" s="171"/>
      <c r="G89" s="171"/>
      <c r="H89" s="168"/>
      <c r="I89" s="176">
        <v>72.3</v>
      </c>
      <c r="J89" s="168">
        <v>3</v>
      </c>
      <c r="K89" s="168"/>
      <c r="L89" s="177">
        <v>11506</v>
      </c>
      <c r="M89" s="176">
        <v>112.3</v>
      </c>
      <c r="N89" s="176">
        <f t="shared" si="0"/>
        <v>242.90505532503462</v>
      </c>
      <c r="O89" s="168"/>
      <c r="P89" s="168"/>
      <c r="Q89" s="168"/>
      <c r="R89" s="168"/>
      <c r="S89" s="168"/>
      <c r="T89" s="168"/>
      <c r="U89" s="168"/>
      <c r="V89" s="171" t="s">
        <v>11</v>
      </c>
      <c r="W89" s="178">
        <f>IF('Tab4'!C30="",'Tab4'!C31,'Tab4'!C32)</f>
        <v>210.51216448811601</v>
      </c>
      <c r="X89" s="178">
        <f>IF('Tab4'!D30="",'Tab4'!D31,'Tab4'!D32)</f>
        <v>262.93120032699858</v>
      </c>
      <c r="Y89" s="178">
        <f>IF('Tab4'!E30="",'Tab4'!E31,'Tab4'!E32)</f>
        <v>246.51905838508478</v>
      </c>
      <c r="Z89" s="168"/>
      <c r="AA89" s="168"/>
      <c r="AB89" s="168"/>
      <c r="AC89" s="168"/>
      <c r="AD89" s="168"/>
      <c r="AE89" s="168"/>
      <c r="AF89" s="168"/>
      <c r="AG89" s="168"/>
      <c r="AH89" s="168"/>
      <c r="AI89" s="168"/>
      <c r="AJ89" s="168"/>
    </row>
    <row r="90" spans="1:36" x14ac:dyDescent="0.2">
      <c r="A90" s="171">
        <v>4</v>
      </c>
      <c r="B90" s="171"/>
      <c r="C90" s="171">
        <v>112</v>
      </c>
      <c r="D90" s="171">
        <v>89.8</v>
      </c>
      <c r="E90" s="171"/>
      <c r="F90" s="171"/>
      <c r="G90" s="171"/>
      <c r="H90" s="168"/>
      <c r="I90" s="176">
        <v>73.599999999999994</v>
      </c>
      <c r="J90" s="168">
        <v>4</v>
      </c>
      <c r="K90" s="168"/>
      <c r="L90" s="177">
        <v>12860</v>
      </c>
      <c r="M90" s="176">
        <v>134.5</v>
      </c>
      <c r="N90" s="176">
        <f t="shared" si="0"/>
        <v>285.78508831521742</v>
      </c>
      <c r="O90" s="168"/>
      <c r="P90" s="168"/>
      <c r="Q90" s="168"/>
      <c r="R90" s="168"/>
      <c r="S90" s="168"/>
      <c r="T90" s="168"/>
      <c r="U90" s="168"/>
      <c r="V90" s="171" t="s">
        <v>12</v>
      </c>
      <c r="W90" s="178">
        <f>IF('Tab4'!C32="",'Tab4'!C33,'Tab4'!C34)</f>
        <v>585.27563423107085</v>
      </c>
      <c r="X90" s="178">
        <f>IF('Tab4'!D32="",'Tab4'!D33,'Tab4'!D34)</f>
        <v>651.86936651844553</v>
      </c>
      <c r="Y90" s="178">
        <f>IF('Tab4'!E32="",'Tab4'!E33,'Tab4'!E34)</f>
        <v>780.01778428583316</v>
      </c>
      <c r="Z90" s="168"/>
      <c r="AA90" s="168"/>
      <c r="AB90" s="168"/>
      <c r="AC90" s="168"/>
      <c r="AD90" s="168"/>
      <c r="AE90" s="168"/>
      <c r="AF90" s="168"/>
      <c r="AG90" s="168"/>
      <c r="AH90" s="168"/>
      <c r="AI90" s="168"/>
      <c r="AJ90" s="168"/>
    </row>
    <row r="91" spans="1:36" x14ac:dyDescent="0.2">
      <c r="A91" s="171">
        <v>1</v>
      </c>
      <c r="B91" s="171">
        <v>1988</v>
      </c>
      <c r="C91" s="171">
        <v>134.1</v>
      </c>
      <c r="D91" s="171">
        <v>107.5</v>
      </c>
      <c r="E91" s="171"/>
      <c r="F91" s="171"/>
      <c r="G91" s="171"/>
      <c r="H91" s="168"/>
      <c r="I91" s="176">
        <v>75.2</v>
      </c>
      <c r="J91" s="168">
        <v>1</v>
      </c>
      <c r="K91" s="168">
        <v>1988</v>
      </c>
      <c r="L91" s="177">
        <v>10180</v>
      </c>
      <c r="M91" s="176">
        <v>130.80000000000001</v>
      </c>
      <c r="N91" s="176">
        <f t="shared" si="0"/>
        <v>272.01007978723408</v>
      </c>
      <c r="O91" s="168"/>
      <c r="P91" s="168"/>
      <c r="Q91" s="168"/>
      <c r="R91" s="168"/>
      <c r="S91" s="168"/>
      <c r="T91" s="168"/>
      <c r="U91" s="168"/>
      <c r="V91" s="171" t="s">
        <v>13</v>
      </c>
      <c r="W91" s="178">
        <f>IF('Tab4'!C34="",'Tab4'!C35,'Tab4'!C36)</f>
        <v>235.6731699503423</v>
      </c>
      <c r="X91" s="178">
        <f>IF('Tab4'!D34="",'Tab4'!D35,'Tab4'!D36)</f>
        <v>94.89232920539061</v>
      </c>
      <c r="Y91" s="178">
        <f>IF('Tab4'!E34="",'Tab4'!E35,'Tab4'!E36)</f>
        <v>113.79724607921291</v>
      </c>
      <c r="Z91" s="168"/>
      <c r="AA91" s="168"/>
      <c r="AB91" s="168"/>
      <c r="AC91" s="168"/>
      <c r="AD91" s="168"/>
      <c r="AE91" s="168"/>
      <c r="AF91" s="168"/>
      <c r="AG91" s="168"/>
      <c r="AH91" s="168"/>
      <c r="AI91" s="168"/>
      <c r="AJ91" s="168"/>
    </row>
    <row r="92" spans="1:36" x14ac:dyDescent="0.2">
      <c r="A92" s="171">
        <v>2</v>
      </c>
      <c r="B92" s="171"/>
      <c r="C92" s="171">
        <v>113.7</v>
      </c>
      <c r="D92" s="171">
        <v>90</v>
      </c>
      <c r="E92" s="171"/>
      <c r="F92" s="171"/>
      <c r="G92" s="171"/>
      <c r="H92" s="168"/>
      <c r="I92" s="176">
        <v>76.7</v>
      </c>
      <c r="J92" s="168">
        <v>2</v>
      </c>
      <c r="K92" s="168"/>
      <c r="L92" s="177">
        <v>11081</v>
      </c>
      <c r="M92" s="176">
        <v>95.1</v>
      </c>
      <c r="N92" s="176">
        <f t="shared" si="0"/>
        <v>193.90108865710562</v>
      </c>
      <c r="O92" s="168"/>
      <c r="P92" s="168"/>
      <c r="Q92" s="168"/>
      <c r="R92" s="168"/>
      <c r="S92" s="168"/>
      <c r="T92" s="168"/>
      <c r="U92" s="168"/>
      <c r="V92" s="171" t="s">
        <v>14</v>
      </c>
      <c r="W92" s="178">
        <f>IF('Tab4'!C38="",'Tab4'!C37,'Tab4'!C38)</f>
        <v>512.81725711120714</v>
      </c>
      <c r="X92" s="178">
        <f>IF('Tab4'!D38="",'Tab4'!D37,'Tab4'!D38)</f>
        <v>662.49776396796972</v>
      </c>
      <c r="Y92" s="178">
        <f>IF('Tab4'!E38="",'Tab4'!E37,'Tab4'!E38)</f>
        <v>628.90855637301138</v>
      </c>
      <c r="Z92" s="168"/>
      <c r="AA92" s="168"/>
      <c r="AB92" s="168"/>
      <c r="AC92" s="168"/>
      <c r="AD92" s="168"/>
      <c r="AE92" s="168"/>
      <c r="AF92" s="168"/>
      <c r="AG92" s="168"/>
      <c r="AH92" s="168"/>
      <c r="AI92" s="168"/>
      <c r="AJ92" s="168"/>
    </row>
    <row r="93" spans="1:36" x14ac:dyDescent="0.2">
      <c r="A93" s="171">
        <v>3</v>
      </c>
      <c r="B93" s="171"/>
      <c r="C93" s="171">
        <v>116.3</v>
      </c>
      <c r="D93" s="171">
        <v>93.1</v>
      </c>
      <c r="E93" s="171"/>
      <c r="F93" s="171"/>
      <c r="G93" s="171"/>
      <c r="H93" s="168"/>
      <c r="I93" s="176">
        <v>77</v>
      </c>
      <c r="J93" s="168">
        <v>3</v>
      </c>
      <c r="K93" s="168"/>
      <c r="L93" s="177">
        <v>15987</v>
      </c>
      <c r="M93" s="176">
        <v>148.69999999999999</v>
      </c>
      <c r="N93" s="176">
        <f t="shared" si="0"/>
        <v>302.00583766233768</v>
      </c>
      <c r="O93" s="168"/>
      <c r="P93" s="168"/>
      <c r="Q93" s="168"/>
      <c r="R93" s="168"/>
      <c r="S93" s="168"/>
      <c r="T93" s="168"/>
      <c r="U93" s="168"/>
      <c r="V93" s="171" t="s">
        <v>85</v>
      </c>
      <c r="W93" s="179">
        <f>SUM(W83:W92)</f>
        <v>12202.566424870833</v>
      </c>
      <c r="X93" s="179">
        <f>SUM(X83:X92)</f>
        <v>13357.945022979919</v>
      </c>
      <c r="Y93" s="179">
        <f>SUM(Y83:Y92)</f>
        <v>12795.056965949056</v>
      </c>
      <c r="Z93" s="168"/>
      <c r="AA93" s="168"/>
      <c r="AB93" s="168"/>
      <c r="AC93" s="168"/>
      <c r="AD93" s="168"/>
      <c r="AE93" s="168"/>
      <c r="AF93" s="168"/>
      <c r="AG93" s="168"/>
      <c r="AH93" s="168"/>
      <c r="AI93" s="168"/>
      <c r="AJ93" s="168"/>
    </row>
    <row r="94" spans="1:36" x14ac:dyDescent="0.2">
      <c r="A94" s="171">
        <v>4</v>
      </c>
      <c r="B94" s="171"/>
      <c r="C94" s="171">
        <v>115.2</v>
      </c>
      <c r="D94" s="171">
        <v>93.4</v>
      </c>
      <c r="E94" s="171"/>
      <c r="F94" s="171"/>
      <c r="G94" s="171"/>
      <c r="H94" s="168"/>
      <c r="I94" s="176">
        <v>78.099999999999994</v>
      </c>
      <c r="J94" s="168">
        <v>4</v>
      </c>
      <c r="K94" s="168"/>
      <c r="L94" s="177">
        <v>12493</v>
      </c>
      <c r="M94" s="176">
        <v>199.8</v>
      </c>
      <c r="N94" s="176">
        <f t="shared" si="0"/>
        <v>400.0732778489118</v>
      </c>
      <c r="O94" s="168"/>
      <c r="P94" s="168"/>
      <c r="Q94" s="168"/>
      <c r="R94" s="168"/>
      <c r="S94" s="168"/>
      <c r="T94" s="168"/>
      <c r="U94" s="168"/>
      <c r="V94" s="171"/>
      <c r="W94" s="171"/>
      <c r="X94" s="171"/>
      <c r="Y94" s="171"/>
      <c r="Z94" s="168"/>
      <c r="AA94" s="168"/>
      <c r="AB94" s="168"/>
      <c r="AC94" s="168"/>
      <c r="AD94" s="168"/>
      <c r="AE94" s="168"/>
      <c r="AF94" s="168"/>
      <c r="AG94" s="168"/>
      <c r="AH94" s="168"/>
      <c r="AI94" s="168"/>
      <c r="AJ94" s="168"/>
    </row>
    <row r="95" spans="1:36" x14ac:dyDescent="0.2">
      <c r="A95" s="171">
        <v>1</v>
      </c>
      <c r="B95" s="171">
        <v>1989</v>
      </c>
      <c r="C95" s="171">
        <v>106.6</v>
      </c>
      <c r="D95" s="171">
        <v>86.4</v>
      </c>
      <c r="E95" s="171"/>
      <c r="F95" s="171"/>
      <c r="G95" s="171"/>
      <c r="H95" s="168"/>
      <c r="I95" s="176">
        <v>78.900000000000006</v>
      </c>
      <c r="J95" s="168">
        <v>1</v>
      </c>
      <c r="K95" s="168">
        <v>1989</v>
      </c>
      <c r="L95" s="177">
        <v>10988</v>
      </c>
      <c r="M95" s="176">
        <v>142.6</v>
      </c>
      <c r="N95" s="176">
        <f t="shared" si="0"/>
        <v>282.64259822560206</v>
      </c>
      <c r="O95" s="168"/>
      <c r="P95" s="168"/>
      <c r="Q95" s="168"/>
      <c r="R95" s="168"/>
      <c r="S95" s="168"/>
      <c r="T95" s="168"/>
      <c r="U95" s="168"/>
      <c r="V95" s="171" t="s">
        <v>170</v>
      </c>
      <c r="W95" s="180">
        <f>+W93+X72</f>
        <v>20249.108342827123</v>
      </c>
      <c r="X95" s="180">
        <f>+X93+Y72</f>
        <v>21150.793974237888</v>
      </c>
      <c r="Y95" s="180">
        <f>+Y93+Z72</f>
        <v>20995.930961160942</v>
      </c>
      <c r="Z95" s="168"/>
      <c r="AA95" s="168"/>
      <c r="AB95" s="168"/>
      <c r="AC95" s="168"/>
      <c r="AD95" s="168"/>
      <c r="AE95" s="168"/>
      <c r="AF95" s="168"/>
      <c r="AG95" s="168"/>
      <c r="AH95" s="168"/>
      <c r="AI95" s="168"/>
      <c r="AJ95" s="168"/>
    </row>
    <row r="96" spans="1:36" x14ac:dyDescent="0.2">
      <c r="A96" s="171">
        <v>2</v>
      </c>
      <c r="B96" s="171"/>
      <c r="C96" s="171">
        <v>98</v>
      </c>
      <c r="D96" s="171">
        <v>79.599999999999994</v>
      </c>
      <c r="E96" s="171"/>
      <c r="F96" s="171"/>
      <c r="G96" s="171"/>
      <c r="H96" s="168"/>
      <c r="I96" s="176">
        <v>80.3</v>
      </c>
      <c r="J96" s="168">
        <v>2</v>
      </c>
      <c r="K96" s="168"/>
      <c r="L96" s="177">
        <v>10292</v>
      </c>
      <c r="M96" s="176">
        <v>117.3</v>
      </c>
      <c r="N96" s="176">
        <f t="shared" si="0"/>
        <v>228.44284557907849</v>
      </c>
      <c r="O96" s="168"/>
      <c r="P96" s="168"/>
      <c r="Q96" s="168"/>
      <c r="R96" s="168"/>
      <c r="S96" s="168"/>
      <c r="T96" s="168"/>
      <c r="U96" s="168"/>
      <c r="V96" s="168"/>
      <c r="W96" s="168"/>
      <c r="X96" s="168"/>
      <c r="Y96" s="168"/>
      <c r="Z96" s="168"/>
      <c r="AA96" s="168"/>
      <c r="AB96" s="168"/>
      <c r="AC96" s="168"/>
      <c r="AD96" s="168"/>
      <c r="AE96" s="168"/>
      <c r="AF96" s="168"/>
      <c r="AG96" s="168"/>
      <c r="AH96" s="168"/>
      <c r="AI96" s="168"/>
      <c r="AJ96" s="168"/>
    </row>
    <row r="97" spans="1:36" x14ac:dyDescent="0.2">
      <c r="A97" s="171">
        <v>3</v>
      </c>
      <c r="B97" s="171"/>
      <c r="C97" s="171">
        <v>96.9</v>
      </c>
      <c r="D97" s="171">
        <v>79</v>
      </c>
      <c r="E97" s="171"/>
      <c r="F97" s="171"/>
      <c r="G97" s="171"/>
      <c r="H97" s="168"/>
      <c r="I97" s="176">
        <v>80.599999999999994</v>
      </c>
      <c r="J97" s="168">
        <v>3</v>
      </c>
      <c r="K97" s="168"/>
      <c r="L97" s="177">
        <v>11352</v>
      </c>
      <c r="M97" s="176">
        <v>103.6</v>
      </c>
      <c r="N97" s="176">
        <f t="shared" si="0"/>
        <v>201.01099255583128</v>
      </c>
      <c r="O97" s="168"/>
      <c r="P97" s="168"/>
      <c r="Q97" s="168"/>
      <c r="R97" s="168"/>
      <c r="S97" s="168"/>
      <c r="T97" s="168"/>
      <c r="U97" s="168"/>
      <c r="V97" s="168"/>
      <c r="W97" s="168"/>
      <c r="X97" s="168"/>
      <c r="Y97" s="171"/>
      <c r="Z97" s="168"/>
      <c r="AA97" s="168"/>
      <c r="AB97" s="168"/>
      <c r="AC97" s="168"/>
      <c r="AD97" s="168"/>
      <c r="AE97" s="168"/>
      <c r="AF97" s="168"/>
      <c r="AG97" s="168"/>
      <c r="AH97" s="168"/>
      <c r="AI97" s="168"/>
      <c r="AJ97" s="168"/>
    </row>
    <row r="98" spans="1:36" x14ac:dyDescent="0.2">
      <c r="A98" s="171">
        <v>4</v>
      </c>
      <c r="B98" s="171"/>
      <c r="C98" s="171">
        <v>93.4</v>
      </c>
      <c r="D98" s="171">
        <v>76.8</v>
      </c>
      <c r="E98" s="171"/>
      <c r="F98" s="171"/>
      <c r="G98" s="171"/>
      <c r="H98" s="168"/>
      <c r="I98" s="176">
        <v>81.400000000000006</v>
      </c>
      <c r="J98" s="168">
        <v>4</v>
      </c>
      <c r="K98" s="168"/>
      <c r="L98" s="177">
        <v>11958</v>
      </c>
      <c r="M98" s="176">
        <v>132</v>
      </c>
      <c r="N98" s="176">
        <f t="shared" si="0"/>
        <v>253.5972972972973</v>
      </c>
      <c r="O98" s="168"/>
      <c r="P98" s="168"/>
      <c r="Q98" s="168"/>
      <c r="R98" s="168"/>
      <c r="S98" s="168"/>
      <c r="T98" s="168"/>
      <c r="U98" s="168"/>
      <c r="V98" s="170" t="s">
        <v>185</v>
      </c>
      <c r="W98" s="171"/>
      <c r="X98" s="171"/>
      <c r="Y98" s="171"/>
      <c r="Z98" s="168"/>
      <c r="AA98" s="168"/>
      <c r="AB98" s="168"/>
      <c r="AC98" s="168"/>
      <c r="AD98" s="168"/>
      <c r="AE98" s="168"/>
      <c r="AF98" s="168"/>
      <c r="AG98" s="168"/>
      <c r="AH98" s="168"/>
      <c r="AI98" s="168"/>
      <c r="AJ98" s="168"/>
    </row>
    <row r="99" spans="1:36" x14ac:dyDescent="0.2">
      <c r="A99" s="171">
        <v>1</v>
      </c>
      <c r="B99" s="171">
        <v>1990</v>
      </c>
      <c r="C99" s="171">
        <v>99.4</v>
      </c>
      <c r="D99" s="171">
        <v>81.3</v>
      </c>
      <c r="E99" s="171"/>
      <c r="F99" s="171"/>
      <c r="G99" s="171"/>
      <c r="H99" s="168"/>
      <c r="I99" s="176">
        <v>82.3</v>
      </c>
      <c r="J99" s="168">
        <v>1</v>
      </c>
      <c r="K99" s="168">
        <v>1990</v>
      </c>
      <c r="L99" s="177">
        <v>13741</v>
      </c>
      <c r="M99" s="176">
        <v>142.9</v>
      </c>
      <c r="N99" s="176">
        <f t="shared" si="0"/>
        <v>271.53604495747271</v>
      </c>
      <c r="O99" s="168"/>
      <c r="P99" s="168"/>
      <c r="Q99" s="168"/>
      <c r="R99" s="168"/>
      <c r="S99" s="168"/>
      <c r="T99" s="168"/>
      <c r="U99" s="168"/>
      <c r="V99" s="171"/>
      <c r="W99" s="168"/>
      <c r="X99" s="171"/>
      <c r="Y99" s="171"/>
      <c r="Z99" s="168"/>
      <c r="AA99" s="168"/>
      <c r="AB99" s="168"/>
      <c r="AC99" s="168"/>
      <c r="AD99" s="168"/>
      <c r="AE99" s="168"/>
      <c r="AF99" s="168"/>
      <c r="AG99" s="168"/>
      <c r="AH99" s="168"/>
      <c r="AI99" s="168"/>
      <c r="AJ99" s="168"/>
    </row>
    <row r="100" spans="1:36" x14ac:dyDescent="0.2">
      <c r="A100" s="171">
        <v>2</v>
      </c>
      <c r="B100" s="171"/>
      <c r="C100" s="171">
        <v>88.6</v>
      </c>
      <c r="D100" s="171">
        <v>73.099999999999994</v>
      </c>
      <c r="E100" s="171"/>
      <c r="F100" s="171"/>
      <c r="G100" s="171"/>
      <c r="H100" s="168"/>
      <c r="I100" s="176">
        <v>83.4</v>
      </c>
      <c r="J100" s="168">
        <v>2</v>
      </c>
      <c r="K100" s="168"/>
      <c r="L100" s="177">
        <v>10045</v>
      </c>
      <c r="M100" s="176">
        <v>116.5</v>
      </c>
      <c r="N100" s="176">
        <f t="shared" si="0"/>
        <v>218.45146882494006</v>
      </c>
      <c r="O100" s="168"/>
      <c r="P100" s="168"/>
      <c r="Q100" s="168"/>
      <c r="R100" s="168"/>
      <c r="S100" s="168"/>
      <c r="T100" s="168"/>
      <c r="U100" s="168"/>
      <c r="V100" s="171"/>
      <c r="W100" s="175" t="str">
        <f>+W82</f>
        <v>2019</v>
      </c>
      <c r="X100" s="175" t="str">
        <f>+X82</f>
        <v>2020</v>
      </c>
      <c r="Y100" s="175" t="str">
        <f>+Y82</f>
        <v>2021</v>
      </c>
      <c r="Z100" s="168"/>
      <c r="AA100" s="168"/>
      <c r="AB100" s="168"/>
      <c r="AC100" s="168"/>
      <c r="AD100" s="168"/>
      <c r="AE100" s="168"/>
      <c r="AF100" s="168"/>
      <c r="AG100" s="168"/>
      <c r="AH100" s="168"/>
      <c r="AI100" s="168"/>
      <c r="AJ100" s="168"/>
    </row>
    <row r="101" spans="1:36" x14ac:dyDescent="0.2">
      <c r="A101" s="171">
        <v>3</v>
      </c>
      <c r="B101" s="171"/>
      <c r="C101" s="171">
        <v>88.2</v>
      </c>
      <c r="D101" s="171">
        <v>72.5</v>
      </c>
      <c r="E101" s="171"/>
      <c r="F101" s="171"/>
      <c r="G101" s="171"/>
      <c r="H101" s="168"/>
      <c r="I101" s="176">
        <v>83.7</v>
      </c>
      <c r="J101" s="168">
        <v>3</v>
      </c>
      <c r="K101" s="168"/>
      <c r="L101" s="177">
        <v>10870</v>
      </c>
      <c r="M101" s="176">
        <v>101.4</v>
      </c>
      <c r="N101" s="176">
        <f t="shared" si="0"/>
        <v>189.45566308243733</v>
      </c>
      <c r="O101" s="168"/>
      <c r="P101" s="168"/>
      <c r="Q101" s="168"/>
      <c r="R101" s="168"/>
      <c r="S101" s="168"/>
      <c r="T101" s="168"/>
      <c r="U101" s="168"/>
      <c r="V101" s="171" t="s">
        <v>18</v>
      </c>
      <c r="W101" s="181">
        <f>IF('Tab7'!C10="",+'Tab7'!C9+'Tab11'!C9,+'Tab7'!C10+'Tab11'!C10)</f>
        <v>14807.76701594203</v>
      </c>
      <c r="X101" s="181">
        <f>IF('Tab7'!D10="",+'Tab7'!D9+'Tab11'!D9,+'Tab7'!D10+'Tab11'!D10)</f>
        <v>14515.715485746958</v>
      </c>
      <c r="Y101" s="181">
        <f>IF('Tab7'!E10="",+'Tab7'!E9+'Tab11'!E9,+'Tab7'!E10+'Tab11'!E10)</f>
        <v>15152.744923188406</v>
      </c>
      <c r="Z101" s="168"/>
      <c r="AA101" s="168"/>
      <c r="AB101" s="168"/>
      <c r="AC101" s="168"/>
      <c r="AD101" s="168"/>
      <c r="AE101" s="168"/>
      <c r="AF101" s="168"/>
      <c r="AG101" s="168"/>
      <c r="AH101" s="168"/>
      <c r="AI101" s="168"/>
      <c r="AJ101" s="168"/>
    </row>
    <row r="102" spans="1:36" x14ac:dyDescent="0.2">
      <c r="A102" s="171">
        <v>4</v>
      </c>
      <c r="B102" s="171"/>
      <c r="C102" s="171">
        <v>84.8</v>
      </c>
      <c r="D102" s="171">
        <v>70.2</v>
      </c>
      <c r="E102" s="171"/>
      <c r="F102" s="171"/>
      <c r="G102" s="171"/>
      <c r="H102" s="168"/>
      <c r="I102" s="176">
        <v>85.1</v>
      </c>
      <c r="J102" s="168">
        <v>4</v>
      </c>
      <c r="K102" s="168"/>
      <c r="L102" s="177">
        <v>11076</v>
      </c>
      <c r="M102" s="176">
        <v>120</v>
      </c>
      <c r="N102" s="176">
        <f t="shared" si="0"/>
        <v>220.5193889541716</v>
      </c>
      <c r="O102" s="168"/>
      <c r="P102" s="168"/>
      <c r="Q102" s="168"/>
      <c r="R102" s="168"/>
      <c r="S102" s="168"/>
      <c r="T102" s="168"/>
      <c r="U102" s="168"/>
      <c r="V102" s="171" t="s">
        <v>86</v>
      </c>
      <c r="W102" s="181">
        <f>IF('Tab7'!C12="",+'Tab7'!C11+'Tab11'!C11,+'Tab7'!C12+'Tab11'!C12)</f>
        <v>42098.168316205534</v>
      </c>
      <c r="X102" s="181">
        <f>IF('Tab7'!D12="",+'Tab7'!D11+'Tab11'!D11,+'Tab7'!D12+'Tab11'!D12)</f>
        <v>42736.006414462448</v>
      </c>
      <c r="Y102" s="181">
        <f>IF('Tab7'!E12="",+'Tab7'!E11+'Tab11'!E11,+'Tab7'!E12+'Tab11'!E12)</f>
        <v>55420.008292490114</v>
      </c>
      <c r="Z102" s="168"/>
      <c r="AA102" s="168"/>
      <c r="AB102" s="168"/>
      <c r="AC102" s="168"/>
      <c r="AD102" s="168"/>
      <c r="AE102" s="168"/>
      <c r="AF102" s="168"/>
      <c r="AG102" s="168"/>
      <c r="AH102" s="168"/>
      <c r="AI102" s="168"/>
      <c r="AJ102" s="168"/>
    </row>
    <row r="103" spans="1:36" x14ac:dyDescent="0.2">
      <c r="A103" s="171">
        <v>1</v>
      </c>
      <c r="B103" s="171">
        <v>1991</v>
      </c>
      <c r="C103" s="171">
        <v>97.5</v>
      </c>
      <c r="D103" s="171">
        <v>82.4</v>
      </c>
      <c r="E103" s="171"/>
      <c r="F103" s="171"/>
      <c r="G103" s="171"/>
      <c r="H103" s="168"/>
      <c r="I103" s="176">
        <v>85.5</v>
      </c>
      <c r="J103" s="168">
        <v>1</v>
      </c>
      <c r="K103" s="168">
        <v>1991</v>
      </c>
      <c r="L103" s="177">
        <v>10172</v>
      </c>
      <c r="M103" s="176">
        <v>130.10000000000002</v>
      </c>
      <c r="N103" s="176">
        <f t="shared" ref="N103:N106" si="1">M103/I103*$I$69</f>
        <v>237.96126900584801</v>
      </c>
      <c r="O103" s="177">
        <v>6727</v>
      </c>
      <c r="P103" s="176">
        <v>376.9</v>
      </c>
      <c r="Q103" s="176">
        <f>P103/I103*$I$69</f>
        <v>689.37434502923975</v>
      </c>
      <c r="R103" s="177">
        <v>9077</v>
      </c>
      <c r="S103" s="176">
        <v>139.9</v>
      </c>
      <c r="T103" s="176">
        <f>S103/I103*$I$69</f>
        <v>255.88609941520471</v>
      </c>
      <c r="U103" s="168"/>
      <c r="V103" s="171" t="s">
        <v>63</v>
      </c>
      <c r="W103" s="181">
        <f>IF('Tab7'!C14="",+'Tab7'!C13+'Tab11'!C13,+'Tab7'!C14+'Tab11'!C14)</f>
        <v>17067.714015527949</v>
      </c>
      <c r="X103" s="181">
        <f>IF('Tab7'!D14="",+'Tab7'!D13+'Tab11'!D13,+'Tab7'!D14+'Tab11'!D14)</f>
        <v>17552.031031701117</v>
      </c>
      <c r="Y103" s="181">
        <f>IF('Tab7'!E14="",+'Tab7'!E13+'Tab11'!E13,+'Tab7'!E14+'Tab11'!E14)</f>
        <v>14942.033661490683</v>
      </c>
      <c r="Z103" s="168"/>
      <c r="AA103" s="168"/>
      <c r="AB103" s="168"/>
      <c r="AC103" s="168"/>
      <c r="AD103" s="168"/>
      <c r="AE103" s="168"/>
      <c r="AF103" s="168"/>
      <c r="AG103" s="168"/>
      <c r="AH103" s="168"/>
      <c r="AI103" s="168"/>
      <c r="AJ103" s="168"/>
    </row>
    <row r="104" spans="1:36" x14ac:dyDescent="0.2">
      <c r="A104" s="171">
        <v>2</v>
      </c>
      <c r="B104" s="171"/>
      <c r="C104" s="171">
        <v>93.9</v>
      </c>
      <c r="D104" s="171">
        <v>78</v>
      </c>
      <c r="E104" s="171"/>
      <c r="F104" s="171"/>
      <c r="G104" s="171"/>
      <c r="H104" s="168"/>
      <c r="I104" s="176">
        <v>86.6</v>
      </c>
      <c r="J104" s="168">
        <v>2</v>
      </c>
      <c r="K104" s="168"/>
      <c r="L104" s="177">
        <v>10188</v>
      </c>
      <c r="M104" s="176">
        <v>126.69999999999993</v>
      </c>
      <c r="N104" s="176">
        <f t="shared" si="1"/>
        <v>228.79883949191679</v>
      </c>
      <c r="O104" s="177">
        <v>5864</v>
      </c>
      <c r="P104" s="176">
        <v>369.29999999999995</v>
      </c>
      <c r="Q104" s="176">
        <f t="shared" ref="Q104:Q167" si="2">P104/I104*$I$69</f>
        <v>666.89353926096999</v>
      </c>
      <c r="R104" s="177">
        <v>12525</v>
      </c>
      <c r="S104" s="176">
        <v>176.29999999999998</v>
      </c>
      <c r="T104" s="176">
        <f t="shared" ref="T104:T167" si="3">S104/I104*$I$69</f>
        <v>318.36807736720556</v>
      </c>
      <c r="U104" s="168"/>
      <c r="V104" s="171" t="s">
        <v>14</v>
      </c>
      <c r="W104" s="182">
        <f>+W106-SUM(W101:W103)</f>
        <v>151351.72026880819</v>
      </c>
      <c r="X104" s="182">
        <f>+X106-SUM(X101:X103)</f>
        <v>162737.46653599822</v>
      </c>
      <c r="Y104" s="182">
        <f>+Y106-SUM(Y101:Y103)</f>
        <v>170017.65894677088</v>
      </c>
      <c r="Z104" s="168"/>
      <c r="AA104" s="168"/>
      <c r="AB104" s="168"/>
      <c r="AC104" s="168"/>
      <c r="AD104" s="168"/>
      <c r="AE104" s="168"/>
      <c r="AF104" s="168"/>
      <c r="AG104" s="168"/>
      <c r="AH104" s="168"/>
      <c r="AI104" s="168"/>
      <c r="AJ104" s="168"/>
    </row>
    <row r="105" spans="1:36" x14ac:dyDescent="0.2">
      <c r="A105" s="171">
        <v>3</v>
      </c>
      <c r="B105" s="171"/>
      <c r="C105" s="171">
        <v>90.2</v>
      </c>
      <c r="D105" s="171">
        <v>76.099999999999994</v>
      </c>
      <c r="E105" s="171"/>
      <c r="F105" s="171"/>
      <c r="G105" s="171"/>
      <c r="H105" s="168"/>
      <c r="I105" s="176">
        <v>86.6</v>
      </c>
      <c r="J105" s="168">
        <v>3</v>
      </c>
      <c r="K105" s="168"/>
      <c r="L105" s="177">
        <v>10621</v>
      </c>
      <c r="M105" s="176">
        <v>132.60000000000002</v>
      </c>
      <c r="N105" s="176">
        <f t="shared" si="1"/>
        <v>239.45324480369521</v>
      </c>
      <c r="O105" s="177">
        <v>7951</v>
      </c>
      <c r="P105" s="176">
        <v>430.9</v>
      </c>
      <c r="Q105" s="176">
        <f t="shared" si="2"/>
        <v>778.13275404157048</v>
      </c>
      <c r="R105" s="177">
        <v>14126</v>
      </c>
      <c r="S105" s="176">
        <v>204.90000000000003</v>
      </c>
      <c r="T105" s="176">
        <f t="shared" si="3"/>
        <v>370.01485565819871</v>
      </c>
      <c r="U105" s="168"/>
      <c r="V105" s="171"/>
      <c r="W105" s="171"/>
      <c r="X105" s="171"/>
      <c r="Y105" s="171"/>
      <c r="Z105" s="168"/>
      <c r="AA105" s="168"/>
      <c r="AB105" s="168"/>
      <c r="AC105" s="168"/>
      <c r="AD105" s="168"/>
      <c r="AE105" s="168"/>
      <c r="AF105" s="168"/>
      <c r="AG105" s="168"/>
      <c r="AH105" s="168"/>
      <c r="AI105" s="168"/>
      <c r="AJ105" s="168"/>
    </row>
    <row r="106" spans="1:36" x14ac:dyDescent="0.2">
      <c r="A106" s="171">
        <v>4</v>
      </c>
      <c r="B106" s="171"/>
      <c r="C106" s="171">
        <v>92.6</v>
      </c>
      <c r="D106" s="171">
        <v>78.099999999999994</v>
      </c>
      <c r="E106" s="171"/>
      <c r="F106" s="171"/>
      <c r="G106" s="171"/>
      <c r="H106" s="168"/>
      <c r="I106" s="176">
        <v>87.3</v>
      </c>
      <c r="J106" s="168">
        <v>4</v>
      </c>
      <c r="K106" s="168"/>
      <c r="L106" s="177">
        <v>11640</v>
      </c>
      <c r="M106" s="176">
        <v>138.20000000000005</v>
      </c>
      <c r="N106" s="176">
        <f t="shared" si="1"/>
        <v>247.56479954180998</v>
      </c>
      <c r="O106" s="177">
        <v>13048</v>
      </c>
      <c r="P106" s="176">
        <v>427.00000000000023</v>
      </c>
      <c r="Q106" s="176">
        <f t="shared" si="2"/>
        <v>764.90715922107734</v>
      </c>
      <c r="R106" s="177">
        <v>13048</v>
      </c>
      <c r="S106" s="176">
        <v>185</v>
      </c>
      <c r="T106" s="176">
        <f t="shared" si="3"/>
        <v>331.40005727376865</v>
      </c>
      <c r="U106" s="168"/>
      <c r="V106" s="171" t="s">
        <v>87</v>
      </c>
      <c r="W106" s="181">
        <f>IF('Tab7'!C8="",+'Tab7'!C7+'Tab11'!C7,+'Tab7'!C8+'Tab11'!C8)</f>
        <v>225325.36961648372</v>
      </c>
      <c r="X106" s="181">
        <f>IF('Tab7'!D8="",+'Tab7'!D7+'Tab11'!D7,+'Tab7'!D8+'Tab11'!D8)</f>
        <v>237541.21946790876</v>
      </c>
      <c r="Y106" s="181">
        <f>IF('Tab7'!E8="",+'Tab7'!E7+'Tab11'!E7,+'Tab7'!E8+'Tab11'!E8)</f>
        <v>255532.4458239401</v>
      </c>
      <c r="Z106" s="168"/>
      <c r="AA106" s="168"/>
      <c r="AB106" s="168"/>
      <c r="AC106" s="168"/>
      <c r="AD106" s="168"/>
      <c r="AE106" s="168"/>
      <c r="AF106" s="168"/>
      <c r="AG106" s="168"/>
      <c r="AH106" s="168"/>
      <c r="AI106" s="168"/>
      <c r="AJ106" s="168"/>
    </row>
    <row r="107" spans="1:36" x14ac:dyDescent="0.2">
      <c r="A107" s="171">
        <v>1</v>
      </c>
      <c r="B107" s="171">
        <v>1992</v>
      </c>
      <c r="C107" s="171">
        <v>102</v>
      </c>
      <c r="D107" s="171">
        <v>87.1</v>
      </c>
      <c r="E107" s="171"/>
      <c r="F107" s="171"/>
      <c r="G107" s="171"/>
      <c r="H107" s="168"/>
      <c r="I107" s="176">
        <v>87.5</v>
      </c>
      <c r="J107" s="168">
        <v>1</v>
      </c>
      <c r="K107" s="168">
        <v>1992</v>
      </c>
      <c r="L107" s="177">
        <v>10520</v>
      </c>
      <c r="M107" s="176">
        <v>129.4</v>
      </c>
      <c r="N107" s="176">
        <f>M107/I107*$I$69</f>
        <v>231.27107428571432</v>
      </c>
      <c r="O107" s="177">
        <v>6509</v>
      </c>
      <c r="P107" s="176">
        <v>409.5</v>
      </c>
      <c r="Q107" s="176">
        <f t="shared" si="2"/>
        <v>731.8818</v>
      </c>
      <c r="R107" s="177">
        <v>11030</v>
      </c>
      <c r="S107" s="176">
        <v>180.5</v>
      </c>
      <c r="T107" s="176">
        <f t="shared" si="3"/>
        <v>322.59991428571431</v>
      </c>
      <c r="U107" s="168"/>
      <c r="V107" s="168"/>
      <c r="W107" s="168"/>
      <c r="X107" s="168"/>
      <c r="Y107" s="168"/>
      <c r="Z107" s="168"/>
      <c r="AA107" s="168"/>
      <c r="AB107" s="168"/>
      <c r="AC107" s="168"/>
      <c r="AD107" s="168"/>
      <c r="AE107" s="168"/>
      <c r="AF107" s="168"/>
      <c r="AG107" s="168"/>
      <c r="AH107" s="168"/>
      <c r="AI107" s="168"/>
      <c r="AJ107" s="168"/>
    </row>
    <row r="108" spans="1:36" x14ac:dyDescent="0.2">
      <c r="A108" s="171">
        <v>2</v>
      </c>
      <c r="B108" s="171"/>
      <c r="C108" s="171">
        <v>92.2</v>
      </c>
      <c r="D108" s="171">
        <v>78.900000000000006</v>
      </c>
      <c r="E108" s="171"/>
      <c r="F108" s="171"/>
      <c r="G108" s="171"/>
      <c r="H108" s="168"/>
      <c r="I108" s="176">
        <v>88.6</v>
      </c>
      <c r="J108" s="168">
        <v>2</v>
      </c>
      <c r="K108" s="168"/>
      <c r="L108" s="177">
        <v>10661</v>
      </c>
      <c r="M108" s="176">
        <v>112.9</v>
      </c>
      <c r="N108" s="176">
        <f t="shared" ref="N108:N171" si="4">M108/I108*$I$69</f>
        <v>199.2761455981942</v>
      </c>
      <c r="O108" s="177">
        <v>5632</v>
      </c>
      <c r="P108" s="176">
        <v>412</v>
      </c>
      <c r="Q108" s="176">
        <f t="shared" si="2"/>
        <v>727.207900677201</v>
      </c>
      <c r="R108" s="177">
        <v>13252</v>
      </c>
      <c r="S108" s="176">
        <v>167</v>
      </c>
      <c r="T108" s="176">
        <f t="shared" si="3"/>
        <v>294.76630925507908</v>
      </c>
      <c r="U108" s="168"/>
      <c r="V108" s="168"/>
      <c r="W108" s="168"/>
      <c r="X108" s="168"/>
      <c r="Y108" s="168"/>
      <c r="Z108" s="168"/>
      <c r="AA108" s="168"/>
      <c r="AB108" s="168"/>
      <c r="AC108" s="168"/>
      <c r="AD108" s="168"/>
      <c r="AE108" s="168"/>
      <c r="AF108" s="168"/>
      <c r="AG108" s="168"/>
      <c r="AH108" s="168"/>
      <c r="AI108" s="168"/>
      <c r="AJ108" s="168"/>
    </row>
    <row r="109" spans="1:36" x14ac:dyDescent="0.2">
      <c r="A109" s="171">
        <v>3</v>
      </c>
      <c r="B109" s="171"/>
      <c r="C109" s="171">
        <v>93.3</v>
      </c>
      <c r="D109" s="171">
        <v>79.900000000000006</v>
      </c>
      <c r="E109" s="171"/>
      <c r="F109" s="171"/>
      <c r="G109" s="171"/>
      <c r="H109" s="168"/>
      <c r="I109" s="176">
        <v>88.7</v>
      </c>
      <c r="J109" s="168">
        <v>3</v>
      </c>
      <c r="K109" s="168"/>
      <c r="L109" s="177">
        <v>11590</v>
      </c>
      <c r="M109" s="176">
        <v>130.59999999999997</v>
      </c>
      <c r="N109" s="176">
        <f t="shared" si="4"/>
        <v>230.25795941375418</v>
      </c>
      <c r="O109" s="177">
        <v>8642</v>
      </c>
      <c r="P109" s="176">
        <v>440.40000000000009</v>
      </c>
      <c r="Q109" s="176">
        <f t="shared" si="2"/>
        <v>776.45945885005665</v>
      </c>
      <c r="R109" s="177">
        <v>15450</v>
      </c>
      <c r="S109" s="176">
        <v>219.10000000000002</v>
      </c>
      <c r="T109" s="176">
        <f t="shared" si="3"/>
        <v>386.29034385569338</v>
      </c>
      <c r="U109" s="168"/>
      <c r="V109" s="170" t="s">
        <v>186</v>
      </c>
      <c r="W109" s="171"/>
      <c r="X109" s="171"/>
      <c r="Y109" s="171"/>
      <c r="Z109" s="168"/>
      <c r="AA109" s="168"/>
      <c r="AB109" s="168"/>
      <c r="AC109" s="168"/>
      <c r="AD109" s="168"/>
      <c r="AE109" s="168"/>
      <c r="AF109" s="168"/>
      <c r="AG109" s="168"/>
      <c r="AH109" s="168"/>
      <c r="AI109" s="168"/>
      <c r="AJ109" s="168"/>
    </row>
    <row r="110" spans="1:36" x14ac:dyDescent="0.2">
      <c r="A110" s="171">
        <v>4</v>
      </c>
      <c r="B110" s="171"/>
      <c r="C110" s="171">
        <v>90.8</v>
      </c>
      <c r="D110" s="171">
        <v>77.599999999999994</v>
      </c>
      <c r="E110" s="171"/>
      <c r="F110" s="171"/>
      <c r="G110" s="171"/>
      <c r="H110" s="168"/>
      <c r="I110" s="176">
        <v>89.3</v>
      </c>
      <c r="J110" s="168">
        <v>4</v>
      </c>
      <c r="K110" s="168"/>
      <c r="L110" s="177">
        <v>11917</v>
      </c>
      <c r="M110" s="176">
        <v>108.50000000000006</v>
      </c>
      <c r="N110" s="176">
        <f t="shared" si="4"/>
        <v>190.00865061590159</v>
      </c>
      <c r="O110" s="177">
        <v>7139</v>
      </c>
      <c r="P110" s="176">
        <v>425.59999999999991</v>
      </c>
      <c r="Q110" s="176">
        <f t="shared" si="2"/>
        <v>745.32425531914885</v>
      </c>
      <c r="R110" s="177">
        <v>12309</v>
      </c>
      <c r="S110" s="176">
        <v>109.39999999999998</v>
      </c>
      <c r="T110" s="176">
        <f t="shared" si="3"/>
        <v>191.58475923852183</v>
      </c>
      <c r="U110" s="168"/>
      <c r="V110" s="171"/>
      <c r="W110" s="171"/>
      <c r="X110" s="171"/>
      <c r="Y110" s="171"/>
      <c r="Z110" s="168"/>
      <c r="AA110" s="168"/>
      <c r="AB110" s="168"/>
      <c r="AC110" s="168"/>
      <c r="AD110" s="168"/>
      <c r="AE110" s="168"/>
      <c r="AF110" s="168"/>
      <c r="AG110" s="168"/>
      <c r="AH110" s="168"/>
      <c r="AI110" s="168"/>
      <c r="AJ110" s="168"/>
    </row>
    <row r="111" spans="1:36" x14ac:dyDescent="0.2">
      <c r="A111" s="171">
        <v>1</v>
      </c>
      <c r="B111" s="171">
        <v>1993</v>
      </c>
      <c r="C111" s="171">
        <v>112.6</v>
      </c>
      <c r="D111" s="171">
        <v>96.5</v>
      </c>
      <c r="E111" s="171"/>
      <c r="F111" s="171"/>
      <c r="G111" s="171"/>
      <c r="H111" s="168"/>
      <c r="I111" s="176">
        <v>89.8</v>
      </c>
      <c r="J111" s="168">
        <v>1</v>
      </c>
      <c r="K111" s="168">
        <v>1993</v>
      </c>
      <c r="L111" s="177">
        <v>11275</v>
      </c>
      <c r="M111" s="176">
        <v>136.89999999999998</v>
      </c>
      <c r="N111" s="176">
        <f t="shared" si="4"/>
        <v>238.40875835189308</v>
      </c>
      <c r="O111" s="177">
        <v>6982</v>
      </c>
      <c r="P111" s="176">
        <v>449.4</v>
      </c>
      <c r="Q111" s="176">
        <f t="shared" si="2"/>
        <v>782.62159242761697</v>
      </c>
      <c r="R111" s="177">
        <v>10571</v>
      </c>
      <c r="S111" s="176">
        <v>175.5</v>
      </c>
      <c r="T111" s="176">
        <f t="shared" si="3"/>
        <v>305.62992761692658</v>
      </c>
      <c r="U111" s="168"/>
      <c r="V111" s="171"/>
      <c r="W111" s="175" t="str">
        <f>+W100</f>
        <v>2019</v>
      </c>
      <c r="X111" s="175" t="str">
        <f>+X100</f>
        <v>2020</v>
      </c>
      <c r="Y111" s="175" t="str">
        <f>+Y100</f>
        <v>2021</v>
      </c>
      <c r="Z111" s="168"/>
      <c r="AA111" s="168"/>
      <c r="AB111" s="168"/>
      <c r="AC111" s="168"/>
      <c r="AD111" s="168"/>
      <c r="AE111" s="168"/>
      <c r="AF111" s="168"/>
      <c r="AG111" s="168"/>
      <c r="AH111" s="168"/>
      <c r="AI111" s="168"/>
      <c r="AJ111" s="168"/>
    </row>
    <row r="112" spans="1:36" x14ac:dyDescent="0.2">
      <c r="A112" s="171">
        <v>2</v>
      </c>
      <c r="B112" s="171"/>
      <c r="C112" s="171">
        <f>205.6-C111</f>
        <v>93</v>
      </c>
      <c r="D112" s="171">
        <f>176.6-D111</f>
        <v>80.099999999999994</v>
      </c>
      <c r="E112" s="171"/>
      <c r="F112" s="171"/>
      <c r="G112" s="171"/>
      <c r="H112" s="168"/>
      <c r="I112" s="176">
        <v>90.8</v>
      </c>
      <c r="J112" s="168">
        <v>2</v>
      </c>
      <c r="K112" s="168"/>
      <c r="L112" s="177">
        <v>10076</v>
      </c>
      <c r="M112" s="176">
        <v>115.20000000000002</v>
      </c>
      <c r="N112" s="176">
        <f t="shared" si="4"/>
        <v>198.40916299559478</v>
      </c>
      <c r="O112" s="177">
        <v>6332</v>
      </c>
      <c r="P112" s="176">
        <v>352.9</v>
      </c>
      <c r="Q112" s="176">
        <f t="shared" si="2"/>
        <v>607.80029185022033</v>
      </c>
      <c r="R112" s="177">
        <v>12919</v>
      </c>
      <c r="S112" s="176">
        <v>191.20000000000005</v>
      </c>
      <c r="T112" s="176">
        <f t="shared" si="3"/>
        <v>329.30409691629967</v>
      </c>
      <c r="U112" s="168"/>
      <c r="V112" s="171" t="s">
        <v>171</v>
      </c>
      <c r="W112" s="180">
        <f>IF('Tab7'!C38="",+'Tab7'!C37+'Tab11'!C37,+'Tab7'!C38+'Tab11'!C38)</f>
        <v>2731.2454755245499</v>
      </c>
      <c r="X112" s="180">
        <f>IF('Tab7'!D38="",+'Tab7'!D37+'Tab11'!D37,+'Tab7'!D38+'Tab11'!D38)</f>
        <v>2968.7342736953419</v>
      </c>
      <c r="Y112" s="180">
        <f>IF('Tab7'!E38="",+'Tab7'!E37+'Tab11'!E37,+'Tab7'!E38+'Tab11'!E38)</f>
        <v>2936.3112729622235</v>
      </c>
      <c r="Z112" s="168"/>
      <c r="AA112" s="168"/>
      <c r="AB112" s="168"/>
      <c r="AC112" s="168"/>
      <c r="AD112" s="168"/>
      <c r="AE112" s="168"/>
      <c r="AF112" s="168"/>
      <c r="AG112" s="168"/>
      <c r="AH112" s="168"/>
      <c r="AI112" s="168"/>
      <c r="AJ112" s="168"/>
    </row>
    <row r="113" spans="1:36" x14ac:dyDescent="0.2">
      <c r="A113" s="171">
        <v>3</v>
      </c>
      <c r="B113" s="171"/>
      <c r="C113" s="171">
        <f>293.1-C112-C111</f>
        <v>87.500000000000028</v>
      </c>
      <c r="D113" s="171">
        <f>250.2-D112-D111</f>
        <v>73.599999999999994</v>
      </c>
      <c r="E113" s="171"/>
      <c r="F113" s="171"/>
      <c r="G113" s="171"/>
      <c r="H113" s="168"/>
      <c r="I113" s="176">
        <v>90.6</v>
      </c>
      <c r="J113" s="168">
        <v>3</v>
      </c>
      <c r="K113" s="168"/>
      <c r="L113" s="177">
        <v>11766</v>
      </c>
      <c r="M113" s="176">
        <v>132.79999999999998</v>
      </c>
      <c r="N113" s="176">
        <f t="shared" si="4"/>
        <v>229.22657836644592</v>
      </c>
      <c r="O113" s="177">
        <v>6675</v>
      </c>
      <c r="P113" s="176">
        <v>388.50000000000023</v>
      </c>
      <c r="Q113" s="176">
        <f t="shared" si="2"/>
        <v>670.59130794702037</v>
      </c>
      <c r="R113" s="177">
        <v>14800</v>
      </c>
      <c r="S113" s="176">
        <v>216.89999999999998</v>
      </c>
      <c r="T113" s="176">
        <f t="shared" si="3"/>
        <v>374.39190397350995</v>
      </c>
      <c r="U113" s="168"/>
      <c r="V113" s="171" t="s">
        <v>86</v>
      </c>
      <c r="W113" s="180">
        <f>IF('Tab7'!C40="",+'Tab7'!C39+'Tab11'!C39,+'Tab7'!C40+'Tab11'!C40)</f>
        <v>2158.0585421578689</v>
      </c>
      <c r="X113" s="180">
        <f>IF('Tab7'!D40="",+'Tab7'!D39+'Tab11'!D39,+'Tab7'!D40+'Tab11'!D40)</f>
        <v>2190.37256130268</v>
      </c>
      <c r="Y113" s="180">
        <f>IF('Tab7'!E40="",+'Tab7'!E39+'Tab11'!E39,+'Tab7'!E40+'Tab11'!E40)</f>
        <v>2885.0781957753375</v>
      </c>
      <c r="Z113" s="168"/>
      <c r="AA113" s="168"/>
      <c r="AB113" s="168"/>
      <c r="AC113" s="168"/>
      <c r="AD113" s="168"/>
      <c r="AE113" s="168"/>
      <c r="AF113" s="168"/>
      <c r="AG113" s="168"/>
      <c r="AH113" s="168"/>
      <c r="AI113" s="168"/>
      <c r="AJ113" s="168"/>
    </row>
    <row r="114" spans="1:36" x14ac:dyDescent="0.2">
      <c r="A114" s="171">
        <v>4</v>
      </c>
      <c r="B114" s="171"/>
      <c r="C114" s="171">
        <f>413.2-C113-C112-C111</f>
        <v>120.09999999999994</v>
      </c>
      <c r="D114" s="171">
        <f>356.8-D113-D112-D111</f>
        <v>106.60000000000005</v>
      </c>
      <c r="E114" s="171"/>
      <c r="F114" s="171"/>
      <c r="G114" s="171"/>
      <c r="H114" s="168"/>
      <c r="I114" s="176">
        <v>91</v>
      </c>
      <c r="J114" s="168">
        <v>4</v>
      </c>
      <c r="K114" s="168"/>
      <c r="L114" s="177">
        <v>12707</v>
      </c>
      <c r="M114" s="176">
        <v>157.79999999999995</v>
      </c>
      <c r="N114" s="176">
        <f t="shared" si="4"/>
        <v>271.18190109890105</v>
      </c>
      <c r="O114" s="177">
        <v>6319</v>
      </c>
      <c r="P114" s="176">
        <v>466.99999999999977</v>
      </c>
      <c r="Q114" s="176">
        <f t="shared" si="2"/>
        <v>802.5471978021975</v>
      </c>
      <c r="R114" s="177">
        <v>11391</v>
      </c>
      <c r="S114" s="176">
        <v>164.5</v>
      </c>
      <c r="T114" s="176">
        <f t="shared" si="3"/>
        <v>282.69596153846157</v>
      </c>
      <c r="U114" s="168"/>
      <c r="V114" s="171" t="s">
        <v>63</v>
      </c>
      <c r="W114" s="180">
        <f>IF('Tab7'!C42="",+'Tab7'!C41+'Tab11'!C41,+'Tab7'!C42+'Tab11'!C42)</f>
        <v>263.97470566479683</v>
      </c>
      <c r="X114" s="180">
        <f>IF('Tab7'!D42="",+'Tab7'!D41+'Tab11'!D41,+'Tab7'!D42+'Tab11'!D42)</f>
        <v>271.44270382783304</v>
      </c>
      <c r="Y114" s="180">
        <f>IF('Tab7'!E42="",+'Tab7'!E41+'Tab11'!E41,+'Tab7'!E42+'Tab11'!E42)</f>
        <v>228.67941788130074</v>
      </c>
      <c r="Z114" s="168"/>
      <c r="AA114" s="168"/>
      <c r="AB114" s="168"/>
      <c r="AC114" s="168"/>
      <c r="AD114" s="168"/>
      <c r="AE114" s="168"/>
      <c r="AF114" s="168"/>
      <c r="AG114" s="168"/>
      <c r="AH114" s="168"/>
      <c r="AI114" s="168"/>
      <c r="AJ114" s="168"/>
    </row>
    <row r="115" spans="1:36" x14ac:dyDescent="0.2">
      <c r="A115" s="171">
        <v>1</v>
      </c>
      <c r="B115" s="171">
        <v>1994</v>
      </c>
      <c r="C115" s="171">
        <v>138.4</v>
      </c>
      <c r="D115" s="171">
        <v>120</v>
      </c>
      <c r="E115" s="171"/>
      <c r="F115" s="171"/>
      <c r="G115" s="171"/>
      <c r="H115" s="168"/>
      <c r="I115" s="176">
        <v>91</v>
      </c>
      <c r="J115" s="168">
        <v>1</v>
      </c>
      <c r="K115" s="168">
        <v>1994</v>
      </c>
      <c r="L115" s="177">
        <v>15224</v>
      </c>
      <c r="M115" s="176">
        <v>189</v>
      </c>
      <c r="N115" s="176">
        <f t="shared" si="4"/>
        <v>324.79961538461544</v>
      </c>
      <c r="O115" s="177">
        <v>6291</v>
      </c>
      <c r="P115" s="176">
        <v>427.6</v>
      </c>
      <c r="Q115" s="176">
        <f t="shared" si="2"/>
        <v>734.83764835164845</v>
      </c>
      <c r="R115" s="177">
        <v>8795</v>
      </c>
      <c r="S115" s="176">
        <v>161.69999999999999</v>
      </c>
      <c r="T115" s="176">
        <f t="shared" si="3"/>
        <v>277.88411538461543</v>
      </c>
      <c r="U115" s="168"/>
      <c r="V115" s="171" t="s">
        <v>14</v>
      </c>
      <c r="W115" s="183">
        <f>+W117-SUM(W112:W114)</f>
        <v>2107.7706729884912</v>
      </c>
      <c r="X115" s="183">
        <f>+X117-SUM(X112:X114)</f>
        <v>2076.6537680189058</v>
      </c>
      <c r="Y115" s="183">
        <f>+Y117-SUM(Y112:Y114)</f>
        <v>2099.4594360325236</v>
      </c>
      <c r="Z115" s="168"/>
      <c r="AA115" s="168"/>
      <c r="AB115" s="168"/>
      <c r="AC115" s="168"/>
      <c r="AD115" s="168"/>
      <c r="AE115" s="168"/>
      <c r="AF115" s="168"/>
      <c r="AG115" s="168"/>
      <c r="AH115" s="168"/>
      <c r="AI115" s="168"/>
      <c r="AJ115" s="168"/>
    </row>
    <row r="116" spans="1:36" x14ac:dyDescent="0.2">
      <c r="A116" s="171">
        <v>2</v>
      </c>
      <c r="B116" s="171"/>
      <c r="C116" s="171">
        <f>252.9-C115</f>
        <v>114.5</v>
      </c>
      <c r="D116" s="171">
        <f>218.1-D115</f>
        <v>98.1</v>
      </c>
      <c r="E116" s="171"/>
      <c r="F116" s="171"/>
      <c r="G116" s="171"/>
      <c r="H116" s="168"/>
      <c r="I116" s="176">
        <v>91.7</v>
      </c>
      <c r="J116" s="168">
        <v>2</v>
      </c>
      <c r="K116" s="168"/>
      <c r="L116" s="177">
        <v>13585</v>
      </c>
      <c r="M116" s="176">
        <v>166.5</v>
      </c>
      <c r="N116" s="176">
        <f t="shared" si="4"/>
        <v>283.94877317339154</v>
      </c>
      <c r="O116" s="177">
        <v>5517</v>
      </c>
      <c r="P116" s="176">
        <v>494.30000000000007</v>
      </c>
      <c r="Q116" s="176">
        <f t="shared" si="2"/>
        <v>842.97824972737203</v>
      </c>
      <c r="R116" s="177">
        <v>13449</v>
      </c>
      <c r="S116" s="176">
        <v>196.2</v>
      </c>
      <c r="T116" s="176">
        <f t="shared" si="3"/>
        <v>334.59909487459112</v>
      </c>
      <c r="U116" s="168"/>
      <c r="V116" s="171"/>
      <c r="W116" s="180"/>
      <c r="X116" s="180"/>
      <c r="Y116" s="180"/>
      <c r="Z116" s="168"/>
      <c r="AA116" s="168"/>
      <c r="AB116" s="168"/>
      <c r="AC116" s="168"/>
      <c r="AD116" s="168"/>
      <c r="AE116" s="168"/>
      <c r="AF116" s="168"/>
      <c r="AG116" s="168"/>
      <c r="AH116" s="168"/>
      <c r="AI116" s="168"/>
      <c r="AJ116" s="168"/>
    </row>
    <row r="117" spans="1:36" x14ac:dyDescent="0.2">
      <c r="A117" s="171">
        <v>3</v>
      </c>
      <c r="B117" s="171"/>
      <c r="C117" s="171">
        <f>365.7-C115-C116</f>
        <v>112.79999999999998</v>
      </c>
      <c r="D117" s="171">
        <f>316.9-D115-D116</f>
        <v>98.799999999999983</v>
      </c>
      <c r="E117" s="171"/>
      <c r="F117" s="171"/>
      <c r="G117" s="171"/>
      <c r="H117" s="168"/>
      <c r="I117" s="176">
        <v>92.1</v>
      </c>
      <c r="J117" s="168">
        <v>3</v>
      </c>
      <c r="K117" s="168"/>
      <c r="L117" s="177">
        <v>13956</v>
      </c>
      <c r="M117" s="176">
        <v>169.89999999999998</v>
      </c>
      <c r="N117" s="176">
        <f t="shared" si="4"/>
        <v>288.4887242128122</v>
      </c>
      <c r="O117" s="177">
        <v>8952</v>
      </c>
      <c r="P117" s="176">
        <v>425.5</v>
      </c>
      <c r="Q117" s="176">
        <f t="shared" si="2"/>
        <v>722.49530401737263</v>
      </c>
      <c r="R117" s="177">
        <v>15669</v>
      </c>
      <c r="S117" s="176">
        <v>219.80000000000007</v>
      </c>
      <c r="T117" s="176">
        <f t="shared" si="3"/>
        <v>373.21849077090138</v>
      </c>
      <c r="U117" s="168"/>
      <c r="V117" s="171" t="s">
        <v>87</v>
      </c>
      <c r="W117" s="180">
        <f>IF('Tab7'!C36="",+'Tab7'!C35+'Tab11'!C35,+'Tab7'!C36+'Tab11'!C36)</f>
        <v>7261.0493963357067</v>
      </c>
      <c r="X117" s="180">
        <f>IF('Tab7'!D36="",+'Tab7'!D35+'Tab11'!D35,+'Tab7'!D36+'Tab11'!D36)</f>
        <v>7507.2033068447599</v>
      </c>
      <c r="Y117" s="180">
        <f>IF('Tab7'!E36="",+'Tab7'!E35+'Tab11'!E35,+'Tab7'!E36+'Tab11'!E36)</f>
        <v>8149.5283226513857</v>
      </c>
      <c r="Z117" s="168"/>
      <c r="AA117" s="168"/>
      <c r="AB117" s="168"/>
      <c r="AC117" s="168"/>
      <c r="AD117" s="168"/>
      <c r="AE117" s="168"/>
      <c r="AF117" s="168"/>
      <c r="AG117" s="168"/>
      <c r="AH117" s="168"/>
      <c r="AI117" s="168"/>
      <c r="AJ117" s="168"/>
    </row>
    <row r="118" spans="1:36" x14ac:dyDescent="0.2">
      <c r="A118" s="171">
        <v>4</v>
      </c>
      <c r="B118" s="171"/>
      <c r="C118" s="171">
        <f>480.2-C115-C116-C117</f>
        <v>114.49999999999997</v>
      </c>
      <c r="D118" s="171">
        <f>417.1-D115-D116-D117</f>
        <v>100.20000000000005</v>
      </c>
      <c r="E118" s="171"/>
      <c r="F118" s="171"/>
      <c r="G118" s="171"/>
      <c r="H118" s="168"/>
      <c r="I118" s="176">
        <v>92.6</v>
      </c>
      <c r="J118" s="168">
        <v>4</v>
      </c>
      <c r="K118" s="168"/>
      <c r="L118" s="177">
        <v>14006</v>
      </c>
      <c r="M118" s="176">
        <v>140.80000000000007</v>
      </c>
      <c r="N118" s="176">
        <f t="shared" si="4"/>
        <v>237.78626349892022</v>
      </c>
      <c r="O118" s="177">
        <v>8189</v>
      </c>
      <c r="P118" s="176">
        <v>390.59999999999991</v>
      </c>
      <c r="Q118" s="176">
        <f t="shared" si="2"/>
        <v>659.65422246220305</v>
      </c>
      <c r="R118" s="177">
        <v>14139</v>
      </c>
      <c r="S118" s="176">
        <v>214.39999999999998</v>
      </c>
      <c r="T118" s="176">
        <f t="shared" si="3"/>
        <v>362.08362850971923</v>
      </c>
      <c r="U118" s="168"/>
      <c r="V118" s="171"/>
      <c r="W118" s="168"/>
      <c r="X118" s="171"/>
      <c r="Y118" s="168"/>
      <c r="Z118" s="168"/>
      <c r="AA118" s="168"/>
      <c r="AB118" s="168"/>
      <c r="AC118" s="168"/>
      <c r="AD118" s="168"/>
      <c r="AE118" s="168"/>
      <c r="AF118" s="168"/>
      <c r="AG118" s="168"/>
      <c r="AH118" s="168"/>
      <c r="AI118" s="168"/>
      <c r="AJ118" s="168"/>
    </row>
    <row r="119" spans="1:36" x14ac:dyDescent="0.2">
      <c r="A119" s="171">
        <v>1</v>
      </c>
      <c r="B119" s="171">
        <v>1995</v>
      </c>
      <c r="C119" s="171">
        <v>137.19999999999999</v>
      </c>
      <c r="D119" s="171">
        <v>119.3</v>
      </c>
      <c r="E119" s="171"/>
      <c r="F119" s="171"/>
      <c r="G119" s="171"/>
      <c r="H119" s="168"/>
      <c r="I119" s="176">
        <v>93.4</v>
      </c>
      <c r="J119" s="168">
        <v>1</v>
      </c>
      <c r="K119" s="168">
        <v>1995</v>
      </c>
      <c r="L119" s="177">
        <v>13188</v>
      </c>
      <c r="M119" s="176">
        <v>171.1</v>
      </c>
      <c r="N119" s="176">
        <f t="shared" si="4"/>
        <v>286.48258565310493</v>
      </c>
      <c r="O119" s="177">
        <v>7699</v>
      </c>
      <c r="P119" s="176">
        <v>543</v>
      </c>
      <c r="Q119" s="176">
        <f t="shared" si="2"/>
        <v>909.17617773019288</v>
      </c>
      <c r="R119" s="177">
        <v>11007</v>
      </c>
      <c r="S119" s="176">
        <v>183.1</v>
      </c>
      <c r="T119" s="176">
        <f t="shared" si="3"/>
        <v>306.57487687366171</v>
      </c>
      <c r="U119" s="168"/>
      <c r="V119" s="170" t="s">
        <v>180</v>
      </c>
      <c r="W119" s="168"/>
      <c r="X119" s="168"/>
      <c r="Y119" s="168"/>
      <c r="Z119" s="168"/>
      <c r="AA119" s="168"/>
      <c r="AB119" s="168"/>
      <c r="AC119" s="168"/>
      <c r="AD119" s="168"/>
      <c r="AE119" s="168"/>
      <c r="AF119" s="168"/>
      <c r="AG119" s="168"/>
      <c r="AH119" s="168"/>
      <c r="AI119" s="168"/>
      <c r="AJ119" s="168"/>
    </row>
    <row r="120" spans="1:36" x14ac:dyDescent="0.2">
      <c r="A120" s="171">
        <v>2</v>
      </c>
      <c r="B120" s="171"/>
      <c r="C120" s="171">
        <f>248.2-C119</f>
        <v>111</v>
      </c>
      <c r="D120" s="171">
        <f>214.7-D119</f>
        <v>95.399999999999991</v>
      </c>
      <c r="E120" s="171"/>
      <c r="F120" s="171"/>
      <c r="G120" s="171"/>
      <c r="H120" s="168"/>
      <c r="I120" s="176">
        <v>94.1</v>
      </c>
      <c r="J120" s="168">
        <v>2</v>
      </c>
      <c r="K120" s="168"/>
      <c r="L120" s="177">
        <v>11077</v>
      </c>
      <c r="M120" s="176">
        <v>148.30000000000004</v>
      </c>
      <c r="N120" s="176">
        <f t="shared" si="4"/>
        <v>246.46010095642944</v>
      </c>
      <c r="O120" s="177">
        <v>5465</v>
      </c>
      <c r="P120" s="176">
        <v>462.40000000000009</v>
      </c>
      <c r="Q120" s="176">
        <f t="shared" si="2"/>
        <v>768.46359192348598</v>
      </c>
      <c r="R120" s="177">
        <v>13915</v>
      </c>
      <c r="S120" s="176">
        <v>213.4</v>
      </c>
      <c r="T120" s="176">
        <f t="shared" si="3"/>
        <v>354.64993623804469</v>
      </c>
      <c r="U120" s="168"/>
      <c r="V120" s="168"/>
      <c r="W120" s="168"/>
      <c r="X120" s="168"/>
      <c r="Y120" s="168"/>
      <c r="Z120" s="168"/>
      <c r="AA120" s="168"/>
      <c r="AB120" s="168"/>
      <c r="AC120" s="168"/>
      <c r="AD120" s="168"/>
      <c r="AE120" s="168"/>
      <c r="AF120" s="168"/>
      <c r="AG120" s="168"/>
      <c r="AH120" s="168"/>
      <c r="AI120" s="168"/>
      <c r="AJ120" s="168"/>
    </row>
    <row r="121" spans="1:36" x14ac:dyDescent="0.2">
      <c r="A121" s="171">
        <v>3</v>
      </c>
      <c r="B121" s="171"/>
      <c r="C121" s="171">
        <f>364.1-C119-C120</f>
        <v>115.90000000000003</v>
      </c>
      <c r="D121" s="171">
        <f>315.7-D119-D120</f>
        <v>100.99999999999999</v>
      </c>
      <c r="E121" s="171"/>
      <c r="F121" s="171"/>
      <c r="G121" s="171"/>
      <c r="H121" s="168"/>
      <c r="I121" s="176">
        <v>94.1</v>
      </c>
      <c r="J121" s="168">
        <v>3</v>
      </c>
      <c r="K121" s="168"/>
      <c r="L121" s="177">
        <v>13937</v>
      </c>
      <c r="M121" s="176">
        <v>180.19999999999993</v>
      </c>
      <c r="N121" s="176">
        <f t="shared" si="4"/>
        <v>299.47478214665244</v>
      </c>
      <c r="O121" s="177">
        <v>9139</v>
      </c>
      <c r="P121" s="176">
        <v>487.89999999999986</v>
      </c>
      <c r="Q121" s="176">
        <f t="shared" si="2"/>
        <v>810.84209883103074</v>
      </c>
      <c r="R121" s="177">
        <v>17436</v>
      </c>
      <c r="S121" s="176">
        <v>224.09999999999991</v>
      </c>
      <c r="T121" s="176">
        <f t="shared" si="3"/>
        <v>372.43229011689681</v>
      </c>
      <c r="U121" s="168"/>
      <c r="V121" s="171"/>
      <c r="W121" s="175" t="str">
        <f>+'Tab3'!C6</f>
        <v>2019</v>
      </c>
      <c r="X121" s="175" t="str">
        <f>+'Tab3'!D6</f>
        <v>2020</v>
      </c>
      <c r="Y121" s="175" t="str">
        <f>+'Tab3'!E6</f>
        <v>2021</v>
      </c>
      <c r="Z121" s="168"/>
      <c r="AA121" s="168"/>
      <c r="AB121" s="168"/>
      <c r="AC121" s="168"/>
      <c r="AD121" s="168"/>
      <c r="AE121" s="168"/>
      <c r="AF121" s="168"/>
      <c r="AG121" s="168"/>
      <c r="AH121" s="168"/>
      <c r="AI121" s="168"/>
      <c r="AJ121" s="168"/>
    </row>
    <row r="122" spans="1:36" x14ac:dyDescent="0.2">
      <c r="A122" s="171">
        <v>4</v>
      </c>
      <c r="B122" s="171"/>
      <c r="C122" s="171">
        <f>482.9-C119-C120-C121</f>
        <v>118.79999999999995</v>
      </c>
      <c r="D122" s="171">
        <f>420.1-D119-D120-D121</f>
        <v>104.40000000000005</v>
      </c>
      <c r="E122" s="171"/>
      <c r="F122" s="171"/>
      <c r="G122" s="171"/>
      <c r="H122" s="168"/>
      <c r="I122" s="176">
        <v>94.6</v>
      </c>
      <c r="J122" s="168">
        <v>4</v>
      </c>
      <c r="K122" s="168"/>
      <c r="L122" s="177">
        <v>13920</v>
      </c>
      <c r="M122" s="176">
        <v>172.00000000000006</v>
      </c>
      <c r="N122" s="176">
        <f t="shared" si="4"/>
        <v>284.33636363636379</v>
      </c>
      <c r="O122" s="177">
        <v>7500</v>
      </c>
      <c r="P122" s="176">
        <v>369.89999999999986</v>
      </c>
      <c r="Q122" s="176">
        <f t="shared" si="2"/>
        <v>611.48849365750516</v>
      </c>
      <c r="R122" s="177">
        <v>15130</v>
      </c>
      <c r="S122" s="176">
        <v>206.30000000000018</v>
      </c>
      <c r="T122" s="176">
        <f t="shared" si="3"/>
        <v>341.03832452431323</v>
      </c>
      <c r="U122" s="168"/>
      <c r="V122" s="171" t="s">
        <v>10</v>
      </c>
      <c r="W122" s="175">
        <f>IF('Tab3'!C22="",'Tab3'!C29,'Tab3'!C30)</f>
        <v>164509.61538461538</v>
      </c>
      <c r="X122" s="175">
        <f>IF('Tab3'!D22="",'Tab3'!D29,'Tab3'!D30)</f>
        <v>294870</v>
      </c>
      <c r="Y122" s="175">
        <f>IF('Tab3'!E22="",'Tab3'!E29,'Tab3'!E30)</f>
        <v>62196</v>
      </c>
      <c r="Z122" s="168"/>
      <c r="AA122" s="168"/>
      <c r="AB122" s="168"/>
      <c r="AC122" s="168"/>
      <c r="AD122" s="168"/>
      <c r="AE122" s="168"/>
      <c r="AF122" s="168"/>
      <c r="AG122" s="168"/>
      <c r="AH122" s="168"/>
      <c r="AI122" s="168"/>
      <c r="AJ122" s="168"/>
    </row>
    <row r="123" spans="1:36" x14ac:dyDescent="0.2">
      <c r="A123" s="171">
        <v>1</v>
      </c>
      <c r="B123" s="171">
        <v>1996</v>
      </c>
      <c r="C123" s="171">
        <v>143.9</v>
      </c>
      <c r="D123" s="171">
        <v>126.9</v>
      </c>
      <c r="E123" s="171"/>
      <c r="F123" s="171"/>
      <c r="G123" s="171"/>
      <c r="H123" s="168"/>
      <c r="I123" s="176">
        <v>94.2</v>
      </c>
      <c r="J123" s="168">
        <v>1</v>
      </c>
      <c r="K123" s="168">
        <v>1996</v>
      </c>
      <c r="L123" s="177">
        <v>29850</v>
      </c>
      <c r="M123" s="176">
        <v>375.59999999999997</v>
      </c>
      <c r="N123" s="176">
        <f t="shared" si="4"/>
        <v>623.5478343949045</v>
      </c>
      <c r="O123" s="177">
        <v>7239</v>
      </c>
      <c r="P123" s="176">
        <v>479.9</v>
      </c>
      <c r="Q123" s="176">
        <f t="shared" si="2"/>
        <v>796.70022823779198</v>
      </c>
      <c r="R123" s="177">
        <v>11785</v>
      </c>
      <c r="S123" s="176">
        <v>198.60000000000002</v>
      </c>
      <c r="T123" s="176">
        <f t="shared" si="3"/>
        <v>329.70340764331218</v>
      </c>
      <c r="U123" s="168"/>
      <c r="V123" s="168" t="s">
        <v>112</v>
      </c>
      <c r="W123" s="175">
        <f>IF('Tab9'!C8="",'Tab9'!C7,'Tab9'!C8)</f>
        <v>62005.236871937072</v>
      </c>
      <c r="X123" s="175">
        <f>IF('Tab9'!D8="",'Tab9'!D7,'Tab9'!D8)</f>
        <v>66159.205778553864</v>
      </c>
      <c r="Y123" s="175">
        <f>IF('Tab9'!E8="",'Tab9'!E7,'Tab9'!E8)</f>
        <v>76519.52491323532</v>
      </c>
      <c r="Z123" s="168"/>
      <c r="AA123" s="168"/>
      <c r="AB123" s="168"/>
      <c r="AC123" s="168"/>
      <c r="AD123" s="168"/>
      <c r="AE123" s="168"/>
      <c r="AF123" s="168"/>
      <c r="AG123" s="168"/>
      <c r="AH123" s="168"/>
      <c r="AI123" s="168"/>
      <c r="AJ123" s="168"/>
    </row>
    <row r="124" spans="1:36" x14ac:dyDescent="0.2">
      <c r="A124" s="171">
        <v>2</v>
      </c>
      <c r="B124" s="171"/>
      <c r="C124" s="171">
        <f>275.5-C123</f>
        <v>131.6</v>
      </c>
      <c r="D124" s="171">
        <f>242.6-D123</f>
        <v>115.69999999999999</v>
      </c>
      <c r="E124" s="171"/>
      <c r="F124" s="171"/>
      <c r="G124" s="171"/>
      <c r="H124" s="168"/>
      <c r="I124" s="176">
        <v>95.1</v>
      </c>
      <c r="J124" s="168">
        <v>2</v>
      </c>
      <c r="K124" s="168"/>
      <c r="L124" s="177">
        <v>17799</v>
      </c>
      <c r="M124" s="176">
        <v>234.8</v>
      </c>
      <c r="N124" s="176">
        <f t="shared" si="4"/>
        <v>386.1114405888539</v>
      </c>
      <c r="O124" s="177">
        <v>6503</v>
      </c>
      <c r="P124" s="176">
        <v>585.30000000000007</v>
      </c>
      <c r="Q124" s="176">
        <f t="shared" si="2"/>
        <v>962.48307570977943</v>
      </c>
      <c r="R124" s="177">
        <v>14642</v>
      </c>
      <c r="S124" s="176">
        <v>220.09999999999997</v>
      </c>
      <c r="T124" s="176">
        <f t="shared" si="3"/>
        <v>361.9383648790747</v>
      </c>
      <c r="U124" s="168"/>
      <c r="V124" s="168" t="s">
        <v>111</v>
      </c>
      <c r="W124" s="175">
        <f>IF('Tab8'!C8="",'Tab8'!C7,'Tab8'!C8)</f>
        <v>98699.424545248432</v>
      </c>
      <c r="X124" s="175">
        <f>IF('Tab8'!D8="",'Tab8'!D7,'Tab8'!D8)</f>
        <v>106839.91951412651</v>
      </c>
      <c r="Y124" s="175">
        <f>IF('Tab8'!E8="",'Tab8'!E7,'Tab8'!E8)</f>
        <v>118109</v>
      </c>
      <c r="Z124" s="168"/>
      <c r="AA124" s="168"/>
      <c r="AB124" s="168"/>
      <c r="AC124" s="168"/>
      <c r="AD124" s="168"/>
      <c r="AE124" s="168"/>
      <c r="AF124" s="168"/>
      <c r="AG124" s="168"/>
      <c r="AH124" s="168"/>
      <c r="AI124" s="168"/>
      <c r="AJ124" s="168"/>
    </row>
    <row r="125" spans="1:36" x14ac:dyDescent="0.2">
      <c r="A125" s="171">
        <v>3</v>
      </c>
      <c r="B125" s="171"/>
      <c r="C125" s="171">
        <f>387.5-C123-C124</f>
        <v>112</v>
      </c>
      <c r="D125" s="171">
        <f>339.3-D123-D124</f>
        <v>96.700000000000017</v>
      </c>
      <c r="E125" s="171"/>
      <c r="F125" s="171"/>
      <c r="G125" s="171"/>
      <c r="H125" s="168"/>
      <c r="I125" s="176">
        <v>95.5</v>
      </c>
      <c r="J125" s="168">
        <v>3</v>
      </c>
      <c r="K125" s="168"/>
      <c r="L125" s="177">
        <v>16263</v>
      </c>
      <c r="M125" s="176">
        <v>240.00000000000011</v>
      </c>
      <c r="N125" s="176">
        <f t="shared" si="4"/>
        <v>393.00942408376989</v>
      </c>
      <c r="O125" s="177">
        <v>8934</v>
      </c>
      <c r="P125" s="176">
        <v>581.89999999999986</v>
      </c>
      <c r="Q125" s="176">
        <f t="shared" si="2"/>
        <v>952.8840994764397</v>
      </c>
      <c r="R125" s="177">
        <v>17198</v>
      </c>
      <c r="S125" s="176">
        <v>233.2</v>
      </c>
      <c r="T125" s="176">
        <f t="shared" si="3"/>
        <v>381.87415706806286</v>
      </c>
      <c r="U125" s="168"/>
      <c r="V125" s="171" t="s">
        <v>169</v>
      </c>
      <c r="W125" s="175">
        <f>IF('Tab3'!C16="",'Tab3'!C15,'Tab3'!C16)</f>
        <v>23125.531931836278</v>
      </c>
      <c r="X125" s="175">
        <f>IF('Tab3'!D16="",'Tab3'!D15,'Tab3'!D16)</f>
        <v>21334.431123936934</v>
      </c>
      <c r="Y125" s="175">
        <f>IF('Tab3'!E16="",'Tab3'!E15,'Tab3'!E16)</f>
        <v>24373.170409300845</v>
      </c>
      <c r="Z125" s="168"/>
      <c r="AA125" s="168"/>
      <c r="AB125" s="168"/>
      <c r="AC125" s="168"/>
      <c r="AD125" s="168"/>
      <c r="AE125" s="168"/>
      <c r="AF125" s="168"/>
      <c r="AG125" s="168"/>
      <c r="AH125" s="168"/>
      <c r="AI125" s="168"/>
      <c r="AJ125" s="168"/>
    </row>
    <row r="126" spans="1:36" x14ac:dyDescent="0.2">
      <c r="A126" s="171">
        <v>4</v>
      </c>
      <c r="B126" s="171"/>
      <c r="C126" s="171">
        <f>520-C123-C124-C125</f>
        <v>132.50000000000003</v>
      </c>
      <c r="D126" s="171">
        <f>452.4-D123-D124-D125</f>
        <v>113.1</v>
      </c>
      <c r="E126" s="171"/>
      <c r="F126" s="171"/>
      <c r="G126" s="171"/>
      <c r="H126" s="168"/>
      <c r="I126" s="176">
        <v>96.3</v>
      </c>
      <c r="J126" s="168">
        <v>4</v>
      </c>
      <c r="K126" s="168"/>
      <c r="L126" s="177">
        <v>16638</v>
      </c>
      <c r="M126" s="176">
        <v>233.40000000000009</v>
      </c>
      <c r="N126" s="176">
        <f t="shared" si="4"/>
        <v>379.02657320872294</v>
      </c>
      <c r="O126" s="177">
        <v>7966</v>
      </c>
      <c r="P126" s="176">
        <v>665.80000000000018</v>
      </c>
      <c r="Q126" s="176">
        <f t="shared" si="2"/>
        <v>1081.2163343717555</v>
      </c>
      <c r="R126" s="177">
        <v>13841</v>
      </c>
      <c r="S126" s="176">
        <v>188.00000000000011</v>
      </c>
      <c r="T126" s="176">
        <f t="shared" si="3"/>
        <v>305.29989615784029</v>
      </c>
      <c r="U126" s="168"/>
      <c r="V126" s="168"/>
      <c r="W126" s="168"/>
      <c r="X126" s="168"/>
      <c r="Y126" s="168"/>
      <c r="Z126" s="168"/>
      <c r="AA126" s="168"/>
      <c r="AB126" s="168"/>
      <c r="AC126" s="168"/>
      <c r="AD126" s="168"/>
      <c r="AE126" s="168"/>
      <c r="AF126" s="168"/>
      <c r="AG126" s="168"/>
      <c r="AH126" s="168"/>
      <c r="AI126" s="168"/>
      <c r="AJ126" s="168"/>
    </row>
    <row r="127" spans="1:36" x14ac:dyDescent="0.2">
      <c r="A127" s="171">
        <v>1</v>
      </c>
      <c r="B127" s="171">
        <v>1997</v>
      </c>
      <c r="C127" s="171">
        <v>142.6</v>
      </c>
      <c r="D127" s="171">
        <v>124.8</v>
      </c>
      <c r="E127" s="171"/>
      <c r="F127" s="171"/>
      <c r="G127" s="171"/>
      <c r="H127" s="168"/>
      <c r="I127" s="176">
        <v>97.3</v>
      </c>
      <c r="J127" s="168">
        <v>1</v>
      </c>
      <c r="K127" s="168">
        <v>1997</v>
      </c>
      <c r="L127" s="177">
        <v>17837</v>
      </c>
      <c r="M127" s="176">
        <v>255.29999999999998</v>
      </c>
      <c r="N127" s="176">
        <f t="shared" si="4"/>
        <v>410.32980986639262</v>
      </c>
      <c r="O127" s="177">
        <v>7574</v>
      </c>
      <c r="P127" s="176">
        <v>625.70000000000005</v>
      </c>
      <c r="Q127" s="176">
        <f t="shared" si="2"/>
        <v>1005.6535919835562</v>
      </c>
      <c r="R127" s="177">
        <v>10571</v>
      </c>
      <c r="S127" s="176">
        <v>187.8</v>
      </c>
      <c r="T127" s="176">
        <f t="shared" si="3"/>
        <v>301.8407297019528</v>
      </c>
      <c r="U127" s="168"/>
      <c r="V127" s="170" t="s">
        <v>181</v>
      </c>
      <c r="W127" s="168"/>
      <c r="X127" s="168"/>
      <c r="Y127" s="168"/>
      <c r="Z127" s="168"/>
      <c r="AA127" s="168"/>
      <c r="AB127" s="168"/>
      <c r="AC127" s="168"/>
      <c r="AD127" s="168"/>
      <c r="AE127" s="168"/>
      <c r="AF127" s="168"/>
      <c r="AG127" s="168"/>
      <c r="AH127" s="168"/>
      <c r="AI127" s="168"/>
      <c r="AJ127" s="168"/>
    </row>
    <row r="128" spans="1:36" x14ac:dyDescent="0.2">
      <c r="A128" s="171">
        <v>2</v>
      </c>
      <c r="B128" s="171"/>
      <c r="C128" s="171">
        <f>284.4-C127</f>
        <v>141.79999999999998</v>
      </c>
      <c r="D128" s="171">
        <f>247.3-D127</f>
        <v>122.50000000000001</v>
      </c>
      <c r="E128" s="171"/>
      <c r="F128" s="171"/>
      <c r="G128" s="171"/>
      <c r="H128" s="168"/>
      <c r="I128" s="176">
        <v>97.7</v>
      </c>
      <c r="J128" s="168">
        <v>2</v>
      </c>
      <c r="K128" s="168"/>
      <c r="L128" s="177">
        <v>16872</v>
      </c>
      <c r="M128" s="176">
        <v>281.30000000000007</v>
      </c>
      <c r="N128" s="176">
        <f t="shared" si="4"/>
        <v>450.26714943705235</v>
      </c>
      <c r="O128" s="177">
        <v>7284</v>
      </c>
      <c r="P128" s="176">
        <v>664.39999999999986</v>
      </c>
      <c r="Q128" s="176">
        <f t="shared" si="2"/>
        <v>1063.4820266120776</v>
      </c>
      <c r="R128" s="177">
        <v>14837</v>
      </c>
      <c r="S128" s="176">
        <v>224.59999999999997</v>
      </c>
      <c r="T128" s="176">
        <f t="shared" si="3"/>
        <v>359.50942681678606</v>
      </c>
      <c r="U128" s="168"/>
      <c r="V128" s="168"/>
      <c r="W128" s="175" t="str">
        <f>+'Tab3'!C6</f>
        <v>2019</v>
      </c>
      <c r="X128" s="175" t="str">
        <f>+'Tab3'!D6</f>
        <v>2020</v>
      </c>
      <c r="Y128" s="175" t="str">
        <f>+'Tab3'!E6</f>
        <v>2021</v>
      </c>
      <c r="Z128" s="168"/>
      <c r="AA128" s="168"/>
      <c r="AB128" s="168"/>
      <c r="AC128" s="168"/>
      <c r="AD128" s="168"/>
      <c r="AE128" s="168"/>
      <c r="AF128" s="168"/>
      <c r="AG128" s="168"/>
      <c r="AH128" s="168"/>
      <c r="AI128" s="168"/>
      <c r="AJ128" s="168"/>
    </row>
    <row r="129" spans="1:36" x14ac:dyDescent="0.2">
      <c r="A129" s="171">
        <v>3</v>
      </c>
      <c r="B129" s="171"/>
      <c r="C129" s="171">
        <f>419.8-C127-C128</f>
        <v>135.40000000000006</v>
      </c>
      <c r="D129" s="171">
        <f>364.6-D127-D128</f>
        <v>117.3</v>
      </c>
      <c r="E129" s="171"/>
      <c r="F129" s="171" t="s">
        <v>74</v>
      </c>
      <c r="G129" s="171"/>
      <c r="H129" s="168"/>
      <c r="I129" s="176">
        <v>97.7</v>
      </c>
      <c r="J129" s="168">
        <v>3</v>
      </c>
      <c r="K129" s="168"/>
      <c r="L129" s="177">
        <v>17873</v>
      </c>
      <c r="M129" s="176">
        <v>297.89999999999998</v>
      </c>
      <c r="N129" s="176">
        <f t="shared" si="4"/>
        <v>476.83819344933471</v>
      </c>
      <c r="O129" s="177">
        <v>14581</v>
      </c>
      <c r="P129" s="176">
        <v>720.30000000000018</v>
      </c>
      <c r="Q129" s="176">
        <f t="shared" si="2"/>
        <v>1152.9592169907885</v>
      </c>
      <c r="R129" s="177">
        <v>15670</v>
      </c>
      <c r="S129" s="176">
        <v>198.80000000000007</v>
      </c>
      <c r="T129" s="176">
        <f t="shared" si="3"/>
        <v>318.21226202661222</v>
      </c>
      <c r="U129" s="168"/>
      <c r="V129" s="171" t="s">
        <v>11</v>
      </c>
      <c r="W129" s="175">
        <f>IF('Tab3'!C30="",'Tab3'!C31,'Tab3'!C32)</f>
        <v>4431.5187032418953</v>
      </c>
      <c r="X129" s="175">
        <f>IF('Tab3'!D30="",'Tab3'!D31,'Tab3'!D32)</f>
        <v>5589.2439507481295</v>
      </c>
      <c r="Y129" s="175">
        <f>IF('Tab3'!E30="",'Tab3'!E31,'Tab3'!E32)</f>
        <v>5363.9700748129671</v>
      </c>
      <c r="Z129" s="168"/>
      <c r="AA129" s="168"/>
      <c r="AB129" s="168"/>
      <c r="AC129" s="168"/>
      <c r="AD129" s="168"/>
      <c r="AE129" s="168"/>
      <c r="AF129" s="168"/>
      <c r="AG129" s="168"/>
      <c r="AH129" s="168"/>
      <c r="AI129" s="168"/>
      <c r="AJ129" s="168"/>
    </row>
    <row r="130" spans="1:36" x14ac:dyDescent="0.2">
      <c r="A130" s="171">
        <v>4</v>
      </c>
      <c r="B130" s="171"/>
      <c r="C130" s="171">
        <f>550.4-C127-C128-C129</f>
        <v>130.59999999999994</v>
      </c>
      <c r="D130" s="171">
        <f>478.3-D127-D128-D129</f>
        <v>113.7</v>
      </c>
      <c r="E130" s="171"/>
      <c r="F130" s="171"/>
      <c r="G130" s="171"/>
      <c r="H130" s="168"/>
      <c r="I130" s="176">
        <v>98.4</v>
      </c>
      <c r="J130" s="168">
        <v>4</v>
      </c>
      <c r="K130" s="168"/>
      <c r="L130" s="177">
        <v>15493</v>
      </c>
      <c r="M130" s="176">
        <v>267.70000000000005</v>
      </c>
      <c r="N130" s="176">
        <f t="shared" si="4"/>
        <v>425.44984247967488</v>
      </c>
      <c r="O130" s="177">
        <v>9445</v>
      </c>
      <c r="P130" s="176">
        <v>564</v>
      </c>
      <c r="Q130" s="176">
        <f t="shared" si="2"/>
        <v>896.35304878048782</v>
      </c>
      <c r="R130" s="177">
        <v>13087</v>
      </c>
      <c r="S130" s="176">
        <v>185.09999999999991</v>
      </c>
      <c r="T130" s="176">
        <f t="shared" si="3"/>
        <v>294.17544207317059</v>
      </c>
      <c r="U130" s="168"/>
      <c r="V130" s="171" t="s">
        <v>12</v>
      </c>
      <c r="W130" s="175">
        <f>IF('Tab3'!C32="",'Tab3'!C33,'Tab3'!C34)</f>
        <v>5862.3879999999999</v>
      </c>
      <c r="X130" s="175">
        <f>IF('Tab3'!D32="",'Tab3'!D33,'Tab3'!D34)</f>
        <v>5601.33677102</v>
      </c>
      <c r="Y130" s="175">
        <f>IF('Tab3'!E32="",'Tab3'!E33,'Tab3'!E34)</f>
        <v>6032.4699999999993</v>
      </c>
      <c r="Z130" s="168"/>
      <c r="AA130" s="168"/>
      <c r="AB130" s="168"/>
      <c r="AC130" s="168"/>
      <c r="AD130" s="168"/>
      <c r="AE130" s="168"/>
      <c r="AF130" s="168"/>
      <c r="AG130" s="168"/>
      <c r="AH130" s="168"/>
      <c r="AI130" s="168"/>
      <c r="AJ130" s="168"/>
    </row>
    <row r="131" spans="1:36" x14ac:dyDescent="0.2">
      <c r="A131" s="171">
        <v>1</v>
      </c>
      <c r="B131" s="171">
        <v>1998</v>
      </c>
      <c r="C131" s="171">
        <v>150</v>
      </c>
      <c r="D131" s="171">
        <v>131.9</v>
      </c>
      <c r="E131" s="171"/>
      <c r="F131" s="171" t="s">
        <v>78</v>
      </c>
      <c r="G131" s="171"/>
      <c r="H131" s="168"/>
      <c r="I131" s="176">
        <v>99.3</v>
      </c>
      <c r="J131" s="168">
        <v>1</v>
      </c>
      <c r="K131" s="168">
        <v>1998</v>
      </c>
      <c r="L131" s="177">
        <v>17629</v>
      </c>
      <c r="M131" s="176">
        <v>285</v>
      </c>
      <c r="N131" s="176">
        <f t="shared" si="4"/>
        <v>448.83912386706953</v>
      </c>
      <c r="O131" s="177">
        <v>7614</v>
      </c>
      <c r="P131" s="176">
        <v>599.6</v>
      </c>
      <c r="Q131" s="176">
        <f t="shared" si="2"/>
        <v>944.29452165156113</v>
      </c>
      <c r="R131" s="177">
        <v>11958</v>
      </c>
      <c r="S131" s="176">
        <v>185.4</v>
      </c>
      <c r="T131" s="176">
        <f t="shared" si="3"/>
        <v>291.98166163142002</v>
      </c>
      <c r="U131" s="168"/>
      <c r="V131" s="171" t="s">
        <v>7</v>
      </c>
      <c r="W131" s="175">
        <f>IF('Tab3'!C18="",'Tab3'!C17,'Tab3'!C18)</f>
        <v>5021.5564408163264</v>
      </c>
      <c r="X131" s="175">
        <f>IF('Tab3'!D18="",'Tab3'!D17,'Tab3'!D18)</f>
        <v>4272.1273306122448</v>
      </c>
      <c r="Y131" s="175">
        <f>IF('Tab3'!E18="",'Tab3'!E17,'Tab3'!E18)</f>
        <v>4512.3466285714285</v>
      </c>
      <c r="Z131" s="168"/>
      <c r="AA131" s="168"/>
      <c r="AB131" s="168"/>
      <c r="AC131" s="168"/>
      <c r="AD131" s="168"/>
      <c r="AE131" s="168"/>
      <c r="AF131" s="168"/>
      <c r="AG131" s="168"/>
      <c r="AH131" s="168"/>
      <c r="AI131" s="168"/>
      <c r="AJ131" s="168"/>
    </row>
    <row r="132" spans="1:36" x14ac:dyDescent="0.2">
      <c r="A132" s="171">
        <v>2</v>
      </c>
      <c r="B132" s="171"/>
      <c r="C132" s="171">
        <f>289.8-C131</f>
        <v>139.80000000000001</v>
      </c>
      <c r="D132" s="171">
        <f>253.9-D131</f>
        <v>122</v>
      </c>
      <c r="E132" s="171"/>
      <c r="F132" s="171" t="s">
        <v>79</v>
      </c>
      <c r="G132" s="171" t="s">
        <v>80</v>
      </c>
      <c r="H132" s="168"/>
      <c r="I132" s="176">
        <v>99.7</v>
      </c>
      <c r="J132" s="168">
        <v>2</v>
      </c>
      <c r="K132" s="168"/>
      <c r="L132" s="177">
        <v>14484</v>
      </c>
      <c r="M132" s="176">
        <v>253.5</v>
      </c>
      <c r="N132" s="176">
        <f t="shared" si="4"/>
        <v>397.6288615847543</v>
      </c>
      <c r="O132" s="177">
        <v>6009</v>
      </c>
      <c r="P132" s="176">
        <v>576.9</v>
      </c>
      <c r="Q132" s="176">
        <f t="shared" si="2"/>
        <v>904.89976429287867</v>
      </c>
      <c r="R132" s="177">
        <v>15060</v>
      </c>
      <c r="S132" s="176">
        <v>204.20000000000002</v>
      </c>
      <c r="T132" s="176">
        <f t="shared" si="3"/>
        <v>320.29906720160483</v>
      </c>
      <c r="U132" s="168"/>
      <c r="V132" s="168" t="s">
        <v>113</v>
      </c>
      <c r="W132" s="175">
        <f>IF('Tab10'!C8="",'Tab10'!C7,'Tab10'!C8)</f>
        <v>7919.3159106367393</v>
      </c>
      <c r="X132" s="175">
        <f>IF('Tab10'!D8="",'Tab10'!D7,'Tab10'!D8)</f>
        <v>9385.896054622508</v>
      </c>
      <c r="Y132" s="175">
        <f>IF('Tab10'!E8="",'Tab10'!E7,'Tab10'!E8)</f>
        <v>11835</v>
      </c>
      <c r="Z132" s="168"/>
      <c r="AA132" s="168"/>
      <c r="AB132" s="168"/>
      <c r="AC132" s="168"/>
      <c r="AD132" s="168"/>
      <c r="AE132" s="168"/>
      <c r="AF132" s="168"/>
      <c r="AG132" s="168"/>
      <c r="AH132" s="168"/>
      <c r="AI132" s="168"/>
      <c r="AJ132" s="168"/>
    </row>
    <row r="133" spans="1:36" x14ac:dyDescent="0.2">
      <c r="A133" s="171">
        <v>3</v>
      </c>
      <c r="B133" s="171"/>
      <c r="C133" s="171">
        <f>+E133-C131-C132</f>
        <v>128.09999999999997</v>
      </c>
      <c r="D133" s="171">
        <f>+G133-D131-D132</f>
        <v>112.1</v>
      </c>
      <c r="E133" s="171">
        <v>417.9</v>
      </c>
      <c r="F133" s="168"/>
      <c r="G133" s="171">
        <v>366</v>
      </c>
      <c r="H133" s="168"/>
      <c r="I133" s="180">
        <v>99.8</v>
      </c>
      <c r="J133" s="168">
        <v>3</v>
      </c>
      <c r="K133" s="168"/>
      <c r="L133" s="177">
        <v>15693</v>
      </c>
      <c r="M133" s="176">
        <v>257.89999999999998</v>
      </c>
      <c r="N133" s="176">
        <f t="shared" si="4"/>
        <v>404.12516533066133</v>
      </c>
      <c r="O133" s="177">
        <v>8328</v>
      </c>
      <c r="P133" s="176">
        <v>432.80000000000018</v>
      </c>
      <c r="Q133" s="176">
        <f t="shared" si="2"/>
        <v>678.19066132264572</v>
      </c>
      <c r="R133" s="177">
        <v>17098</v>
      </c>
      <c r="S133" s="176">
        <v>209.60000000000002</v>
      </c>
      <c r="T133" s="176">
        <f t="shared" si="3"/>
        <v>328.43983967935878</v>
      </c>
      <c r="U133" s="168"/>
      <c r="V133" s="171" t="s">
        <v>9</v>
      </c>
      <c r="W133" s="175">
        <f>IF('Tab3'!C22="",'Tab3'!C21,'Tab3'!C22)</f>
        <v>13899.584999999999</v>
      </c>
      <c r="X133" s="175">
        <f>IF('Tab3'!D22="",'Tab3'!D21,'Tab3'!D22)</f>
        <v>12597.658333333333</v>
      </c>
      <c r="Y133" s="175">
        <f>IF('Tab3'!E22="",'Tab3'!E21,'Tab3'!E22)</f>
        <v>14157.14</v>
      </c>
      <c r="Z133" s="168"/>
      <c r="AA133" s="168"/>
      <c r="AB133" s="168"/>
      <c r="AC133" s="168"/>
      <c r="AD133" s="168"/>
      <c r="AE133" s="168"/>
      <c r="AF133" s="168"/>
      <c r="AG133" s="168"/>
      <c r="AH133" s="168"/>
      <c r="AI133" s="168"/>
      <c r="AJ133" s="168"/>
    </row>
    <row r="134" spans="1:36" x14ac:dyDescent="0.2">
      <c r="A134" s="171">
        <v>4</v>
      </c>
      <c r="B134" s="171"/>
      <c r="C134" s="171">
        <f>+E134-E133</f>
        <v>141.80000000000007</v>
      </c>
      <c r="D134" s="171">
        <f>+G134-G133</f>
        <v>125.60000000000002</v>
      </c>
      <c r="E134" s="171">
        <v>559.70000000000005</v>
      </c>
      <c r="F134" s="168"/>
      <c r="G134" s="171">
        <v>491.6</v>
      </c>
      <c r="H134" s="168"/>
      <c r="I134" s="180">
        <v>100.7</v>
      </c>
      <c r="J134" s="168">
        <v>4</v>
      </c>
      <c r="K134" s="168"/>
      <c r="L134" s="177">
        <v>16502</v>
      </c>
      <c r="M134" s="176">
        <v>299.10000000000002</v>
      </c>
      <c r="N134" s="176">
        <f t="shared" si="4"/>
        <v>464.49606256206562</v>
      </c>
      <c r="O134" s="177">
        <v>7526</v>
      </c>
      <c r="P134" s="176">
        <v>738.59999999999945</v>
      </c>
      <c r="Q134" s="176">
        <f t="shared" si="2"/>
        <v>1147.0303972194629</v>
      </c>
      <c r="R134" s="177">
        <v>14647</v>
      </c>
      <c r="S134" s="176">
        <v>205.79999999999995</v>
      </c>
      <c r="T134" s="176">
        <f t="shared" si="3"/>
        <v>319.60310824230385</v>
      </c>
      <c r="U134" s="168"/>
      <c r="V134" s="168"/>
      <c r="W134" s="168"/>
      <c r="X134" s="168"/>
      <c r="Y134" s="168"/>
      <c r="Z134" s="168"/>
      <c r="AA134" s="168"/>
      <c r="AB134" s="168"/>
      <c r="AC134" s="168"/>
      <c r="AD134" s="168"/>
      <c r="AE134" s="168"/>
      <c r="AF134" s="168"/>
      <c r="AG134" s="168"/>
      <c r="AH134" s="168"/>
      <c r="AI134" s="168"/>
      <c r="AJ134" s="168"/>
    </row>
    <row r="135" spans="1:36" x14ac:dyDescent="0.2">
      <c r="A135" s="171">
        <v>1</v>
      </c>
      <c r="B135" s="171">
        <v>1999</v>
      </c>
      <c r="C135" s="171">
        <f>+E135</f>
        <v>154.19999999999999</v>
      </c>
      <c r="D135" s="171">
        <f>+G135</f>
        <v>137.1</v>
      </c>
      <c r="E135" s="171">
        <v>154.19999999999999</v>
      </c>
      <c r="F135" s="168"/>
      <c r="G135" s="171">
        <v>137.1</v>
      </c>
      <c r="H135" s="168"/>
      <c r="I135" s="180">
        <v>101.4</v>
      </c>
      <c r="J135" s="168">
        <v>1</v>
      </c>
      <c r="K135" s="168">
        <v>1999</v>
      </c>
      <c r="L135" s="177">
        <v>18095</v>
      </c>
      <c r="M135" s="176">
        <v>328.50000000000006</v>
      </c>
      <c r="N135" s="176">
        <f t="shared" si="4"/>
        <v>506.63187869822497</v>
      </c>
      <c r="O135" s="177">
        <v>8863</v>
      </c>
      <c r="P135" s="176">
        <v>689.1</v>
      </c>
      <c r="Q135" s="176">
        <f t="shared" si="2"/>
        <v>1062.7702514792902</v>
      </c>
      <c r="R135" s="177">
        <v>11175</v>
      </c>
      <c r="S135" s="176">
        <v>162.80000000000001</v>
      </c>
      <c r="T135" s="176">
        <f t="shared" si="3"/>
        <v>251.0796646942801</v>
      </c>
      <c r="U135" s="168"/>
      <c r="V135" s="168"/>
      <c r="W135" s="168"/>
      <c r="X135" s="168"/>
      <c r="Y135" s="168"/>
      <c r="Z135" s="168"/>
      <c r="AA135" s="168"/>
      <c r="AB135" s="168"/>
      <c r="AC135" s="168"/>
      <c r="AD135" s="168"/>
      <c r="AE135" s="168"/>
      <c r="AF135" s="168"/>
      <c r="AG135" s="168"/>
      <c r="AH135" s="168"/>
      <c r="AI135" s="168"/>
      <c r="AJ135" s="168"/>
    </row>
    <row r="136" spans="1:36" x14ac:dyDescent="0.2">
      <c r="A136" s="171">
        <v>2</v>
      </c>
      <c r="B136" s="171"/>
      <c r="C136" s="171">
        <f>+E136-E135</f>
        <v>159.30000000000001</v>
      </c>
      <c r="D136" s="171">
        <f>+G136-G135</f>
        <v>140.70000000000002</v>
      </c>
      <c r="E136" s="171">
        <v>313.5</v>
      </c>
      <c r="F136" s="168"/>
      <c r="G136" s="171">
        <v>277.8</v>
      </c>
      <c r="H136" s="168"/>
      <c r="I136" s="180">
        <v>102.2</v>
      </c>
      <c r="J136" s="168">
        <v>2</v>
      </c>
      <c r="K136" s="168"/>
      <c r="L136" s="177">
        <v>12899</v>
      </c>
      <c r="M136" s="176">
        <v>332.7</v>
      </c>
      <c r="N136" s="176">
        <f t="shared" si="4"/>
        <v>509.09285225048927</v>
      </c>
      <c r="O136" s="177">
        <v>5920</v>
      </c>
      <c r="P136" s="176">
        <v>874.6</v>
      </c>
      <c r="Q136" s="176">
        <f t="shared" si="2"/>
        <v>1338.3005968688847</v>
      </c>
      <c r="R136" s="177">
        <v>12451</v>
      </c>
      <c r="S136" s="176">
        <v>199.09999999999997</v>
      </c>
      <c r="T136" s="176">
        <f t="shared" si="3"/>
        <v>304.66001467710373</v>
      </c>
      <c r="U136" s="168"/>
      <c r="V136" s="168"/>
      <c r="W136" s="168"/>
      <c r="X136" s="168"/>
      <c r="Y136" s="168"/>
      <c r="Z136" s="168"/>
      <c r="AA136" s="168"/>
      <c r="AB136" s="168"/>
      <c r="AC136" s="168"/>
      <c r="AD136" s="168"/>
      <c r="AE136" s="168"/>
      <c r="AF136" s="168"/>
      <c r="AG136" s="168"/>
      <c r="AH136" s="168"/>
      <c r="AI136" s="168"/>
      <c r="AJ136" s="168"/>
    </row>
    <row r="137" spans="1:36" x14ac:dyDescent="0.2">
      <c r="A137" s="171">
        <v>3</v>
      </c>
      <c r="B137" s="171"/>
      <c r="C137" s="171">
        <f>+E137-E136</f>
        <v>146.30000000000001</v>
      </c>
      <c r="D137" s="171">
        <f>+G137-G136</f>
        <v>128.69999999999999</v>
      </c>
      <c r="E137" s="171">
        <v>459.8</v>
      </c>
      <c r="F137" s="168"/>
      <c r="G137" s="171">
        <v>406.5</v>
      </c>
      <c r="H137" s="168"/>
      <c r="I137" s="180">
        <v>101.7</v>
      </c>
      <c r="J137" s="168">
        <v>3</v>
      </c>
      <c r="K137" s="168"/>
      <c r="L137" s="177">
        <v>23305</v>
      </c>
      <c r="M137" s="176">
        <v>445.5</v>
      </c>
      <c r="N137" s="176">
        <f t="shared" si="4"/>
        <v>685.04933628318588</v>
      </c>
      <c r="O137" s="177">
        <v>11181</v>
      </c>
      <c r="P137" s="176">
        <v>566.99999999999977</v>
      </c>
      <c r="Q137" s="176">
        <f t="shared" si="2"/>
        <v>871.88097345132712</v>
      </c>
      <c r="R137" s="177">
        <v>18817</v>
      </c>
      <c r="S137" s="176">
        <v>227.70000000000005</v>
      </c>
      <c r="T137" s="176">
        <f t="shared" si="3"/>
        <v>350.13632743362848</v>
      </c>
      <c r="U137" s="168"/>
      <c r="V137" s="168"/>
      <c r="W137" s="168"/>
      <c r="X137" s="168"/>
      <c r="Y137" s="168"/>
      <c r="Z137" s="168"/>
      <c r="AA137" s="168"/>
      <c r="AB137" s="168"/>
      <c r="AC137" s="168"/>
      <c r="AD137" s="168"/>
      <c r="AE137" s="168"/>
      <c r="AF137" s="168"/>
      <c r="AG137" s="168"/>
      <c r="AH137" s="168"/>
      <c r="AI137" s="168"/>
      <c r="AJ137" s="168"/>
    </row>
    <row r="138" spans="1:36" x14ac:dyDescent="0.2">
      <c r="A138" s="171">
        <v>4</v>
      </c>
      <c r="B138" s="171"/>
      <c r="C138" s="171">
        <f>+E138-E137</f>
        <v>141.90000000000003</v>
      </c>
      <c r="D138" s="171">
        <f>+G138-G137</f>
        <v>126.39999999999998</v>
      </c>
      <c r="E138" s="171">
        <v>601.70000000000005</v>
      </c>
      <c r="F138" s="168"/>
      <c r="G138" s="171">
        <v>532.9</v>
      </c>
      <c r="H138" s="168"/>
      <c r="I138" s="176">
        <v>103.5</v>
      </c>
      <c r="J138" s="168">
        <v>4</v>
      </c>
      <c r="K138" s="168"/>
      <c r="L138" s="177">
        <v>18359</v>
      </c>
      <c r="M138" s="176">
        <v>410.59999999999968</v>
      </c>
      <c r="N138" s="176">
        <f t="shared" si="4"/>
        <v>620.40271497584502</v>
      </c>
      <c r="O138" s="177">
        <v>9544</v>
      </c>
      <c r="P138" s="176">
        <v>935.5</v>
      </c>
      <c r="Q138" s="176">
        <f t="shared" si="2"/>
        <v>1413.5088647342998</v>
      </c>
      <c r="R138" s="177">
        <v>13692</v>
      </c>
      <c r="S138" s="176">
        <v>192.19999999999993</v>
      </c>
      <c r="T138" s="176">
        <f t="shared" si="3"/>
        <v>290.40770048309173</v>
      </c>
      <c r="U138" s="168"/>
      <c r="V138" s="168"/>
      <c r="W138" s="168"/>
      <c r="X138" s="168"/>
      <c r="Y138" s="168"/>
      <c r="Z138" s="168"/>
      <c r="AA138" s="168"/>
      <c r="AB138" s="168"/>
      <c r="AC138" s="168"/>
      <c r="AD138" s="168"/>
      <c r="AE138" s="168"/>
      <c r="AF138" s="168"/>
      <c r="AG138" s="168"/>
      <c r="AH138" s="168"/>
      <c r="AI138" s="168"/>
      <c r="AJ138" s="168"/>
    </row>
    <row r="139" spans="1:36" x14ac:dyDescent="0.2">
      <c r="A139" s="171">
        <v>1</v>
      </c>
      <c r="B139" s="171">
        <v>2000</v>
      </c>
      <c r="C139" s="171">
        <f>+E139</f>
        <v>169.1</v>
      </c>
      <c r="D139" s="171">
        <f>+G139</f>
        <v>150.9</v>
      </c>
      <c r="E139" s="171">
        <v>169.1</v>
      </c>
      <c r="F139" s="168"/>
      <c r="G139" s="171">
        <v>150.9</v>
      </c>
      <c r="H139" s="168"/>
      <c r="I139" s="176">
        <v>104.6</v>
      </c>
      <c r="J139" s="168">
        <v>1</v>
      </c>
      <c r="K139" s="168">
        <v>2000</v>
      </c>
      <c r="L139" s="177">
        <v>17570</v>
      </c>
      <c r="M139" s="176">
        <v>345.9</v>
      </c>
      <c r="N139" s="176">
        <f t="shared" si="4"/>
        <v>517.14695506692169</v>
      </c>
      <c r="O139" s="177">
        <v>9154</v>
      </c>
      <c r="P139" s="176">
        <v>819.9</v>
      </c>
      <c r="Q139" s="176">
        <f t="shared" si="2"/>
        <v>1225.8132074569792</v>
      </c>
      <c r="R139" s="177">
        <v>12421</v>
      </c>
      <c r="S139" s="176">
        <v>198</v>
      </c>
      <c r="T139" s="176">
        <f t="shared" si="3"/>
        <v>296.02514340344175</v>
      </c>
      <c r="U139" s="168"/>
      <c r="V139" s="168"/>
      <c r="W139" s="168"/>
      <c r="X139" s="168"/>
      <c r="Y139" s="168"/>
      <c r="Z139" s="168"/>
      <c r="AA139" s="168"/>
      <c r="AB139" s="168"/>
      <c r="AC139" s="168"/>
      <c r="AD139" s="168"/>
      <c r="AE139" s="168"/>
      <c r="AF139" s="168"/>
      <c r="AG139" s="168"/>
      <c r="AH139" s="168"/>
      <c r="AI139" s="168"/>
      <c r="AJ139" s="168"/>
    </row>
    <row r="140" spans="1:36" x14ac:dyDescent="0.2">
      <c r="A140" s="171">
        <v>2</v>
      </c>
      <c r="B140" s="171"/>
      <c r="C140" s="171">
        <f>+E140-E139</f>
        <v>151.50000000000003</v>
      </c>
      <c r="D140" s="171">
        <f>+G140-G139</f>
        <v>133.4</v>
      </c>
      <c r="E140" s="171">
        <v>320.60000000000002</v>
      </c>
      <c r="F140" s="168"/>
      <c r="G140" s="171">
        <v>284.3</v>
      </c>
      <c r="H140" s="168"/>
      <c r="I140" s="176">
        <v>105.1</v>
      </c>
      <c r="J140" s="168">
        <v>2</v>
      </c>
      <c r="K140" s="168"/>
      <c r="L140" s="177">
        <v>14069</v>
      </c>
      <c r="M140" s="176">
        <v>252.39999999999998</v>
      </c>
      <c r="N140" s="176">
        <f t="shared" si="4"/>
        <v>375.56207421503336</v>
      </c>
      <c r="O140" s="177">
        <v>10238</v>
      </c>
      <c r="P140" s="176">
        <v>674.19999999999993</v>
      </c>
      <c r="Q140" s="176">
        <f t="shared" si="2"/>
        <v>1003.1852235965748</v>
      </c>
      <c r="R140" s="177">
        <v>13950</v>
      </c>
      <c r="S140" s="176">
        <v>184.5</v>
      </c>
      <c r="T140" s="176">
        <f t="shared" si="3"/>
        <v>274.52932921027599</v>
      </c>
      <c r="U140" s="168"/>
      <c r="V140" s="168"/>
      <c r="W140" s="168"/>
      <c r="X140" s="168"/>
      <c r="Y140" s="168"/>
      <c r="Z140" s="168"/>
      <c r="AA140" s="168"/>
      <c r="AB140" s="168"/>
      <c r="AC140" s="168"/>
      <c r="AD140" s="168"/>
      <c r="AE140" s="168"/>
      <c r="AF140" s="168"/>
      <c r="AG140" s="168"/>
      <c r="AH140" s="168"/>
      <c r="AI140" s="168"/>
      <c r="AJ140" s="168"/>
    </row>
    <row r="141" spans="1:36" x14ac:dyDescent="0.2">
      <c r="A141" s="171">
        <v>3</v>
      </c>
      <c r="B141" s="171"/>
      <c r="C141" s="171">
        <f>+E141-E140</f>
        <v>139</v>
      </c>
      <c r="D141" s="171">
        <f>+G141-G140</f>
        <v>123.5</v>
      </c>
      <c r="E141" s="171">
        <v>459.6</v>
      </c>
      <c r="F141" s="168"/>
      <c r="G141" s="171">
        <v>407.8</v>
      </c>
      <c r="H141" s="168"/>
      <c r="I141" s="176">
        <v>105.3</v>
      </c>
      <c r="J141" s="168">
        <v>3</v>
      </c>
      <c r="K141" s="168"/>
      <c r="L141" s="177">
        <v>16329</v>
      </c>
      <c r="M141" s="176">
        <v>313.5</v>
      </c>
      <c r="N141" s="176">
        <f t="shared" si="4"/>
        <v>465.59066951566956</v>
      </c>
      <c r="O141" s="177">
        <v>13877</v>
      </c>
      <c r="P141" s="176">
        <v>706.20000000000027</v>
      </c>
      <c r="Q141" s="176">
        <f t="shared" si="2"/>
        <v>1048.8042450142455</v>
      </c>
      <c r="R141" s="177">
        <v>14850</v>
      </c>
      <c r="S141" s="176">
        <v>193.89999999999998</v>
      </c>
      <c r="T141" s="176">
        <f t="shared" si="3"/>
        <v>287.96820037986703</v>
      </c>
      <c r="U141" s="168"/>
      <c r="V141" s="168"/>
      <c r="W141" s="168"/>
      <c r="X141" s="168"/>
      <c r="Y141" s="168"/>
      <c r="Z141" s="168"/>
      <c r="AA141" s="168"/>
      <c r="AB141" s="168"/>
      <c r="AC141" s="168"/>
      <c r="AD141" s="168"/>
      <c r="AE141" s="168"/>
      <c r="AF141" s="168"/>
      <c r="AG141" s="168"/>
      <c r="AH141" s="168"/>
      <c r="AI141" s="168"/>
      <c r="AJ141" s="168"/>
    </row>
    <row r="142" spans="1:36" x14ac:dyDescent="0.2">
      <c r="A142" s="171">
        <v>4</v>
      </c>
      <c r="B142" s="171"/>
      <c r="C142" s="171">
        <f>+E142-E141</f>
        <v>135.10000000000002</v>
      </c>
      <c r="D142" s="171">
        <f>+G142-G141</f>
        <v>121.40000000000003</v>
      </c>
      <c r="E142" s="171">
        <v>594.70000000000005</v>
      </c>
      <c r="F142" s="168"/>
      <c r="G142" s="171">
        <v>529.20000000000005</v>
      </c>
      <c r="H142" s="168"/>
      <c r="I142" s="176">
        <v>106.8</v>
      </c>
      <c r="J142" s="168">
        <v>4</v>
      </c>
      <c r="K142" s="168"/>
      <c r="L142" s="177">
        <v>21735</v>
      </c>
      <c r="M142" s="176">
        <v>484.79999999999995</v>
      </c>
      <c r="N142" s="176">
        <f t="shared" si="4"/>
        <v>709.88247191011237</v>
      </c>
      <c r="O142" s="177">
        <v>9978</v>
      </c>
      <c r="P142" s="176">
        <v>739.19999999999982</v>
      </c>
      <c r="Q142" s="176">
        <f t="shared" si="2"/>
        <v>1082.3950561797751</v>
      </c>
      <c r="R142" s="177">
        <v>13212</v>
      </c>
      <c r="S142" s="176">
        <v>215</v>
      </c>
      <c r="T142" s="176">
        <f t="shared" si="3"/>
        <v>314.81999063670418</v>
      </c>
      <c r="U142" s="168"/>
      <c r="V142" s="168"/>
      <c r="W142" s="168"/>
      <c r="X142" s="168"/>
      <c r="Y142" s="168"/>
      <c r="Z142" s="168"/>
      <c r="AA142" s="168"/>
      <c r="AB142" s="168"/>
      <c r="AC142" s="168"/>
      <c r="AD142" s="168"/>
      <c r="AE142" s="168"/>
      <c r="AF142" s="168"/>
      <c r="AG142" s="168"/>
      <c r="AH142" s="168"/>
      <c r="AI142" s="168"/>
      <c r="AJ142" s="168"/>
    </row>
    <row r="143" spans="1:36" x14ac:dyDescent="0.2">
      <c r="A143" s="171">
        <v>1</v>
      </c>
      <c r="B143" s="171">
        <v>2001</v>
      </c>
      <c r="C143" s="171">
        <f>+E143</f>
        <v>158.5</v>
      </c>
      <c r="D143" s="171">
        <f>+G143</f>
        <v>143.1</v>
      </c>
      <c r="E143" s="171">
        <v>158.5</v>
      </c>
      <c r="F143" s="168"/>
      <c r="G143" s="171">
        <v>143.1</v>
      </c>
      <c r="H143" s="168"/>
      <c r="I143" s="176">
        <v>108.4</v>
      </c>
      <c r="J143" s="168">
        <v>1</v>
      </c>
      <c r="K143" s="168">
        <v>2001</v>
      </c>
      <c r="L143" s="177">
        <v>27280</v>
      </c>
      <c r="M143" s="176">
        <v>675.3</v>
      </c>
      <c r="N143" s="176">
        <f t="shared" si="4"/>
        <v>974.2323846863469</v>
      </c>
      <c r="O143" s="177">
        <v>7776</v>
      </c>
      <c r="P143" s="176">
        <v>877</v>
      </c>
      <c r="Q143" s="176">
        <f t="shared" si="2"/>
        <v>1265.2181273062731</v>
      </c>
      <c r="R143" s="177">
        <v>10538</v>
      </c>
      <c r="S143" s="176">
        <v>164.1</v>
      </c>
      <c r="T143" s="176">
        <f t="shared" si="3"/>
        <v>236.74149907749077</v>
      </c>
      <c r="U143" s="168"/>
      <c r="V143" s="168"/>
      <c r="W143" s="168"/>
      <c r="X143" s="168"/>
      <c r="Y143" s="168"/>
      <c r="Z143" s="168"/>
      <c r="AA143" s="168"/>
      <c r="AB143" s="168"/>
      <c r="AC143" s="168"/>
      <c r="AD143" s="168"/>
      <c r="AE143" s="168"/>
      <c r="AF143" s="168"/>
      <c r="AG143" s="168"/>
      <c r="AH143" s="168"/>
      <c r="AI143" s="168"/>
      <c r="AJ143" s="168"/>
    </row>
    <row r="144" spans="1:36" x14ac:dyDescent="0.2">
      <c r="A144" s="171">
        <v>2</v>
      </c>
      <c r="B144" s="171"/>
      <c r="C144" s="171">
        <f>+E144-E143</f>
        <v>140.45999999999998</v>
      </c>
      <c r="D144" s="171">
        <f>+G144-G143</f>
        <v>125.70000000000002</v>
      </c>
      <c r="E144" s="171">
        <v>298.95999999999998</v>
      </c>
      <c r="F144" s="168"/>
      <c r="G144" s="171">
        <v>268.8</v>
      </c>
      <c r="H144" s="168"/>
      <c r="I144" s="176">
        <v>109.6</v>
      </c>
      <c r="J144" s="168">
        <v>2</v>
      </c>
      <c r="K144" s="168"/>
      <c r="L144" s="177">
        <v>17111</v>
      </c>
      <c r="M144" s="176">
        <v>452</v>
      </c>
      <c r="N144" s="176">
        <f t="shared" si="4"/>
        <v>644.9454379562045</v>
      </c>
      <c r="O144" s="177">
        <v>5711</v>
      </c>
      <c r="P144" s="176">
        <v>923</v>
      </c>
      <c r="Q144" s="176">
        <f t="shared" si="2"/>
        <v>1317.0014142335767</v>
      </c>
      <c r="R144" s="177">
        <v>11841</v>
      </c>
      <c r="S144" s="176">
        <v>190.29999999999998</v>
      </c>
      <c r="T144" s="176">
        <f t="shared" si="3"/>
        <v>271.5334443430657</v>
      </c>
      <c r="U144" s="168"/>
      <c r="V144" s="168"/>
      <c r="W144" s="168"/>
      <c r="X144" s="168"/>
      <c r="Y144" s="168"/>
      <c r="Z144" s="168"/>
      <c r="AA144" s="168"/>
      <c r="AB144" s="168"/>
      <c r="AC144" s="168"/>
      <c r="AD144" s="168"/>
      <c r="AE144" s="168"/>
      <c r="AF144" s="168"/>
      <c r="AG144" s="168"/>
      <c r="AH144" s="168"/>
      <c r="AI144" s="168"/>
      <c r="AJ144" s="168"/>
    </row>
    <row r="145" spans="1:36" x14ac:dyDescent="0.2">
      <c r="A145" s="171">
        <v>3</v>
      </c>
      <c r="B145" s="168"/>
      <c r="C145" s="171">
        <f>+E145-E144</f>
        <v>134.24</v>
      </c>
      <c r="D145" s="171">
        <f>+G145-G144</f>
        <v>119.19999999999999</v>
      </c>
      <c r="E145" s="171">
        <v>433.2</v>
      </c>
      <c r="F145" s="168"/>
      <c r="G145" s="171">
        <v>388</v>
      </c>
      <c r="H145" s="168"/>
      <c r="I145" s="176">
        <v>108.1</v>
      </c>
      <c r="J145" s="168">
        <v>3</v>
      </c>
      <c r="K145" s="168"/>
      <c r="L145" s="177">
        <v>16407</v>
      </c>
      <c r="M145" s="176">
        <v>400.40000000000009</v>
      </c>
      <c r="N145" s="176">
        <f t="shared" si="4"/>
        <v>579.24656799259969</v>
      </c>
      <c r="O145" s="177">
        <v>15359</v>
      </c>
      <c r="P145" s="176">
        <v>1172.1999999999998</v>
      </c>
      <c r="Q145" s="176">
        <f t="shared" si="2"/>
        <v>1695.7862812210917</v>
      </c>
      <c r="R145" s="177">
        <v>13534</v>
      </c>
      <c r="S145" s="176">
        <v>158.5</v>
      </c>
      <c r="T145" s="176">
        <f t="shared" si="3"/>
        <v>229.29715541165589</v>
      </c>
      <c r="U145" s="168"/>
      <c r="V145" s="168"/>
      <c r="W145" s="168"/>
      <c r="X145" s="168"/>
      <c r="Y145" s="168"/>
      <c r="Z145" s="168"/>
      <c r="AA145" s="168"/>
      <c r="AB145" s="168"/>
      <c r="AC145" s="168"/>
      <c r="AD145" s="168"/>
      <c r="AE145" s="168"/>
      <c r="AF145" s="168"/>
      <c r="AG145" s="168"/>
      <c r="AH145" s="168"/>
      <c r="AI145" s="168"/>
      <c r="AJ145" s="168"/>
    </row>
    <row r="146" spans="1:36" x14ac:dyDescent="0.2">
      <c r="A146" s="171">
        <v>4</v>
      </c>
      <c r="B146" s="168"/>
      <c r="C146" s="171">
        <f>+E146-E145</f>
        <v>137.49520000000001</v>
      </c>
      <c r="D146" s="171">
        <f>+G146-G145</f>
        <v>124.07220000000007</v>
      </c>
      <c r="E146" s="179">
        <v>570.6952</v>
      </c>
      <c r="F146" s="184"/>
      <c r="G146" s="179">
        <v>512.07220000000007</v>
      </c>
      <c r="H146" s="168"/>
      <c r="I146" s="176">
        <v>108.7</v>
      </c>
      <c r="J146" s="168">
        <v>4</v>
      </c>
      <c r="K146" s="168"/>
      <c r="L146" s="177">
        <v>16945</v>
      </c>
      <c r="M146" s="176">
        <v>509.39999999999986</v>
      </c>
      <c r="N146" s="176">
        <f t="shared" si="4"/>
        <v>732.86586016559318</v>
      </c>
      <c r="O146" s="177">
        <v>9601</v>
      </c>
      <c r="P146" s="176">
        <v>803.30000000000018</v>
      </c>
      <c r="Q146" s="176">
        <f t="shared" si="2"/>
        <v>1155.6952207911688</v>
      </c>
      <c r="R146" s="177">
        <v>12341</v>
      </c>
      <c r="S146" s="176">
        <v>258.5</v>
      </c>
      <c r="T146" s="176">
        <f t="shared" si="3"/>
        <v>371.8999310027599</v>
      </c>
      <c r="U146" s="168"/>
      <c r="V146" s="168"/>
      <c r="W146" s="168"/>
      <c r="X146" s="168"/>
      <c r="Y146" s="168"/>
      <c r="Z146" s="168"/>
      <c r="AA146" s="168"/>
      <c r="AB146" s="168"/>
      <c r="AC146" s="168"/>
      <c r="AD146" s="168"/>
      <c r="AE146" s="168"/>
      <c r="AF146" s="168"/>
      <c r="AG146" s="168"/>
      <c r="AH146" s="168"/>
      <c r="AI146" s="168"/>
      <c r="AJ146" s="168"/>
    </row>
    <row r="147" spans="1:36" x14ac:dyDescent="0.2">
      <c r="A147" s="171">
        <v>1</v>
      </c>
      <c r="B147" s="171">
        <v>2002</v>
      </c>
      <c r="C147" s="171">
        <f>+E147</f>
        <v>155.81399999999999</v>
      </c>
      <c r="D147" s="171">
        <f>+G147</f>
        <v>141.72399999999999</v>
      </c>
      <c r="E147" s="179">
        <v>155.81399999999999</v>
      </c>
      <c r="F147" s="184"/>
      <c r="G147" s="179">
        <v>141.72399999999999</v>
      </c>
      <c r="H147" s="168"/>
      <c r="I147" s="176">
        <v>109.3</v>
      </c>
      <c r="J147" s="168">
        <v>1</v>
      </c>
      <c r="K147" s="168">
        <v>2002</v>
      </c>
      <c r="L147" s="177">
        <v>17523</v>
      </c>
      <c r="M147" s="176">
        <v>466.5</v>
      </c>
      <c r="N147" s="176">
        <f t="shared" si="4"/>
        <v>667.46205397987194</v>
      </c>
      <c r="O147" s="177">
        <v>6856</v>
      </c>
      <c r="P147" s="176">
        <v>820.40000000000009</v>
      </c>
      <c r="Q147" s="176">
        <f t="shared" si="2"/>
        <v>1173.817511436414</v>
      </c>
      <c r="R147" s="177">
        <v>9371</v>
      </c>
      <c r="S147" s="176">
        <v>197.9</v>
      </c>
      <c r="T147" s="176">
        <f t="shared" si="3"/>
        <v>283.15271271729188</v>
      </c>
      <c r="U147" s="168"/>
      <c r="V147" s="168"/>
      <c r="W147" s="168"/>
      <c r="X147" s="168"/>
      <c r="Y147" s="168"/>
      <c r="Z147" s="168"/>
      <c r="AA147" s="168"/>
      <c r="AB147" s="168"/>
      <c r="AC147" s="168"/>
      <c r="AD147" s="168"/>
      <c r="AE147" s="168"/>
      <c r="AF147" s="168"/>
      <c r="AG147" s="168"/>
      <c r="AH147" s="168"/>
      <c r="AI147" s="168"/>
      <c r="AJ147" s="168"/>
    </row>
    <row r="148" spans="1:36" x14ac:dyDescent="0.2">
      <c r="A148" s="171">
        <v>2</v>
      </c>
      <c r="B148" s="171"/>
      <c r="C148" s="171">
        <f>+E148-E147</f>
        <v>146.54300000000003</v>
      </c>
      <c r="D148" s="171">
        <f>+G148-G147</f>
        <v>133.19</v>
      </c>
      <c r="E148" s="171">
        <v>302.35700000000003</v>
      </c>
      <c r="F148" s="168"/>
      <c r="G148" s="171">
        <v>274.91399999999999</v>
      </c>
      <c r="H148" s="168"/>
      <c r="I148" s="176">
        <v>110</v>
      </c>
      <c r="J148" s="168">
        <v>2</v>
      </c>
      <c r="K148" s="168"/>
      <c r="L148" s="177">
        <v>17469</v>
      </c>
      <c r="M148" s="176">
        <v>408.5</v>
      </c>
      <c r="N148" s="176">
        <f t="shared" si="4"/>
        <v>580.75702272727278</v>
      </c>
      <c r="O148" s="177">
        <v>9323</v>
      </c>
      <c r="P148" s="176">
        <v>689.09999999999991</v>
      </c>
      <c r="Q148" s="176">
        <f t="shared" si="2"/>
        <v>979.68094090909085</v>
      </c>
      <c r="R148" s="177">
        <v>14749</v>
      </c>
      <c r="S148" s="176">
        <v>233.49999999999997</v>
      </c>
      <c r="T148" s="176">
        <f t="shared" si="3"/>
        <v>331.96270454545459</v>
      </c>
      <c r="U148" s="168"/>
      <c r="V148" s="168"/>
      <c r="W148" s="168"/>
      <c r="X148" s="168"/>
      <c r="Y148" s="168"/>
      <c r="Z148" s="168"/>
      <c r="AA148" s="168"/>
      <c r="AB148" s="168"/>
      <c r="AC148" s="168"/>
      <c r="AD148" s="168"/>
      <c r="AE148" s="168"/>
      <c r="AF148" s="168"/>
      <c r="AG148" s="168"/>
      <c r="AH148" s="168"/>
      <c r="AI148" s="168"/>
      <c r="AJ148" s="168"/>
    </row>
    <row r="149" spans="1:36" x14ac:dyDescent="0.2">
      <c r="A149" s="171">
        <v>3</v>
      </c>
      <c r="B149" s="168"/>
      <c r="C149" s="171">
        <f>+E149-E148</f>
        <v>146.23099999999999</v>
      </c>
      <c r="D149" s="171">
        <f>+G149-G148</f>
        <v>127.14100000000002</v>
      </c>
      <c r="E149" s="171">
        <v>448.58800000000002</v>
      </c>
      <c r="F149" s="168"/>
      <c r="G149" s="171">
        <v>402.05500000000001</v>
      </c>
      <c r="H149" s="168"/>
      <c r="I149" s="176">
        <v>109.6</v>
      </c>
      <c r="J149" s="168">
        <v>3</v>
      </c>
      <c r="K149" s="168"/>
      <c r="L149" s="177">
        <v>19641</v>
      </c>
      <c r="M149" s="176">
        <v>503</v>
      </c>
      <c r="N149" s="176">
        <f t="shared" si="4"/>
        <v>717.71583029197086</v>
      </c>
      <c r="O149" s="177">
        <v>17422</v>
      </c>
      <c r="P149" s="176">
        <v>895.90000000000009</v>
      </c>
      <c r="Q149" s="176">
        <f t="shared" si="2"/>
        <v>1278.3332253649637</v>
      </c>
      <c r="R149" s="177">
        <v>14722</v>
      </c>
      <c r="S149" s="176">
        <v>184.5</v>
      </c>
      <c r="T149" s="176">
        <f t="shared" si="3"/>
        <v>263.25759580291975</v>
      </c>
      <c r="U149" s="168"/>
      <c r="V149" s="168"/>
      <c r="W149" s="168"/>
      <c r="X149" s="168"/>
      <c r="Y149" s="168"/>
      <c r="Z149" s="168"/>
      <c r="AA149" s="168"/>
      <c r="AB149" s="168"/>
      <c r="AC149" s="168"/>
      <c r="AD149" s="168"/>
      <c r="AE149" s="168"/>
      <c r="AF149" s="168"/>
      <c r="AG149" s="168"/>
      <c r="AH149" s="168"/>
      <c r="AI149" s="168"/>
      <c r="AJ149" s="168"/>
    </row>
    <row r="150" spans="1:36" x14ac:dyDescent="0.2">
      <c r="A150" s="171">
        <v>4</v>
      </c>
      <c r="B150" s="168"/>
      <c r="C150" s="171">
        <f>+E150-E149</f>
        <v>137.96699999999993</v>
      </c>
      <c r="D150" s="171">
        <f>+G150-G149</f>
        <v>124.64100000000002</v>
      </c>
      <c r="E150" s="179">
        <v>586.55499999999995</v>
      </c>
      <c r="F150" s="184"/>
      <c r="G150" s="179">
        <v>526.69600000000003</v>
      </c>
      <c r="H150" s="168"/>
      <c r="I150" s="176">
        <v>111</v>
      </c>
      <c r="J150" s="168">
        <v>4</v>
      </c>
      <c r="K150" s="168"/>
      <c r="L150" s="177">
        <v>17442</v>
      </c>
      <c r="M150" s="176">
        <v>464.20000000000005</v>
      </c>
      <c r="N150" s="176">
        <f t="shared" si="4"/>
        <v>653.9992522522524</v>
      </c>
      <c r="O150" s="177">
        <v>8123</v>
      </c>
      <c r="P150" s="176">
        <v>938.5</v>
      </c>
      <c r="Q150" s="176">
        <f t="shared" si="2"/>
        <v>1322.2281306306309</v>
      </c>
      <c r="R150" s="177">
        <v>14689</v>
      </c>
      <c r="S150" s="176">
        <v>194.00000000000011</v>
      </c>
      <c r="T150" s="176">
        <f t="shared" si="3"/>
        <v>273.32153153153172</v>
      </c>
      <c r="U150" s="168"/>
      <c r="V150" s="168"/>
      <c r="W150" s="168"/>
      <c r="X150" s="168"/>
      <c r="Y150" s="168"/>
      <c r="Z150" s="168"/>
      <c r="AA150" s="168"/>
      <c r="AB150" s="168"/>
      <c r="AC150" s="168"/>
      <c r="AD150" s="168"/>
      <c r="AE150" s="168"/>
      <c r="AF150" s="168"/>
      <c r="AG150" s="168"/>
      <c r="AH150" s="168"/>
      <c r="AI150" s="168"/>
      <c r="AJ150" s="168"/>
    </row>
    <row r="151" spans="1:36" x14ac:dyDescent="0.2">
      <c r="A151" s="171">
        <v>1</v>
      </c>
      <c r="B151" s="171">
        <v>2003</v>
      </c>
      <c r="C151" s="179">
        <f>+E151</f>
        <v>165.679</v>
      </c>
      <c r="D151" s="171">
        <f>+G151</f>
        <v>150.81100000000001</v>
      </c>
      <c r="E151" s="179">
        <v>165.679</v>
      </c>
      <c r="F151" s="184"/>
      <c r="G151" s="179">
        <v>150.81100000000001</v>
      </c>
      <c r="H151" s="168"/>
      <c r="I151" s="176">
        <v>114.6</v>
      </c>
      <c r="J151" s="168">
        <v>1</v>
      </c>
      <c r="K151" s="168">
        <v>2003</v>
      </c>
      <c r="L151" s="177">
        <v>22781</v>
      </c>
      <c r="M151" s="176">
        <v>626.79999999999995</v>
      </c>
      <c r="N151" s="176">
        <f t="shared" si="4"/>
        <v>855.34134380453759</v>
      </c>
      <c r="O151" s="177">
        <v>6823</v>
      </c>
      <c r="P151" s="176">
        <v>1087.2</v>
      </c>
      <c r="Q151" s="176">
        <f t="shared" si="2"/>
        <v>1483.6105759162308</v>
      </c>
      <c r="R151" s="177">
        <v>10626</v>
      </c>
      <c r="S151" s="176">
        <v>183</v>
      </c>
      <c r="T151" s="176">
        <f t="shared" si="3"/>
        <v>249.72473821989533</v>
      </c>
      <c r="U151" s="168"/>
      <c r="V151" s="168"/>
      <c r="W151" s="168"/>
      <c r="X151" s="168"/>
      <c r="Y151" s="168"/>
      <c r="Z151" s="168"/>
      <c r="AA151" s="168"/>
      <c r="AB151" s="168"/>
      <c r="AC151" s="168"/>
      <c r="AD151" s="168"/>
      <c r="AE151" s="168"/>
      <c r="AF151" s="168"/>
      <c r="AG151" s="168"/>
      <c r="AH151" s="168"/>
      <c r="AI151" s="168"/>
      <c r="AJ151" s="168"/>
    </row>
    <row r="152" spans="1:36" x14ac:dyDescent="0.2">
      <c r="A152" s="171">
        <v>2</v>
      </c>
      <c r="B152" s="171"/>
      <c r="C152" s="179">
        <f>+E152-E151</f>
        <v>135.02099999999999</v>
      </c>
      <c r="D152" s="171">
        <f>+G152-G151</f>
        <v>121.10099999999997</v>
      </c>
      <c r="E152" s="171">
        <v>300.7</v>
      </c>
      <c r="F152" s="168"/>
      <c r="G152" s="171">
        <v>271.91199999999998</v>
      </c>
      <c r="H152" s="168"/>
      <c r="I152" s="176">
        <v>112.3</v>
      </c>
      <c r="J152" s="168">
        <v>2</v>
      </c>
      <c r="K152" s="168"/>
      <c r="L152" s="177">
        <v>15417</v>
      </c>
      <c r="M152" s="176">
        <v>406.10000000000014</v>
      </c>
      <c r="N152" s="176">
        <f t="shared" si="4"/>
        <v>565.52046749777412</v>
      </c>
      <c r="O152" s="177">
        <v>5618</v>
      </c>
      <c r="P152" s="176">
        <v>817.8</v>
      </c>
      <c r="Q152" s="176">
        <f t="shared" si="2"/>
        <v>1138.8392965271596</v>
      </c>
      <c r="R152" s="177">
        <v>12719</v>
      </c>
      <c r="S152" s="176">
        <v>203.2</v>
      </c>
      <c r="T152" s="176">
        <f t="shared" si="3"/>
        <v>282.96911843276939</v>
      </c>
      <c r="U152" s="168"/>
      <c r="V152" s="168"/>
      <c r="W152" s="168"/>
      <c r="X152" s="168"/>
      <c r="Y152" s="168"/>
      <c r="Z152" s="168"/>
      <c r="AA152" s="168"/>
      <c r="AB152" s="168"/>
      <c r="AC152" s="168"/>
      <c r="AD152" s="168"/>
      <c r="AE152" s="168"/>
      <c r="AF152" s="168"/>
      <c r="AG152" s="168"/>
      <c r="AH152" s="168"/>
      <c r="AI152" s="168"/>
      <c r="AJ152" s="168"/>
    </row>
    <row r="153" spans="1:36" x14ac:dyDescent="0.2">
      <c r="A153" s="171">
        <v>3</v>
      </c>
      <c r="B153" s="171"/>
      <c r="C153" s="179">
        <f>+E153-E152</f>
        <v>134.11099999999999</v>
      </c>
      <c r="D153" s="171">
        <f>+G153-G152</f>
        <v>119.49100000000004</v>
      </c>
      <c r="E153" s="171">
        <v>434.81099999999998</v>
      </c>
      <c r="F153" s="168"/>
      <c r="G153" s="171">
        <v>391.40300000000002</v>
      </c>
      <c r="H153" s="168"/>
      <c r="I153" s="176">
        <v>111.9</v>
      </c>
      <c r="J153" s="168">
        <v>3</v>
      </c>
      <c r="K153" s="168"/>
      <c r="L153" s="177">
        <v>18848</v>
      </c>
      <c r="M153" s="176">
        <v>430.5</v>
      </c>
      <c r="N153" s="176">
        <f t="shared" si="4"/>
        <v>601.64202412868633</v>
      </c>
      <c r="O153" s="177">
        <v>16056</v>
      </c>
      <c r="P153" s="176">
        <v>860.19999999999982</v>
      </c>
      <c r="Q153" s="176">
        <f t="shared" si="2"/>
        <v>1202.1660142984806</v>
      </c>
      <c r="R153" s="177">
        <v>13690</v>
      </c>
      <c r="S153" s="176">
        <v>188.8</v>
      </c>
      <c r="T153" s="176">
        <f t="shared" si="3"/>
        <v>263.85601429848083</v>
      </c>
      <c r="U153" s="168"/>
      <c r="V153" s="168"/>
      <c r="W153" s="168"/>
      <c r="X153" s="168"/>
      <c r="Y153" s="168"/>
      <c r="Z153" s="168"/>
      <c r="AA153" s="168"/>
      <c r="AB153" s="168"/>
      <c r="AC153" s="168"/>
      <c r="AD153" s="168"/>
      <c r="AE153" s="168"/>
      <c r="AF153" s="168"/>
      <c r="AG153" s="168"/>
      <c r="AH153" s="168"/>
      <c r="AI153" s="168"/>
      <c r="AJ153" s="168"/>
    </row>
    <row r="154" spans="1:36" x14ac:dyDescent="0.2">
      <c r="A154" s="171">
        <v>4</v>
      </c>
      <c r="B154" s="171"/>
      <c r="C154" s="179">
        <f>+E154-E153</f>
        <v>142.01299999999998</v>
      </c>
      <c r="D154" s="171">
        <f>+G154-G153</f>
        <v>125.95899999999995</v>
      </c>
      <c r="E154" s="171">
        <v>576.82399999999996</v>
      </c>
      <c r="F154" s="168"/>
      <c r="G154" s="171">
        <v>517.36199999999997</v>
      </c>
      <c r="H154" s="168"/>
      <c r="I154" s="176">
        <v>112.6</v>
      </c>
      <c r="J154" s="168">
        <v>4</v>
      </c>
      <c r="K154" s="168"/>
      <c r="L154" s="177">
        <v>16096</v>
      </c>
      <c r="M154" s="176">
        <v>471.89999999999986</v>
      </c>
      <c r="N154" s="176">
        <f t="shared" si="4"/>
        <v>655.40036856127881</v>
      </c>
      <c r="O154" s="177">
        <v>7652</v>
      </c>
      <c r="P154" s="176">
        <v>762.30000000000018</v>
      </c>
      <c r="Q154" s="176">
        <f t="shared" si="2"/>
        <v>1058.7236722912971</v>
      </c>
      <c r="R154" s="177">
        <v>11607</v>
      </c>
      <c r="S154" s="176">
        <v>220.90000000000009</v>
      </c>
      <c r="T154" s="176">
        <f t="shared" si="3"/>
        <v>306.79792628774442</v>
      </c>
      <c r="U154" s="168"/>
      <c r="V154" s="168"/>
      <c r="W154" s="168"/>
      <c r="X154" s="168"/>
      <c r="Y154" s="168"/>
      <c r="Z154" s="168"/>
      <c r="AA154" s="168"/>
      <c r="AB154" s="168"/>
      <c r="AC154" s="168"/>
      <c r="AD154" s="168"/>
      <c r="AE154" s="168"/>
      <c r="AF154" s="168"/>
      <c r="AG154" s="168"/>
      <c r="AH154" s="168"/>
      <c r="AI154" s="168"/>
      <c r="AJ154" s="168"/>
    </row>
    <row r="155" spans="1:36" x14ac:dyDescent="0.2">
      <c r="A155" s="171">
        <v>1</v>
      </c>
      <c r="B155" s="171">
        <v>2004</v>
      </c>
      <c r="C155" s="179">
        <f>+E155</f>
        <v>168.309</v>
      </c>
      <c r="D155" s="171">
        <f>+G155</f>
        <v>153.04300000000001</v>
      </c>
      <c r="E155" s="171">
        <v>168.309</v>
      </c>
      <c r="F155" s="168"/>
      <c r="G155" s="171">
        <v>153.04300000000001</v>
      </c>
      <c r="H155" s="168"/>
      <c r="I155" s="176">
        <v>112.6</v>
      </c>
      <c r="J155" s="168">
        <v>1</v>
      </c>
      <c r="K155" s="168">
        <v>2004</v>
      </c>
      <c r="L155" s="177">
        <v>17805</v>
      </c>
      <c r="M155" s="176">
        <v>517.69999999999993</v>
      </c>
      <c r="N155" s="176">
        <f t="shared" si="4"/>
        <v>719.00989786856132</v>
      </c>
      <c r="O155" s="177">
        <v>7033</v>
      </c>
      <c r="P155" s="176">
        <v>735.2</v>
      </c>
      <c r="Q155" s="176">
        <f t="shared" si="2"/>
        <v>1021.0857193605686</v>
      </c>
      <c r="R155" s="177">
        <v>8913</v>
      </c>
      <c r="S155" s="176">
        <v>178.89999999999998</v>
      </c>
      <c r="T155" s="176">
        <f t="shared" si="3"/>
        <v>248.4660435168739</v>
      </c>
      <c r="U155" s="168"/>
      <c r="V155" s="168"/>
      <c r="W155" s="168"/>
      <c r="X155" s="168"/>
      <c r="Y155" s="168"/>
      <c r="Z155" s="168"/>
      <c r="AA155" s="168"/>
      <c r="AB155" s="168"/>
      <c r="AC155" s="168"/>
      <c r="AD155" s="168"/>
      <c r="AE155" s="168"/>
      <c r="AF155" s="168"/>
      <c r="AG155" s="168"/>
      <c r="AH155" s="168"/>
      <c r="AI155" s="168"/>
      <c r="AJ155" s="168"/>
    </row>
    <row r="156" spans="1:36" x14ac:dyDescent="0.2">
      <c r="A156" s="171">
        <v>2</v>
      </c>
      <c r="B156" s="171"/>
      <c r="C156" s="179">
        <f>+E156-E155</f>
        <v>140.26700000000002</v>
      </c>
      <c r="D156" s="171">
        <f>+G156-G155</f>
        <v>125.56799999999998</v>
      </c>
      <c r="E156" s="171">
        <v>308.57600000000002</v>
      </c>
      <c r="F156" s="168"/>
      <c r="G156" s="171">
        <v>278.61099999999999</v>
      </c>
      <c r="H156" s="168"/>
      <c r="I156" s="176">
        <v>113.4</v>
      </c>
      <c r="J156" s="168">
        <v>2</v>
      </c>
      <c r="K156" s="168"/>
      <c r="L156" s="177">
        <v>13855</v>
      </c>
      <c r="M156" s="176">
        <v>344.69999999999993</v>
      </c>
      <c r="N156" s="176">
        <f t="shared" si="4"/>
        <v>475.36075396825396</v>
      </c>
      <c r="O156" s="177">
        <v>6436</v>
      </c>
      <c r="P156" s="176">
        <v>708.3</v>
      </c>
      <c r="Q156" s="176">
        <f t="shared" si="2"/>
        <v>976.78567460317458</v>
      </c>
      <c r="R156" s="177">
        <v>10802</v>
      </c>
      <c r="S156" s="176">
        <v>228.40000000000003</v>
      </c>
      <c r="T156" s="176">
        <f t="shared" si="3"/>
        <v>314.97649029982369</v>
      </c>
      <c r="U156" s="168"/>
      <c r="V156" s="168"/>
      <c r="W156" s="168"/>
      <c r="X156" s="168"/>
      <c r="Y156" s="168"/>
      <c r="Z156" s="168"/>
      <c r="AA156" s="168"/>
      <c r="AB156" s="168"/>
      <c r="AC156" s="168"/>
      <c r="AD156" s="168"/>
      <c r="AE156" s="168"/>
      <c r="AF156" s="168"/>
      <c r="AG156" s="168"/>
      <c r="AH156" s="168"/>
      <c r="AI156" s="168"/>
      <c r="AJ156" s="168"/>
    </row>
    <row r="157" spans="1:36" x14ac:dyDescent="0.2">
      <c r="A157" s="171">
        <v>3</v>
      </c>
      <c r="B157" s="171"/>
      <c r="C157" s="179">
        <f>+E157-E156</f>
        <v>137.76999999999998</v>
      </c>
      <c r="D157" s="171">
        <f>+G157-G156</f>
        <v>123.12100000000004</v>
      </c>
      <c r="E157" s="171">
        <v>446.346</v>
      </c>
      <c r="F157" s="168"/>
      <c r="G157" s="171">
        <v>401.73200000000003</v>
      </c>
      <c r="H157" s="168"/>
      <c r="I157" s="176">
        <v>113</v>
      </c>
      <c r="J157" s="168">
        <v>3</v>
      </c>
      <c r="K157" s="168"/>
      <c r="L157" s="177">
        <v>17630</v>
      </c>
      <c r="M157" s="176">
        <v>454.09999999999991</v>
      </c>
      <c r="N157" s="176">
        <f t="shared" si="4"/>
        <v>628.44626991150437</v>
      </c>
      <c r="O157" s="177">
        <v>11805</v>
      </c>
      <c r="P157" s="176">
        <v>652.69999999999982</v>
      </c>
      <c r="Q157" s="176">
        <f t="shared" si="2"/>
        <v>903.29636725663704</v>
      </c>
      <c r="R157" s="177">
        <v>11365</v>
      </c>
      <c r="S157" s="176">
        <v>160.7999999999999</v>
      </c>
      <c r="T157" s="176">
        <f t="shared" si="3"/>
        <v>222.53723893805298</v>
      </c>
      <c r="U157" s="168"/>
      <c r="V157" s="168"/>
      <c r="W157" s="168"/>
      <c r="X157" s="168"/>
      <c r="Y157" s="168"/>
      <c r="Z157" s="168"/>
      <c r="AA157" s="168"/>
      <c r="AB157" s="168"/>
      <c r="AC157" s="168"/>
      <c r="AD157" s="168"/>
      <c r="AE157" s="168"/>
      <c r="AF157" s="168"/>
      <c r="AG157" s="168"/>
      <c r="AH157" s="168"/>
      <c r="AI157" s="168"/>
      <c r="AJ157" s="168"/>
    </row>
    <row r="158" spans="1:36" x14ac:dyDescent="0.2">
      <c r="A158" s="171">
        <v>4</v>
      </c>
      <c r="B158" s="171"/>
      <c r="C158" s="179">
        <f>+E158-E157</f>
        <v>137.68499999999995</v>
      </c>
      <c r="D158" s="171">
        <f>+G158-G157</f>
        <v>124.50600000000003</v>
      </c>
      <c r="E158" s="171">
        <v>584.03099999999995</v>
      </c>
      <c r="F158" s="168"/>
      <c r="G158" s="171">
        <v>526.23800000000006</v>
      </c>
      <c r="H158" s="168"/>
      <c r="I158" s="176">
        <v>114</v>
      </c>
      <c r="J158" s="168">
        <v>4</v>
      </c>
      <c r="K158" s="168"/>
      <c r="L158" s="177">
        <v>16674</v>
      </c>
      <c r="M158" s="176">
        <v>428.20000000000027</v>
      </c>
      <c r="N158" s="176">
        <f t="shared" si="4"/>
        <v>587.40400877193031</v>
      </c>
      <c r="O158" s="177">
        <v>10088</v>
      </c>
      <c r="P158" s="176">
        <v>709.40000000000055</v>
      </c>
      <c r="Q158" s="176">
        <f t="shared" si="2"/>
        <v>973.15367543859736</v>
      </c>
      <c r="R158" s="177">
        <v>9276</v>
      </c>
      <c r="S158" s="176">
        <v>162.90000000000009</v>
      </c>
      <c r="T158" s="176">
        <f t="shared" si="3"/>
        <v>223.46593421052646</v>
      </c>
      <c r="U158" s="168"/>
      <c r="V158" s="168"/>
      <c r="W158" s="168"/>
      <c r="X158" s="168"/>
      <c r="Y158" s="168"/>
      <c r="Z158" s="168"/>
      <c r="AA158" s="168"/>
      <c r="AB158" s="168"/>
      <c r="AC158" s="168"/>
      <c r="AD158" s="168"/>
      <c r="AE158" s="168"/>
      <c r="AF158" s="168"/>
      <c r="AG158" s="168"/>
      <c r="AH158" s="168"/>
      <c r="AI158" s="168"/>
      <c r="AJ158" s="168"/>
    </row>
    <row r="159" spans="1:36" x14ac:dyDescent="0.2">
      <c r="A159" s="171">
        <v>1</v>
      </c>
      <c r="B159" s="171">
        <v>2005</v>
      </c>
      <c r="C159" s="179">
        <f>+E159</f>
        <v>147.31100000000001</v>
      </c>
      <c r="D159" s="171">
        <f>+G159</f>
        <v>133.756</v>
      </c>
      <c r="E159" s="171">
        <v>147.31100000000001</v>
      </c>
      <c r="F159" s="168"/>
      <c r="G159" s="171">
        <v>133.756</v>
      </c>
      <c r="H159" s="168"/>
      <c r="I159" s="176">
        <v>113.7</v>
      </c>
      <c r="J159" s="168">
        <v>1</v>
      </c>
      <c r="K159" s="168">
        <v>2005</v>
      </c>
      <c r="L159" s="177">
        <v>15151</v>
      </c>
      <c r="M159" s="176">
        <v>418</v>
      </c>
      <c r="N159" s="176">
        <f t="shared" si="4"/>
        <v>574.92462620932281</v>
      </c>
      <c r="O159" s="177">
        <v>7287</v>
      </c>
      <c r="P159" s="176">
        <v>715.2</v>
      </c>
      <c r="Q159" s="176">
        <f t="shared" si="2"/>
        <v>983.69878627968353</v>
      </c>
      <c r="R159" s="177">
        <v>7498</v>
      </c>
      <c r="S159" s="176">
        <v>159.69999999999999</v>
      </c>
      <c r="T159" s="176">
        <f t="shared" si="3"/>
        <v>219.65421723834655</v>
      </c>
      <c r="U159" s="168"/>
      <c r="V159" s="168"/>
      <c r="W159" s="168"/>
      <c r="X159" s="168"/>
      <c r="Y159" s="168"/>
      <c r="Z159" s="168"/>
      <c r="AA159" s="168"/>
      <c r="AB159" s="168"/>
      <c r="AC159" s="168"/>
      <c r="AD159" s="168"/>
      <c r="AE159" s="168"/>
      <c r="AF159" s="168"/>
      <c r="AG159" s="168"/>
      <c r="AH159" s="168"/>
      <c r="AI159" s="168"/>
      <c r="AJ159" s="168"/>
    </row>
    <row r="160" spans="1:36" x14ac:dyDescent="0.2">
      <c r="A160" s="171">
        <v>2</v>
      </c>
      <c r="B160" s="171"/>
      <c r="C160" s="179">
        <f>+E160-E159</f>
        <v>143.51699999999997</v>
      </c>
      <c r="D160" s="171">
        <f>+G160-G159</f>
        <v>128.79</v>
      </c>
      <c r="E160" s="171">
        <v>290.82799999999997</v>
      </c>
      <c r="F160" s="168"/>
      <c r="G160" s="171">
        <v>262.54599999999999</v>
      </c>
      <c r="H160" s="168"/>
      <c r="I160" s="176">
        <v>115.2</v>
      </c>
      <c r="J160" s="168">
        <v>2</v>
      </c>
      <c r="K160" s="168"/>
      <c r="L160" s="177">
        <v>14855</v>
      </c>
      <c r="M160" s="176">
        <v>323.20000000000005</v>
      </c>
      <c r="N160" s="176">
        <f t="shared" si="4"/>
        <v>438.74680555555562</v>
      </c>
      <c r="O160" s="177">
        <v>6172</v>
      </c>
      <c r="P160" s="176">
        <v>745.5</v>
      </c>
      <c r="Q160" s="176">
        <f t="shared" si="2"/>
        <v>1012.0227213541667</v>
      </c>
      <c r="R160" s="177">
        <v>11610</v>
      </c>
      <c r="S160" s="176">
        <v>152.50000000000006</v>
      </c>
      <c r="T160" s="176">
        <f t="shared" si="3"/>
        <v>207.02007378472234</v>
      </c>
      <c r="U160" s="168"/>
      <c r="V160" s="168"/>
      <c r="W160" s="168"/>
      <c r="X160" s="168"/>
      <c r="Y160" s="168"/>
      <c r="Z160" s="168"/>
      <c r="AA160" s="168"/>
      <c r="AB160" s="168"/>
      <c r="AC160" s="168"/>
      <c r="AD160" s="168"/>
      <c r="AE160" s="168"/>
      <c r="AF160" s="168"/>
      <c r="AG160" s="168"/>
      <c r="AH160" s="168"/>
      <c r="AI160" s="168"/>
      <c r="AJ160" s="168"/>
    </row>
    <row r="161" spans="1:36" x14ac:dyDescent="0.2">
      <c r="A161" s="171">
        <v>3</v>
      </c>
      <c r="B161" s="171"/>
      <c r="C161" s="179">
        <f>+E161-E160</f>
        <v>134.78300000000002</v>
      </c>
      <c r="D161" s="171">
        <f>+G161-G160</f>
        <v>120.57100000000003</v>
      </c>
      <c r="E161" s="171">
        <v>425.61099999999999</v>
      </c>
      <c r="F161" s="168"/>
      <c r="G161" s="171">
        <v>383.11700000000002</v>
      </c>
      <c r="H161" s="168"/>
      <c r="I161" s="176">
        <v>115.1</v>
      </c>
      <c r="J161" s="168">
        <v>3</v>
      </c>
      <c r="K161" s="168"/>
      <c r="L161" s="177">
        <v>13014</v>
      </c>
      <c r="M161" s="176">
        <v>448.29999999999995</v>
      </c>
      <c r="N161" s="176">
        <f t="shared" si="4"/>
        <v>609.09987402258901</v>
      </c>
      <c r="O161" s="177">
        <v>6734</v>
      </c>
      <c r="P161" s="176">
        <v>832.10000000000014</v>
      </c>
      <c r="Q161" s="176">
        <f t="shared" si="2"/>
        <v>1130.564365768897</v>
      </c>
      <c r="R161" s="177">
        <v>8742</v>
      </c>
      <c r="S161" s="176">
        <v>152.99999999999994</v>
      </c>
      <c r="T161" s="176">
        <f t="shared" si="3"/>
        <v>207.87927888792348</v>
      </c>
      <c r="U161" s="168"/>
      <c r="V161" s="168"/>
      <c r="W161" s="168"/>
      <c r="X161" s="168"/>
      <c r="Y161" s="168"/>
      <c r="Z161" s="168"/>
      <c r="AA161" s="168"/>
      <c r="AB161" s="168"/>
      <c r="AC161" s="168"/>
      <c r="AD161" s="168"/>
      <c r="AE161" s="168"/>
      <c r="AF161" s="168"/>
      <c r="AG161" s="168"/>
      <c r="AH161" s="168"/>
      <c r="AI161" s="168"/>
      <c r="AJ161" s="168"/>
    </row>
    <row r="162" spans="1:36" x14ac:dyDescent="0.2">
      <c r="A162" s="171">
        <v>4</v>
      </c>
      <c r="B162" s="171"/>
      <c r="C162" s="179">
        <f>+E162-E161</f>
        <v>137.37</v>
      </c>
      <c r="D162" s="171">
        <f>+G162-G161</f>
        <v>124.38200000000001</v>
      </c>
      <c r="E162" s="171">
        <v>562.98099999999999</v>
      </c>
      <c r="F162" s="168"/>
      <c r="G162" s="171">
        <v>507.49900000000002</v>
      </c>
      <c r="H162" s="168"/>
      <c r="I162" s="176">
        <v>116</v>
      </c>
      <c r="J162" s="168">
        <v>4</v>
      </c>
      <c r="K162" s="168"/>
      <c r="L162" s="177">
        <v>22745</v>
      </c>
      <c r="M162" s="176">
        <v>478.79999999999995</v>
      </c>
      <c r="N162" s="176">
        <f t="shared" si="4"/>
        <v>645.49256896551731</v>
      </c>
      <c r="O162" s="177">
        <v>8144</v>
      </c>
      <c r="P162" s="176">
        <v>795.79999999999973</v>
      </c>
      <c r="Q162" s="176">
        <f t="shared" si="2"/>
        <v>1072.8550258620687</v>
      </c>
      <c r="R162" s="177">
        <v>11407</v>
      </c>
      <c r="S162" s="176">
        <v>142.00000000000006</v>
      </c>
      <c r="T162" s="176">
        <f t="shared" si="3"/>
        <v>191.43681034482771</v>
      </c>
      <c r="U162" s="168"/>
      <c r="V162" s="168"/>
      <c r="W162" s="168"/>
      <c r="X162" s="168"/>
      <c r="Y162" s="168"/>
      <c r="Z162" s="168"/>
      <c r="AA162" s="168"/>
      <c r="AB162" s="168"/>
      <c r="AC162" s="168"/>
      <c r="AD162" s="168"/>
      <c r="AE162" s="168"/>
      <c r="AF162" s="168"/>
      <c r="AG162" s="168"/>
      <c r="AH162" s="168"/>
      <c r="AI162" s="168"/>
      <c r="AJ162" s="168"/>
    </row>
    <row r="163" spans="1:36" x14ac:dyDescent="0.2">
      <c r="A163" s="171">
        <v>1</v>
      </c>
      <c r="B163" s="171">
        <v>2006</v>
      </c>
      <c r="C163" s="179">
        <f>+E163</f>
        <v>155.21299999999999</v>
      </c>
      <c r="D163" s="171">
        <f>+G163</f>
        <v>139.72800000000001</v>
      </c>
      <c r="E163" s="171">
        <v>155.21299999999999</v>
      </c>
      <c r="F163" s="168"/>
      <c r="G163" s="171">
        <v>139.72800000000001</v>
      </c>
      <c r="H163" s="168"/>
      <c r="I163" s="176">
        <v>116.6</v>
      </c>
      <c r="J163" s="168">
        <v>1</v>
      </c>
      <c r="K163" s="168">
        <v>2006</v>
      </c>
      <c r="L163" s="177">
        <v>18196</v>
      </c>
      <c r="M163" s="176">
        <v>585</v>
      </c>
      <c r="N163" s="176">
        <f t="shared" si="4"/>
        <v>784.60741852487149</v>
      </c>
      <c r="O163" s="177">
        <v>6106</v>
      </c>
      <c r="P163" s="176">
        <v>947.2</v>
      </c>
      <c r="Q163" s="176">
        <f t="shared" si="2"/>
        <v>1270.3934133790742</v>
      </c>
      <c r="R163" s="177">
        <v>7106</v>
      </c>
      <c r="S163" s="176">
        <v>150.6</v>
      </c>
      <c r="T163" s="176">
        <f t="shared" si="3"/>
        <v>201.98611492281304</v>
      </c>
      <c r="U163" s="168"/>
      <c r="V163" s="168"/>
      <c r="W163" s="168"/>
      <c r="X163" s="168"/>
      <c r="Y163" s="168"/>
      <c r="Z163" s="168"/>
      <c r="AA163" s="168"/>
      <c r="AB163" s="168"/>
      <c r="AC163" s="168"/>
      <c r="AD163" s="168"/>
      <c r="AE163" s="168"/>
      <c r="AF163" s="168"/>
      <c r="AG163" s="168"/>
      <c r="AH163" s="168"/>
      <c r="AI163" s="168"/>
      <c r="AJ163" s="168"/>
    </row>
    <row r="164" spans="1:36" x14ac:dyDescent="0.2">
      <c r="A164" s="171">
        <v>2</v>
      </c>
      <c r="B164" s="171"/>
      <c r="C164" s="179">
        <f>+E164-E163</f>
        <v>147.44399999999999</v>
      </c>
      <c r="D164" s="171">
        <f>+G164-G163</f>
        <v>129.572</v>
      </c>
      <c r="E164" s="171">
        <v>302.65699999999998</v>
      </c>
      <c r="F164" s="168"/>
      <c r="G164" s="171">
        <v>269.3</v>
      </c>
      <c r="H164" s="168"/>
      <c r="I164" s="176">
        <v>117.9</v>
      </c>
      <c r="J164" s="168">
        <v>2</v>
      </c>
      <c r="K164" s="168"/>
      <c r="L164" s="177">
        <v>13943</v>
      </c>
      <c r="M164" s="176">
        <v>433.79999999999995</v>
      </c>
      <c r="N164" s="176">
        <f t="shared" si="4"/>
        <v>575.4012977099236</v>
      </c>
      <c r="O164" s="177">
        <v>5246</v>
      </c>
      <c r="P164" s="176">
        <v>811.2</v>
      </c>
      <c r="Q164" s="176">
        <f t="shared" si="2"/>
        <v>1075.9924681933844</v>
      </c>
      <c r="R164" s="177">
        <v>9193</v>
      </c>
      <c r="S164" s="176">
        <v>176.1</v>
      </c>
      <c r="T164" s="176">
        <f t="shared" si="3"/>
        <v>233.5826844783715</v>
      </c>
      <c r="U164" s="168"/>
      <c r="V164" s="168"/>
      <c r="W164" s="168"/>
      <c r="X164" s="168"/>
      <c r="Y164" s="168"/>
      <c r="Z164" s="168"/>
      <c r="AA164" s="168"/>
      <c r="AB164" s="168"/>
      <c r="AC164" s="168"/>
      <c r="AD164" s="168"/>
      <c r="AE164" s="168"/>
      <c r="AF164" s="168"/>
      <c r="AG164" s="168"/>
      <c r="AH164" s="168"/>
      <c r="AI164" s="168"/>
      <c r="AJ164" s="168"/>
    </row>
    <row r="165" spans="1:36" x14ac:dyDescent="0.2">
      <c r="A165" s="171">
        <v>3</v>
      </c>
      <c r="B165" s="171"/>
      <c r="C165" s="179">
        <f>+E165-E164</f>
        <v>143.45100000000002</v>
      </c>
      <c r="D165" s="171">
        <f>+G165-G164</f>
        <v>126.00599999999997</v>
      </c>
      <c r="E165" s="171">
        <v>446.108</v>
      </c>
      <c r="F165" s="168"/>
      <c r="G165" s="171">
        <v>395.30599999999998</v>
      </c>
      <c r="H165" s="168"/>
      <c r="I165" s="180">
        <v>117.3</v>
      </c>
      <c r="J165" s="168">
        <v>3</v>
      </c>
      <c r="K165" s="168"/>
      <c r="L165" s="177">
        <v>13690</v>
      </c>
      <c r="M165" s="176">
        <v>496.59999999999991</v>
      </c>
      <c r="N165" s="176">
        <f t="shared" si="4"/>
        <v>662.06982949701614</v>
      </c>
      <c r="O165" s="177">
        <v>9450</v>
      </c>
      <c r="P165" s="176">
        <v>855.90000000000009</v>
      </c>
      <c r="Q165" s="176">
        <f t="shared" si="2"/>
        <v>1141.0905498721231</v>
      </c>
      <c r="R165" s="177">
        <v>10840</v>
      </c>
      <c r="S165" s="176">
        <v>167.10000000000002</v>
      </c>
      <c r="T165" s="176">
        <f t="shared" si="3"/>
        <v>222.77863171355506</v>
      </c>
      <c r="U165" s="168"/>
      <c r="V165" s="168"/>
      <c r="W165" s="168"/>
      <c r="X165" s="168"/>
      <c r="Y165" s="168"/>
      <c r="Z165" s="168"/>
      <c r="AA165" s="168"/>
      <c r="AB165" s="168"/>
      <c r="AC165" s="168"/>
      <c r="AD165" s="168"/>
      <c r="AE165" s="168"/>
      <c r="AF165" s="168"/>
      <c r="AG165" s="168"/>
      <c r="AH165" s="168"/>
      <c r="AI165" s="168"/>
      <c r="AJ165" s="168"/>
    </row>
    <row r="166" spans="1:36" x14ac:dyDescent="0.2">
      <c r="A166" s="171">
        <v>4</v>
      </c>
      <c r="B166" s="171"/>
      <c r="C166" s="179">
        <f>+E166-E165</f>
        <v>148.56090999999998</v>
      </c>
      <c r="D166" s="171">
        <f>+G166-G165</f>
        <v>131.19532799999996</v>
      </c>
      <c r="E166" s="171">
        <v>594.66890999999998</v>
      </c>
      <c r="F166" s="168"/>
      <c r="G166" s="171">
        <v>526.50132799999994</v>
      </c>
      <c r="H166" s="168"/>
      <c r="I166" s="180">
        <v>119</v>
      </c>
      <c r="J166" s="168">
        <v>4</v>
      </c>
      <c r="K166" s="168"/>
      <c r="L166" s="177">
        <v>16682</v>
      </c>
      <c r="M166" s="176">
        <v>525.60000000000014</v>
      </c>
      <c r="N166" s="176">
        <f t="shared" si="4"/>
        <v>690.72231932773138</v>
      </c>
      <c r="O166" s="177">
        <v>10233</v>
      </c>
      <c r="P166" s="176">
        <v>826</v>
      </c>
      <c r="Q166" s="176">
        <f t="shared" si="2"/>
        <v>1085.4958823529414</v>
      </c>
      <c r="R166" s="177">
        <v>9520</v>
      </c>
      <c r="S166" s="176">
        <v>144.09999999999997</v>
      </c>
      <c r="T166" s="176">
        <f t="shared" si="3"/>
        <v>189.3704075630252</v>
      </c>
      <c r="U166" s="168"/>
      <c r="V166" s="168"/>
      <c r="W166" s="168"/>
      <c r="X166" s="168"/>
      <c r="Y166" s="168"/>
      <c r="Z166" s="168"/>
      <c r="AA166" s="168"/>
      <c r="AB166" s="168"/>
      <c r="AC166" s="168"/>
      <c r="AD166" s="168"/>
      <c r="AE166" s="168"/>
      <c r="AF166" s="168"/>
      <c r="AG166" s="168"/>
      <c r="AH166" s="168"/>
      <c r="AI166" s="168"/>
      <c r="AJ166" s="168"/>
    </row>
    <row r="167" spans="1:36" x14ac:dyDescent="0.2">
      <c r="A167" s="171">
        <v>1</v>
      </c>
      <c r="B167" s="171">
        <v>2007</v>
      </c>
      <c r="C167" s="179">
        <f>+E167</f>
        <v>158.09976</v>
      </c>
      <c r="D167" s="171">
        <f>+G167</f>
        <v>141.08400800000001</v>
      </c>
      <c r="E167" s="171">
        <v>158.09976</v>
      </c>
      <c r="F167" s="168"/>
      <c r="G167" s="171">
        <v>141.08400800000001</v>
      </c>
      <c r="H167" s="168"/>
      <c r="I167" s="180">
        <v>117.5</v>
      </c>
      <c r="J167" s="168">
        <v>1</v>
      </c>
      <c r="K167" s="168">
        <v>2007</v>
      </c>
      <c r="L167" s="177">
        <v>18623</v>
      </c>
      <c r="M167" s="176">
        <v>649.6</v>
      </c>
      <c r="N167" s="176">
        <f t="shared" si="4"/>
        <v>864.57613617021286</v>
      </c>
      <c r="O167" s="177">
        <v>7737</v>
      </c>
      <c r="P167" s="176">
        <v>1092.1999999999998</v>
      </c>
      <c r="Q167" s="176">
        <f t="shared" si="2"/>
        <v>1453.6484851063831</v>
      </c>
      <c r="R167" s="177">
        <v>8112</v>
      </c>
      <c r="S167" s="176">
        <v>167.4</v>
      </c>
      <c r="T167" s="176">
        <f t="shared" si="3"/>
        <v>222.79871489361705</v>
      </c>
      <c r="U167" s="168"/>
      <c r="V167" s="168"/>
      <c r="W167" s="168"/>
      <c r="X167" s="168"/>
      <c r="Y167" s="168"/>
      <c r="Z167" s="168"/>
      <c r="AA167" s="168"/>
      <c r="AB167" s="168"/>
      <c r="AC167" s="168"/>
      <c r="AD167" s="168"/>
      <c r="AE167" s="168"/>
      <c r="AF167" s="168"/>
      <c r="AG167" s="168"/>
      <c r="AH167" s="168"/>
      <c r="AI167" s="168"/>
      <c r="AJ167" s="168"/>
    </row>
    <row r="168" spans="1:36" x14ac:dyDescent="0.2">
      <c r="A168" s="171">
        <v>2</v>
      </c>
      <c r="B168" s="171"/>
      <c r="C168" s="179">
        <f>+E168-E167</f>
        <v>161.61276000000004</v>
      </c>
      <c r="D168" s="171">
        <f>+G168-G167</f>
        <v>142.897008</v>
      </c>
      <c r="E168" s="171">
        <v>319.71252000000004</v>
      </c>
      <c r="F168" s="168"/>
      <c r="G168" s="171">
        <v>283.98101600000001</v>
      </c>
      <c r="H168" s="168"/>
      <c r="I168" s="180">
        <v>118.3</v>
      </c>
      <c r="J168" s="168">
        <v>2</v>
      </c>
      <c r="K168" s="168"/>
      <c r="L168" s="177">
        <v>15831</v>
      </c>
      <c r="M168" s="176">
        <v>514.19999999999993</v>
      </c>
      <c r="N168" s="176">
        <f t="shared" si="4"/>
        <v>679.73936601859691</v>
      </c>
      <c r="O168" s="177">
        <v>5067</v>
      </c>
      <c r="P168" s="176">
        <v>1041.6999999999998</v>
      </c>
      <c r="Q168" s="176">
        <f t="shared" ref="Q168:Q189" si="5">P168/I168*$I$69</f>
        <v>1377.0604775993238</v>
      </c>
      <c r="R168" s="177">
        <v>10608</v>
      </c>
      <c r="S168" s="176">
        <v>160.99999999999997</v>
      </c>
      <c r="T168" s="176">
        <f t="shared" ref="T168:T189" si="6">S168/I168*$I$69</f>
        <v>212.83165680473374</v>
      </c>
      <c r="U168" s="168"/>
      <c r="V168" s="168"/>
      <c r="W168" s="168"/>
      <c r="X168" s="168"/>
      <c r="Y168" s="168"/>
      <c r="Z168" s="168"/>
      <c r="AA168" s="168"/>
      <c r="AB168" s="168"/>
      <c r="AC168" s="168"/>
      <c r="AD168" s="168"/>
      <c r="AE168" s="168"/>
      <c r="AF168" s="168"/>
      <c r="AG168" s="168"/>
      <c r="AH168" s="168"/>
      <c r="AI168" s="168"/>
      <c r="AJ168" s="168"/>
    </row>
    <row r="169" spans="1:36" x14ac:dyDescent="0.2">
      <c r="A169" s="171">
        <v>3</v>
      </c>
      <c r="B169" s="171"/>
      <c r="C169" s="179">
        <f>+E169-E168</f>
        <v>135.82058024999998</v>
      </c>
      <c r="D169" s="171">
        <f>+G169-G168</f>
        <v>119.75308425000003</v>
      </c>
      <c r="E169" s="171">
        <v>455.53310025000002</v>
      </c>
      <c r="F169" s="168"/>
      <c r="G169" s="171">
        <v>403.73410025000004</v>
      </c>
      <c r="H169" s="168"/>
      <c r="I169" s="180">
        <v>117.8</v>
      </c>
      <c r="J169" s="168">
        <v>3</v>
      </c>
      <c r="K169" s="168"/>
      <c r="L169" s="177">
        <v>18428</v>
      </c>
      <c r="M169" s="176">
        <v>654.20000000000027</v>
      </c>
      <c r="N169" s="176">
        <f t="shared" si="4"/>
        <v>868.48104414261513</v>
      </c>
      <c r="O169" s="177">
        <v>6417</v>
      </c>
      <c r="P169" s="176">
        <v>679.60000000000036</v>
      </c>
      <c r="Q169" s="176">
        <f t="shared" si="5"/>
        <v>902.20073005093434</v>
      </c>
      <c r="R169" s="177">
        <v>10319</v>
      </c>
      <c r="S169" s="176">
        <v>152.89999999999998</v>
      </c>
      <c r="T169" s="176">
        <f t="shared" si="6"/>
        <v>202.98188879456706</v>
      </c>
      <c r="U169" s="168"/>
      <c r="V169" s="168"/>
      <c r="W169" s="168"/>
      <c r="X169" s="168"/>
      <c r="Y169" s="168"/>
      <c r="Z169" s="168"/>
      <c r="AA169" s="168"/>
      <c r="AB169" s="168"/>
      <c r="AC169" s="168"/>
      <c r="AD169" s="168"/>
      <c r="AE169" s="168"/>
      <c r="AF169" s="168"/>
      <c r="AG169" s="168"/>
      <c r="AH169" s="168"/>
      <c r="AI169" s="168"/>
      <c r="AJ169" s="168"/>
    </row>
    <row r="170" spans="1:36" x14ac:dyDescent="0.2">
      <c r="A170" s="171">
        <v>4</v>
      </c>
      <c r="B170" s="171"/>
      <c r="C170" s="179">
        <f>+E170-E169</f>
        <v>149.79139924999998</v>
      </c>
      <c r="D170" s="171">
        <f>+G170-G169</f>
        <v>133.49839924999998</v>
      </c>
      <c r="E170" s="171">
        <v>605.3244995</v>
      </c>
      <c r="F170" s="168"/>
      <c r="G170" s="171">
        <v>537.23249950000002</v>
      </c>
      <c r="H170" s="168"/>
      <c r="I170" s="180">
        <v>120.8</v>
      </c>
      <c r="J170" s="168">
        <v>4</v>
      </c>
      <c r="K170" s="168"/>
      <c r="L170" s="177">
        <v>15870</v>
      </c>
      <c r="M170" s="176">
        <v>567.19999999999959</v>
      </c>
      <c r="N170" s="176">
        <f t="shared" si="4"/>
        <v>734.28453642384068</v>
      </c>
      <c r="O170" s="177">
        <v>5114</v>
      </c>
      <c r="P170" s="176">
        <v>911.69999999999982</v>
      </c>
      <c r="Q170" s="176">
        <f t="shared" si="5"/>
        <v>1180.2665935430464</v>
      </c>
      <c r="R170" s="177">
        <v>8645</v>
      </c>
      <c r="S170" s="176">
        <v>142.80000000000007</v>
      </c>
      <c r="T170" s="176">
        <f t="shared" si="6"/>
        <v>184.86571192052992</v>
      </c>
      <c r="U170" s="168"/>
      <c r="V170" s="168"/>
      <c r="W170" s="168"/>
      <c r="X170" s="168"/>
      <c r="Y170" s="168"/>
      <c r="Z170" s="168"/>
      <c r="AA170" s="168"/>
      <c r="AB170" s="168"/>
      <c r="AC170" s="168"/>
      <c r="AD170" s="168"/>
      <c r="AE170" s="168"/>
      <c r="AF170" s="168"/>
      <c r="AG170" s="168"/>
      <c r="AH170" s="168"/>
      <c r="AI170" s="168"/>
      <c r="AJ170" s="168"/>
    </row>
    <row r="171" spans="1:36" x14ac:dyDescent="0.2">
      <c r="A171" s="171">
        <v>1</v>
      </c>
      <c r="B171" s="171">
        <v>2008</v>
      </c>
      <c r="C171" s="179">
        <f>+E171</f>
        <v>164.64169099999998</v>
      </c>
      <c r="D171" s="171">
        <f>+G171</f>
        <v>148.61369099999999</v>
      </c>
      <c r="E171" s="171">
        <v>164.64169099999998</v>
      </c>
      <c r="F171" s="168"/>
      <c r="G171" s="171">
        <v>148.61369099999999</v>
      </c>
      <c r="H171" s="168"/>
      <c r="I171" s="180">
        <v>121.9</v>
      </c>
      <c r="J171" s="168">
        <v>1</v>
      </c>
      <c r="K171" s="168">
        <v>2008</v>
      </c>
      <c r="L171" s="177">
        <v>17004</v>
      </c>
      <c r="M171" s="176">
        <v>591.9</v>
      </c>
      <c r="N171" s="176">
        <f t="shared" si="4"/>
        <v>759.34603363412634</v>
      </c>
      <c r="O171" s="177">
        <v>6274</v>
      </c>
      <c r="P171" s="176">
        <v>963.6</v>
      </c>
      <c r="Q171" s="176">
        <f t="shared" si="5"/>
        <v>1236.1984085315835</v>
      </c>
      <c r="R171" s="177">
        <v>7939</v>
      </c>
      <c r="S171" s="176">
        <v>160.1</v>
      </c>
      <c r="T171" s="176">
        <f t="shared" si="6"/>
        <v>205.3916201804758</v>
      </c>
      <c r="U171" s="168"/>
      <c r="V171" s="168"/>
      <c r="W171" s="168"/>
      <c r="X171" s="168"/>
      <c r="Y171" s="168"/>
      <c r="Z171" s="168"/>
      <c r="AA171" s="168"/>
      <c r="AB171" s="168"/>
      <c r="AC171" s="168"/>
      <c r="AD171" s="168"/>
      <c r="AE171" s="168"/>
      <c r="AF171" s="168"/>
      <c r="AG171" s="168"/>
      <c r="AH171" s="168"/>
      <c r="AI171" s="168"/>
      <c r="AJ171" s="168"/>
    </row>
    <row r="172" spans="1:36" x14ac:dyDescent="0.2">
      <c r="A172" s="171">
        <v>2</v>
      </c>
      <c r="B172" s="171"/>
      <c r="C172" s="179">
        <f>+E172-E171</f>
        <v>197.28657850000002</v>
      </c>
      <c r="D172" s="171">
        <f>+G172-G171</f>
        <v>175.71357850000001</v>
      </c>
      <c r="E172" s="171">
        <v>361.9282695</v>
      </c>
      <c r="F172" s="168"/>
      <c r="G172" s="171">
        <v>324.3272695</v>
      </c>
      <c r="H172" s="168"/>
      <c r="I172" s="180">
        <v>122</v>
      </c>
      <c r="J172" s="168">
        <v>2</v>
      </c>
      <c r="K172" s="168"/>
      <c r="L172" s="177">
        <v>14987</v>
      </c>
      <c r="M172" s="176">
        <v>548.4</v>
      </c>
      <c r="N172" s="176">
        <f t="shared" ref="N172:N181" si="7">M172/I172*$I$69</f>
        <v>702.9633934426231</v>
      </c>
      <c r="O172" s="177">
        <v>5831</v>
      </c>
      <c r="P172" s="176">
        <v>1153.8000000000002</v>
      </c>
      <c r="Q172" s="176">
        <f t="shared" si="5"/>
        <v>1478.991909836066</v>
      </c>
      <c r="R172" s="177">
        <v>10207</v>
      </c>
      <c r="S172" s="176">
        <v>188.4</v>
      </c>
      <c r="T172" s="176">
        <f t="shared" si="6"/>
        <v>241.4994590163935</v>
      </c>
      <c r="U172" s="168"/>
      <c r="V172" s="168"/>
      <c r="W172" s="168"/>
      <c r="X172" s="168"/>
      <c r="Y172" s="168"/>
      <c r="Z172" s="168"/>
      <c r="AA172" s="168"/>
      <c r="AB172" s="168"/>
      <c r="AC172" s="168"/>
      <c r="AD172" s="168"/>
      <c r="AE172" s="168"/>
      <c r="AF172" s="168"/>
      <c r="AG172" s="168"/>
      <c r="AH172" s="168"/>
      <c r="AI172" s="168"/>
      <c r="AJ172" s="168"/>
    </row>
    <row r="173" spans="1:36" x14ac:dyDescent="0.2">
      <c r="A173" s="171">
        <v>3</v>
      </c>
      <c r="B173" s="171"/>
      <c r="C173" s="179">
        <f>+E173-E172</f>
        <v>159.71767174999997</v>
      </c>
      <c r="D173" s="171">
        <f>+G173-G172</f>
        <v>141.40667174999999</v>
      </c>
      <c r="E173" s="171">
        <v>521.64594124999996</v>
      </c>
      <c r="F173" s="168"/>
      <c r="G173" s="171">
        <v>465.73394124999999</v>
      </c>
      <c r="H173" s="168"/>
      <c r="I173" s="180">
        <v>123.1</v>
      </c>
      <c r="J173" s="168">
        <v>3</v>
      </c>
      <c r="K173" s="168"/>
      <c r="L173" s="177">
        <v>19290</v>
      </c>
      <c r="M173" s="176">
        <v>722.70000000000027</v>
      </c>
      <c r="N173" s="176">
        <f t="shared" si="7"/>
        <v>918.11080016247013</v>
      </c>
      <c r="O173" s="177">
        <v>12252</v>
      </c>
      <c r="P173" s="176">
        <v>1486.4999999999995</v>
      </c>
      <c r="Q173" s="176">
        <f t="shared" si="5"/>
        <v>1888.4346263200646</v>
      </c>
      <c r="R173" s="177">
        <v>11007</v>
      </c>
      <c r="S173" s="176">
        <v>186.29999999999995</v>
      </c>
      <c r="T173" s="176">
        <f t="shared" si="6"/>
        <v>236.67364337936635</v>
      </c>
      <c r="U173" s="168"/>
      <c r="V173" s="168"/>
      <c r="W173" s="168"/>
      <c r="X173" s="168"/>
      <c r="Y173" s="168"/>
      <c r="Z173" s="168"/>
      <c r="AA173" s="168"/>
      <c r="AB173" s="168"/>
      <c r="AC173" s="168"/>
      <c r="AD173" s="168"/>
      <c r="AE173" s="168"/>
      <c r="AF173" s="168"/>
      <c r="AG173" s="168"/>
      <c r="AH173" s="168"/>
      <c r="AI173" s="168"/>
      <c r="AJ173" s="168"/>
    </row>
    <row r="174" spans="1:36" x14ac:dyDescent="0.2">
      <c r="A174" s="171">
        <v>4</v>
      </c>
      <c r="B174" s="171"/>
      <c r="C174" s="179">
        <f>+E174-E173</f>
        <v>170.05706974999998</v>
      </c>
      <c r="D174" s="171">
        <f>+G174-G173</f>
        <v>152.54014889999991</v>
      </c>
      <c r="E174" s="171">
        <v>691.70301099999995</v>
      </c>
      <c r="F174" s="168"/>
      <c r="G174" s="171">
        <v>618.27409014999989</v>
      </c>
      <c r="H174" s="168"/>
      <c r="I174" s="176">
        <v>124.7</v>
      </c>
      <c r="J174" s="168">
        <v>4</v>
      </c>
      <c r="K174" s="168"/>
      <c r="L174" s="177">
        <v>16976</v>
      </c>
      <c r="M174" s="176">
        <v>703.10000000000014</v>
      </c>
      <c r="N174" s="176">
        <f t="shared" si="7"/>
        <v>881.75054931836439</v>
      </c>
      <c r="O174" s="177">
        <v>7247</v>
      </c>
      <c r="P174" s="176">
        <v>1160</v>
      </c>
      <c r="Q174" s="176">
        <f t="shared" si="5"/>
        <v>1454.7441860465119</v>
      </c>
      <c r="R174" s="177">
        <v>10145</v>
      </c>
      <c r="S174" s="176">
        <v>269.60000000000014</v>
      </c>
      <c r="T174" s="176">
        <f t="shared" si="6"/>
        <v>338.10261427425843</v>
      </c>
      <c r="U174" s="168"/>
      <c r="V174" s="168"/>
      <c r="W174" s="168"/>
      <c r="X174" s="168"/>
      <c r="Y174" s="168"/>
      <c r="Z174" s="168"/>
      <c r="AA174" s="168"/>
      <c r="AB174" s="168"/>
      <c r="AC174" s="168"/>
      <c r="AD174" s="168"/>
      <c r="AE174" s="168"/>
      <c r="AF174" s="168"/>
      <c r="AG174" s="168"/>
      <c r="AH174" s="168"/>
      <c r="AI174" s="168"/>
      <c r="AJ174" s="168"/>
    </row>
    <row r="175" spans="1:36" x14ac:dyDescent="0.2">
      <c r="A175" s="171">
        <v>1</v>
      </c>
      <c r="B175" s="171">
        <v>2009</v>
      </c>
      <c r="C175" s="179">
        <f>+E175</f>
        <v>191.37959499999999</v>
      </c>
      <c r="D175" s="171">
        <f>+G175</f>
        <v>172.55938714999999</v>
      </c>
      <c r="E175" s="171">
        <v>191.37959499999999</v>
      </c>
      <c r="F175" s="168"/>
      <c r="G175" s="171">
        <v>172.55938714999999</v>
      </c>
      <c r="H175" s="168"/>
      <c r="I175" s="176">
        <v>125</v>
      </c>
      <c r="J175" s="168">
        <v>1</v>
      </c>
      <c r="K175" s="168">
        <v>2009</v>
      </c>
      <c r="L175" s="177">
        <v>18865</v>
      </c>
      <c r="M175" s="176">
        <v>739.59999999999991</v>
      </c>
      <c r="N175" s="176">
        <f t="shared" si="7"/>
        <v>925.298768</v>
      </c>
      <c r="O175" s="177">
        <v>6194</v>
      </c>
      <c r="P175" s="176">
        <v>1049.9000000000001</v>
      </c>
      <c r="Q175" s="176">
        <f t="shared" si="5"/>
        <v>1313.5088920000003</v>
      </c>
      <c r="R175" s="177">
        <v>8619</v>
      </c>
      <c r="S175" s="176">
        <v>213.2</v>
      </c>
      <c r="T175" s="176">
        <f t="shared" si="6"/>
        <v>266.73025600000005</v>
      </c>
      <c r="U175" s="168"/>
      <c r="V175" s="168"/>
      <c r="W175" s="168"/>
      <c r="X175" s="168"/>
      <c r="Y175" s="168"/>
      <c r="Z175" s="168"/>
      <c r="AA175" s="168"/>
      <c r="AB175" s="168"/>
      <c r="AC175" s="168"/>
      <c r="AD175" s="168"/>
      <c r="AE175" s="168"/>
      <c r="AF175" s="168"/>
      <c r="AG175" s="168"/>
      <c r="AH175" s="168"/>
      <c r="AI175" s="168"/>
      <c r="AJ175" s="168"/>
    </row>
    <row r="176" spans="1:36" x14ac:dyDescent="0.2">
      <c r="A176" s="171">
        <v>2</v>
      </c>
      <c r="B176" s="171"/>
      <c r="C176" s="179">
        <f>+E176-E175</f>
        <v>178.90604250000001</v>
      </c>
      <c r="D176" s="171">
        <f>+G176-G175</f>
        <v>160.765232725</v>
      </c>
      <c r="E176" s="171">
        <v>370.28563750000001</v>
      </c>
      <c r="F176" s="168"/>
      <c r="G176" s="171">
        <v>333.324619875</v>
      </c>
      <c r="H176" s="168"/>
      <c r="I176" s="176">
        <v>125.7</v>
      </c>
      <c r="J176" s="168">
        <v>2</v>
      </c>
      <c r="K176" s="168"/>
      <c r="L176" s="177">
        <v>14610</v>
      </c>
      <c r="M176" s="176">
        <v>603.80000000000018</v>
      </c>
      <c r="N176" s="176">
        <f t="shared" si="7"/>
        <v>751.19540970564856</v>
      </c>
      <c r="O176" s="177">
        <v>5486</v>
      </c>
      <c r="P176" s="176">
        <v>1077.9000000000001</v>
      </c>
      <c r="Q176" s="176">
        <f t="shared" si="5"/>
        <v>1341.0293675417663</v>
      </c>
      <c r="R176" s="177">
        <v>11296</v>
      </c>
      <c r="S176" s="176">
        <v>235.3</v>
      </c>
      <c r="T176" s="176">
        <f t="shared" si="6"/>
        <v>292.73978122513927</v>
      </c>
      <c r="U176" s="168"/>
      <c r="V176" s="168"/>
      <c r="W176" s="168"/>
      <c r="X176" s="168"/>
      <c r="Y176" s="168"/>
      <c r="Z176" s="168"/>
      <c r="AA176" s="168"/>
      <c r="AB176" s="168"/>
      <c r="AC176" s="168"/>
      <c r="AD176" s="168"/>
      <c r="AE176" s="168"/>
      <c r="AF176" s="168"/>
      <c r="AG176" s="168"/>
      <c r="AH176" s="168"/>
      <c r="AI176" s="168"/>
      <c r="AJ176" s="168"/>
    </row>
    <row r="177" spans="1:36" x14ac:dyDescent="0.2">
      <c r="A177" s="171">
        <v>3</v>
      </c>
      <c r="B177" s="171"/>
      <c r="C177" s="179">
        <f>+E177-E176</f>
        <v>160.23377500000004</v>
      </c>
      <c r="D177" s="171">
        <f>+G177-G176</f>
        <v>142.31202375000004</v>
      </c>
      <c r="E177" s="171">
        <v>530.51941250000004</v>
      </c>
      <c r="F177" s="168"/>
      <c r="G177" s="171">
        <v>475.63664362500003</v>
      </c>
      <c r="H177" s="168"/>
      <c r="I177" s="176">
        <v>125.4</v>
      </c>
      <c r="J177" s="168">
        <v>3</v>
      </c>
      <c r="K177" s="168"/>
      <c r="L177" s="177">
        <v>19220</v>
      </c>
      <c r="M177" s="176">
        <v>795.69999999999982</v>
      </c>
      <c r="N177" s="176">
        <f t="shared" si="7"/>
        <v>992.30896730462507</v>
      </c>
      <c r="O177" s="177">
        <v>13278</v>
      </c>
      <c r="P177" s="176">
        <v>1278.0999999999999</v>
      </c>
      <c r="Q177" s="176">
        <f t="shared" si="5"/>
        <v>1593.9048524720893</v>
      </c>
      <c r="R177" s="177">
        <v>11383</v>
      </c>
      <c r="S177" s="176">
        <v>231.79999999999995</v>
      </c>
      <c r="T177" s="176">
        <f t="shared" si="6"/>
        <v>289.07530303030296</v>
      </c>
      <c r="U177" s="168"/>
      <c r="V177" s="168"/>
      <c r="W177" s="168"/>
      <c r="X177" s="168"/>
      <c r="Y177" s="168"/>
      <c r="Z177" s="168"/>
      <c r="AA177" s="168"/>
      <c r="AB177" s="168"/>
      <c r="AC177" s="168"/>
      <c r="AD177" s="168"/>
      <c r="AE177" s="168"/>
      <c r="AF177" s="168"/>
      <c r="AG177" s="168"/>
      <c r="AH177" s="168"/>
      <c r="AI177" s="168"/>
      <c r="AJ177" s="168"/>
    </row>
    <row r="178" spans="1:36" x14ac:dyDescent="0.2">
      <c r="A178" s="171">
        <v>4</v>
      </c>
      <c r="B178" s="171"/>
      <c r="C178" s="179">
        <f>+E178-E177</f>
        <v>179.8571388695641</v>
      </c>
      <c r="D178" s="171">
        <f>+G178-G177</f>
        <v>163.53199924456408</v>
      </c>
      <c r="E178" s="171">
        <v>710.37655136956414</v>
      </c>
      <c r="F178" s="168"/>
      <c r="G178" s="171">
        <v>639.16864286956411</v>
      </c>
      <c r="H178" s="168"/>
      <c r="I178" s="176">
        <v>126.6</v>
      </c>
      <c r="J178" s="168">
        <v>4</v>
      </c>
      <c r="K178" s="168"/>
      <c r="L178" s="177">
        <v>16838</v>
      </c>
      <c r="M178" s="176">
        <v>759.30000000000018</v>
      </c>
      <c r="N178" s="176">
        <f t="shared" si="7"/>
        <v>937.93941943128004</v>
      </c>
      <c r="O178" s="177">
        <v>6227</v>
      </c>
      <c r="P178" s="176">
        <v>1192.2000000000003</v>
      </c>
      <c r="Q178" s="176">
        <f t="shared" si="5"/>
        <v>1472.6871800947874</v>
      </c>
      <c r="R178" s="177">
        <v>10409</v>
      </c>
      <c r="S178" s="176">
        <v>276.40000000000009</v>
      </c>
      <c r="T178" s="176">
        <f t="shared" si="6"/>
        <v>341.42823064770948</v>
      </c>
      <c r="U178" s="168"/>
      <c r="V178" s="168"/>
      <c r="W178" s="168"/>
      <c r="X178" s="168"/>
      <c r="Y178" s="168"/>
      <c r="Z178" s="168"/>
      <c r="AA178" s="168"/>
      <c r="AB178" s="168"/>
      <c r="AC178" s="168"/>
      <c r="AD178" s="168"/>
      <c r="AE178" s="168"/>
      <c r="AF178" s="168"/>
      <c r="AG178" s="168"/>
      <c r="AH178" s="168"/>
      <c r="AI178" s="168"/>
      <c r="AJ178" s="168"/>
    </row>
    <row r="179" spans="1:36" x14ac:dyDescent="0.2">
      <c r="A179" s="171">
        <v>1</v>
      </c>
      <c r="B179" s="171">
        <v>2010</v>
      </c>
      <c r="C179" s="179">
        <f>+E179</f>
        <v>204.63648875000001</v>
      </c>
      <c r="D179" s="171">
        <f>+G179</f>
        <v>186.506571025</v>
      </c>
      <c r="E179" s="171">
        <v>204.63648875000001</v>
      </c>
      <c r="F179" s="168"/>
      <c r="G179" s="171">
        <v>186.506571025</v>
      </c>
      <c r="H179" s="168"/>
      <c r="I179" s="176">
        <v>128.69999999999999</v>
      </c>
      <c r="J179" s="168">
        <v>1</v>
      </c>
      <c r="K179" s="168">
        <v>2010</v>
      </c>
      <c r="L179" s="177">
        <v>40484.70904761905</v>
      </c>
      <c r="M179" s="176">
        <v>1693.2251146266974</v>
      </c>
      <c r="N179" s="176">
        <f t="shared" si="7"/>
        <v>2057.4592816697445</v>
      </c>
      <c r="O179" s="177">
        <v>6690</v>
      </c>
      <c r="P179" s="176">
        <v>1648.5</v>
      </c>
      <c r="Q179" s="176">
        <f t="shared" si="5"/>
        <v>2003.113228438229</v>
      </c>
      <c r="R179" s="177">
        <v>7227</v>
      </c>
      <c r="S179" s="176">
        <v>243.10000000000002</v>
      </c>
      <c r="T179" s="176">
        <f t="shared" si="6"/>
        <v>295.39388888888897</v>
      </c>
      <c r="U179" s="168"/>
      <c r="V179" s="168"/>
      <c r="W179" s="168"/>
      <c r="X179" s="168"/>
      <c r="Y179" s="168"/>
      <c r="Z179" s="168"/>
      <c r="AA179" s="168"/>
      <c r="AB179" s="168"/>
      <c r="AC179" s="168"/>
      <c r="AD179" s="168"/>
      <c r="AE179" s="168"/>
      <c r="AF179" s="168"/>
      <c r="AG179" s="168"/>
      <c r="AH179" s="168"/>
      <c r="AI179" s="168"/>
      <c r="AJ179" s="168"/>
    </row>
    <row r="180" spans="1:36" x14ac:dyDescent="0.2">
      <c r="A180" s="171">
        <v>2</v>
      </c>
      <c r="B180" s="171"/>
      <c r="C180" s="179">
        <f>+E180-E179</f>
        <v>188.95691625000001</v>
      </c>
      <c r="D180" s="171">
        <f>+G180-G179</f>
        <v>170.46253197500002</v>
      </c>
      <c r="E180" s="171">
        <v>393.59340500000002</v>
      </c>
      <c r="F180" s="168"/>
      <c r="G180" s="171">
        <v>356.96910300000002</v>
      </c>
      <c r="H180" s="168"/>
      <c r="I180" s="176">
        <v>128.9</v>
      </c>
      <c r="J180" s="168">
        <v>2</v>
      </c>
      <c r="K180" s="168"/>
      <c r="L180" s="177">
        <v>20633.79583333333</v>
      </c>
      <c r="M180" s="176">
        <v>864.97098885712671</v>
      </c>
      <c r="N180" s="176">
        <f t="shared" si="7"/>
        <v>1049.4064243011774</v>
      </c>
      <c r="O180" s="177">
        <v>5716</v>
      </c>
      <c r="P180" s="176">
        <v>1381.6999999999998</v>
      </c>
      <c r="Q180" s="176">
        <f t="shared" si="5"/>
        <v>1676.3161714507369</v>
      </c>
      <c r="R180" s="177">
        <v>10696</v>
      </c>
      <c r="S180" s="176">
        <v>201.60000000000002</v>
      </c>
      <c r="T180" s="176">
        <f t="shared" si="6"/>
        <v>244.58662529092325</v>
      </c>
      <c r="U180" s="168"/>
      <c r="V180" s="168"/>
      <c r="W180" s="168"/>
      <c r="X180" s="168"/>
      <c r="Y180" s="168"/>
      <c r="Z180" s="168"/>
      <c r="AA180" s="168"/>
      <c r="AB180" s="168"/>
      <c r="AC180" s="168"/>
      <c r="AD180" s="168"/>
      <c r="AE180" s="168"/>
      <c r="AF180" s="168"/>
      <c r="AG180" s="168"/>
      <c r="AH180" s="168"/>
      <c r="AI180" s="168"/>
      <c r="AJ180" s="168"/>
    </row>
    <row r="181" spans="1:36" x14ac:dyDescent="0.2">
      <c r="A181" s="171">
        <v>3</v>
      </c>
      <c r="B181" s="171"/>
      <c r="C181" s="179">
        <f>+E181-E180</f>
        <v>172.07737875000004</v>
      </c>
      <c r="D181" s="171">
        <f>+G181-G180</f>
        <v>154.15607493749997</v>
      </c>
      <c r="E181" s="171">
        <v>565.67078375000006</v>
      </c>
      <c r="F181" s="168"/>
      <c r="G181" s="171">
        <v>511.12517793749998</v>
      </c>
      <c r="H181" s="168"/>
      <c r="I181" s="176">
        <v>127.8</v>
      </c>
      <c r="J181" s="168">
        <v>3</v>
      </c>
      <c r="K181" s="168"/>
      <c r="L181" s="177">
        <v>19149.335833333338</v>
      </c>
      <c r="M181" s="176">
        <v>861.71516601647909</v>
      </c>
      <c r="N181" s="176">
        <f t="shared" si="7"/>
        <v>1054.4548218895704</v>
      </c>
      <c r="O181" s="177">
        <v>9089</v>
      </c>
      <c r="P181" s="176">
        <v>1286.1999999999998</v>
      </c>
      <c r="Q181" s="176">
        <f t="shared" si="5"/>
        <v>1573.8840923317684</v>
      </c>
      <c r="R181" s="177">
        <v>11532</v>
      </c>
      <c r="S181" s="176">
        <v>200.69999999999993</v>
      </c>
      <c r="T181" s="176">
        <f t="shared" si="6"/>
        <v>245.59052816901402</v>
      </c>
      <c r="U181" s="168"/>
      <c r="V181" s="168"/>
      <c r="W181" s="168"/>
      <c r="X181" s="168"/>
      <c r="Y181" s="168"/>
      <c r="Z181" s="168"/>
      <c r="AA181" s="168"/>
      <c r="AB181" s="168"/>
      <c r="AC181" s="168"/>
      <c r="AD181" s="168"/>
      <c r="AE181" s="168"/>
      <c r="AF181" s="168"/>
      <c r="AG181" s="168"/>
      <c r="AH181" s="168"/>
      <c r="AI181" s="168"/>
      <c r="AJ181" s="168"/>
    </row>
    <row r="182" spans="1:36" x14ac:dyDescent="0.2">
      <c r="A182" s="171">
        <v>4</v>
      </c>
      <c r="B182" s="171"/>
      <c r="C182" s="179">
        <f>+E182-E181</f>
        <v>192.96143124999992</v>
      </c>
      <c r="D182" s="171">
        <f>+G182-G181</f>
        <v>174.39946771249993</v>
      </c>
      <c r="E182" s="171">
        <v>758.63221499999997</v>
      </c>
      <c r="F182" s="168"/>
      <c r="G182" s="171">
        <v>685.52464564999991</v>
      </c>
      <c r="H182" s="168"/>
      <c r="I182" s="176">
        <v>129</v>
      </c>
      <c r="J182" s="168">
        <v>4</v>
      </c>
      <c r="K182" s="168"/>
      <c r="L182" s="177">
        <v>22322.361666666664</v>
      </c>
      <c r="M182" s="176">
        <v>889.84894905372039</v>
      </c>
      <c r="N182" s="176">
        <f t="shared" ref="N182" si="8">M182/I182*$I$69</f>
        <v>1078.7521542462487</v>
      </c>
      <c r="O182" s="177">
        <v>5858</v>
      </c>
      <c r="P182" s="176">
        <v>1310.8000000000011</v>
      </c>
      <c r="Q182" s="176">
        <f t="shared" si="5"/>
        <v>1589.0655658914743</v>
      </c>
      <c r="R182" s="177">
        <v>9548</v>
      </c>
      <c r="S182" s="176">
        <v>205</v>
      </c>
      <c r="T182" s="176">
        <f t="shared" si="6"/>
        <v>248.51879844961243</v>
      </c>
      <c r="U182" s="168"/>
      <c r="V182" s="168"/>
      <c r="W182" s="168"/>
      <c r="X182" s="168"/>
      <c r="Y182" s="168"/>
      <c r="Z182" s="168"/>
      <c r="AA182" s="168"/>
      <c r="AB182" s="168"/>
      <c r="AC182" s="168"/>
      <c r="AD182" s="168"/>
      <c r="AE182" s="168"/>
      <c r="AF182" s="168"/>
      <c r="AG182" s="168"/>
      <c r="AH182" s="168"/>
      <c r="AI182" s="168"/>
      <c r="AJ182" s="168"/>
    </row>
    <row r="183" spans="1:36" x14ac:dyDescent="0.2">
      <c r="A183" s="171">
        <v>1</v>
      </c>
      <c r="B183" s="171">
        <v>2011</v>
      </c>
      <c r="C183" s="179">
        <f>+E183</f>
        <v>204.00503875000001</v>
      </c>
      <c r="D183" s="171">
        <f>+G183</f>
        <v>184.8599929625</v>
      </c>
      <c r="E183" s="171">
        <v>204.00503875000001</v>
      </c>
      <c r="F183" s="168"/>
      <c r="G183" s="171">
        <v>184.8599929625</v>
      </c>
      <c r="H183" s="168"/>
      <c r="I183" s="176">
        <v>130.19999999999999</v>
      </c>
      <c r="J183" s="168">
        <v>1</v>
      </c>
      <c r="K183" s="168">
        <v>2011</v>
      </c>
      <c r="L183" s="177">
        <v>26141.662648809524</v>
      </c>
      <c r="M183" s="176">
        <v>1061.4209517567813</v>
      </c>
      <c r="N183" s="176">
        <f t="shared" ref="N183:N186" si="9">M183/I183*$I$69</f>
        <v>1274.8872161327517</v>
      </c>
      <c r="O183" s="177">
        <v>5959</v>
      </c>
      <c r="P183" s="176">
        <v>1698.7</v>
      </c>
      <c r="Q183" s="176">
        <f t="shared" si="5"/>
        <v>2040.3317933947776</v>
      </c>
      <c r="R183" s="177">
        <v>6732</v>
      </c>
      <c r="S183" s="176">
        <v>156.5</v>
      </c>
      <c r="T183" s="176">
        <f t="shared" si="6"/>
        <v>187.97428955453154</v>
      </c>
      <c r="U183" s="168"/>
      <c r="V183" s="168"/>
      <c r="W183" s="168"/>
      <c r="X183" s="168"/>
      <c r="Y183" s="168"/>
      <c r="Z183" s="168"/>
      <c r="AA183" s="168"/>
      <c r="AB183" s="168"/>
      <c r="AC183" s="168"/>
      <c r="AD183" s="168"/>
      <c r="AE183" s="168"/>
      <c r="AF183" s="168"/>
      <c r="AG183" s="168"/>
      <c r="AH183" s="168"/>
      <c r="AI183" s="168"/>
      <c r="AJ183" s="168"/>
    </row>
    <row r="184" spans="1:36" x14ac:dyDescent="0.2">
      <c r="A184" s="171">
        <v>2</v>
      </c>
      <c r="B184" s="171"/>
      <c r="C184" s="179">
        <f>+E184-E183</f>
        <v>188.74104374999999</v>
      </c>
      <c r="D184" s="171">
        <f>+G184-G183</f>
        <v>171.33320521249996</v>
      </c>
      <c r="E184" s="168">
        <v>392.7460825</v>
      </c>
      <c r="F184" s="168"/>
      <c r="G184" s="168">
        <v>356.19319817499996</v>
      </c>
      <c r="H184" s="168"/>
      <c r="I184" s="176">
        <v>131</v>
      </c>
      <c r="J184" s="168">
        <v>2</v>
      </c>
      <c r="K184" s="168"/>
      <c r="L184" s="185">
        <v>18851.951101190472</v>
      </c>
      <c r="M184" s="186">
        <v>776.58308820124375</v>
      </c>
      <c r="N184" s="176">
        <f t="shared" si="9"/>
        <v>927.06829197214904</v>
      </c>
      <c r="O184" s="177">
        <v>7524</v>
      </c>
      <c r="P184" s="176">
        <v>1533.4000000000003</v>
      </c>
      <c r="Q184" s="176">
        <f t="shared" si="5"/>
        <v>1830.5401450381685</v>
      </c>
      <c r="R184" s="177">
        <v>10017</v>
      </c>
      <c r="S184" s="176">
        <v>197.79999999999995</v>
      </c>
      <c r="T184" s="176">
        <f t="shared" si="6"/>
        <v>236.12941221374041</v>
      </c>
      <c r="U184" s="168"/>
      <c r="V184" s="168"/>
      <c r="W184" s="168"/>
      <c r="X184" s="168"/>
      <c r="Y184" s="168"/>
      <c r="Z184" s="168"/>
      <c r="AA184" s="168"/>
      <c r="AB184" s="168"/>
      <c r="AC184" s="168"/>
      <c r="AD184" s="168"/>
      <c r="AE184" s="168"/>
      <c r="AF184" s="168"/>
      <c r="AG184" s="168"/>
      <c r="AH184" s="168"/>
      <c r="AI184" s="168"/>
      <c r="AJ184" s="168"/>
    </row>
    <row r="185" spans="1:36" x14ac:dyDescent="0.2">
      <c r="A185" s="171">
        <v>3</v>
      </c>
      <c r="B185" s="168"/>
      <c r="C185" s="179">
        <f>+E185-E184</f>
        <v>169.93391749999995</v>
      </c>
      <c r="D185" s="171">
        <f>+G185-G184</f>
        <v>151.69380182500004</v>
      </c>
      <c r="E185" s="168">
        <v>562.67999999999995</v>
      </c>
      <c r="F185" s="168"/>
      <c r="G185" s="168">
        <v>507.887</v>
      </c>
      <c r="H185" s="168"/>
      <c r="I185" s="176">
        <v>129.4</v>
      </c>
      <c r="J185" s="168">
        <v>3</v>
      </c>
      <c r="K185" s="168"/>
      <c r="L185" s="185">
        <v>24107.386250000007</v>
      </c>
      <c r="M185" s="186">
        <v>914.64669811090494</v>
      </c>
      <c r="N185" s="176">
        <f t="shared" si="9"/>
        <v>1105.3865833390562</v>
      </c>
      <c r="O185" s="177">
        <v>10171</v>
      </c>
      <c r="P185" s="176">
        <v>1285.3999999999996</v>
      </c>
      <c r="Q185" s="176">
        <f t="shared" si="5"/>
        <v>1553.4565610510044</v>
      </c>
      <c r="R185" s="177">
        <v>10339</v>
      </c>
      <c r="S185" s="176">
        <v>167.29999999999995</v>
      </c>
      <c r="T185" s="176">
        <f t="shared" si="6"/>
        <v>202.18864374033998</v>
      </c>
      <c r="U185" s="168"/>
      <c r="V185" s="168"/>
      <c r="W185" s="168"/>
      <c r="X185" s="168"/>
      <c r="Y185" s="168"/>
      <c r="Z185" s="168"/>
      <c r="AA185" s="168"/>
      <c r="AB185" s="168"/>
      <c r="AC185" s="168"/>
      <c r="AD185" s="168"/>
      <c r="AE185" s="168"/>
      <c r="AF185" s="168"/>
      <c r="AG185" s="168"/>
      <c r="AH185" s="168"/>
      <c r="AI185" s="168"/>
      <c r="AJ185" s="168"/>
    </row>
    <row r="186" spans="1:36" x14ac:dyDescent="0.2">
      <c r="A186" s="168">
        <v>4</v>
      </c>
      <c r="B186" s="168"/>
      <c r="C186" s="179">
        <f>+E186-E185</f>
        <v>202.17554500000006</v>
      </c>
      <c r="D186" s="171">
        <f>+G186-G185</f>
        <v>178.91908595000001</v>
      </c>
      <c r="E186" s="168">
        <v>764.85554500000001</v>
      </c>
      <c r="F186" s="168"/>
      <c r="G186" s="168">
        <v>686.80608595000001</v>
      </c>
      <c r="H186" s="168"/>
      <c r="I186" s="168">
        <v>130.5</v>
      </c>
      <c r="J186" s="168">
        <v>4</v>
      </c>
      <c r="K186" s="168"/>
      <c r="L186" s="185">
        <v>18022.572976190484</v>
      </c>
      <c r="M186" s="176">
        <v>777.38419736292576</v>
      </c>
      <c r="N186" s="176">
        <f t="shared" si="9"/>
        <v>931.58028892414688</v>
      </c>
      <c r="O186" s="185">
        <v>8775.7956028314002</v>
      </c>
      <c r="P186" s="176">
        <v>1286.8626975018997</v>
      </c>
      <c r="Q186" s="176">
        <f t="shared" si="5"/>
        <v>1542.1151183818745</v>
      </c>
      <c r="R186" s="185">
        <v>9645.4866500746648</v>
      </c>
      <c r="S186" s="176">
        <v>181.103452008619</v>
      </c>
      <c r="T186" s="176">
        <f t="shared" si="6"/>
        <v>217.02577273845125</v>
      </c>
      <c r="U186" s="168"/>
      <c r="V186" s="168"/>
      <c r="W186" s="168"/>
      <c r="X186" s="168"/>
      <c r="Y186" s="168"/>
      <c r="Z186" s="168"/>
      <c r="AA186" s="168"/>
      <c r="AB186" s="168"/>
      <c r="AC186" s="168"/>
      <c r="AD186" s="168"/>
      <c r="AE186" s="168"/>
      <c r="AF186" s="168"/>
      <c r="AG186" s="168"/>
      <c r="AH186" s="168"/>
      <c r="AI186" s="168"/>
      <c r="AJ186" s="168"/>
    </row>
    <row r="187" spans="1:36" x14ac:dyDescent="0.2">
      <c r="A187" s="168">
        <v>1</v>
      </c>
      <c r="B187" s="168">
        <v>2012</v>
      </c>
      <c r="C187" s="179">
        <f>+E187</f>
        <v>195.82938625</v>
      </c>
      <c r="D187" s="171">
        <f>+G187</f>
        <v>177.0717714875</v>
      </c>
      <c r="E187" s="168">
        <v>195.82938625</v>
      </c>
      <c r="F187" s="168"/>
      <c r="G187" s="168">
        <v>177.0717714875</v>
      </c>
      <c r="H187" s="168"/>
      <c r="I187" s="168">
        <v>131.69999999999999</v>
      </c>
      <c r="J187" s="168">
        <v>1</v>
      </c>
      <c r="K187" s="168">
        <v>2012</v>
      </c>
      <c r="L187" s="185">
        <v>18517.39324404762</v>
      </c>
      <c r="M187" s="176">
        <v>869.15461769403078</v>
      </c>
      <c r="N187" s="176">
        <f t="shared" ref="N187:N193" si="10">M187/I187*$I$69</f>
        <v>1032.0633628555886</v>
      </c>
      <c r="O187" s="177">
        <v>6822.44890070785</v>
      </c>
      <c r="P187" s="176">
        <v>1150.314057295883</v>
      </c>
      <c r="Q187" s="176">
        <f t="shared" si="5"/>
        <v>1365.9215174655785</v>
      </c>
      <c r="R187" s="177">
        <v>7564.3716625186662</v>
      </c>
      <c r="S187" s="176">
        <v>175.73767321176348</v>
      </c>
      <c r="T187" s="176">
        <f t="shared" si="6"/>
        <v>208.67681112544903</v>
      </c>
      <c r="U187" s="168"/>
      <c r="V187" s="168"/>
      <c r="W187" s="168"/>
      <c r="X187" s="168"/>
      <c r="Y187" s="168"/>
      <c r="Z187" s="168"/>
      <c r="AA187" s="168"/>
      <c r="AB187" s="168"/>
      <c r="AC187" s="168"/>
      <c r="AD187" s="168"/>
      <c r="AE187" s="168"/>
      <c r="AF187" s="168"/>
      <c r="AG187" s="168"/>
      <c r="AH187" s="168"/>
      <c r="AI187" s="168"/>
      <c r="AJ187" s="168"/>
    </row>
    <row r="188" spans="1:36" x14ac:dyDescent="0.2">
      <c r="A188" s="168">
        <v>2</v>
      </c>
      <c r="B188" s="168"/>
      <c r="C188" s="179">
        <f>+E188-E187</f>
        <v>182.75061374999999</v>
      </c>
      <c r="D188" s="171">
        <f>+G188-G187</f>
        <v>165.12822851249999</v>
      </c>
      <c r="E188" s="187">
        <v>378.58</v>
      </c>
      <c r="F188" s="168"/>
      <c r="G188" s="187">
        <v>342.2</v>
      </c>
      <c r="H188" s="168"/>
      <c r="I188" s="168">
        <v>131.69999999999999</v>
      </c>
      <c r="J188" s="168">
        <v>2</v>
      </c>
      <c r="K188" s="168"/>
      <c r="L188" s="185">
        <v>14087.60675595238</v>
      </c>
      <c r="M188" s="176">
        <v>635.43152402028181</v>
      </c>
      <c r="N188" s="176">
        <f t="shared" si="10"/>
        <v>754.53271741770538</v>
      </c>
      <c r="O188" s="177">
        <v>4838.55109929215</v>
      </c>
      <c r="P188" s="176">
        <v>1037.7970664905204</v>
      </c>
      <c r="Q188" s="176">
        <f t="shared" si="5"/>
        <v>1232.3150663866368</v>
      </c>
      <c r="R188" s="177">
        <v>10002.628337481334</v>
      </c>
      <c r="S188" s="176">
        <v>184.20744441885319</v>
      </c>
      <c r="T188" s="176">
        <f t="shared" si="6"/>
        <v>218.7341017117871</v>
      </c>
      <c r="U188" s="168"/>
      <c r="V188" s="168"/>
      <c r="W188" s="168"/>
      <c r="X188" s="168"/>
      <c r="Y188" s="168"/>
      <c r="Z188" s="168"/>
      <c r="AA188" s="168"/>
      <c r="AB188" s="168"/>
      <c r="AC188" s="168"/>
      <c r="AD188" s="168"/>
      <c r="AE188" s="168"/>
      <c r="AF188" s="168"/>
      <c r="AG188" s="168"/>
      <c r="AH188" s="168"/>
      <c r="AI188" s="168"/>
      <c r="AJ188" s="168"/>
    </row>
    <row r="189" spans="1:36" x14ac:dyDescent="0.2">
      <c r="A189" s="171">
        <v>3</v>
      </c>
      <c r="B189" s="168"/>
      <c r="C189" s="179">
        <f>+E189-E188</f>
        <v>165.72960875000007</v>
      </c>
      <c r="D189" s="171">
        <f>+G189-G188</f>
        <v>148.24155396250001</v>
      </c>
      <c r="E189" s="168">
        <v>544.30960875000005</v>
      </c>
      <c r="F189" s="168"/>
      <c r="G189" s="168">
        <v>490.4415539625</v>
      </c>
      <c r="H189" s="168"/>
      <c r="I189" s="168">
        <v>130</v>
      </c>
      <c r="J189" s="168">
        <v>3</v>
      </c>
      <c r="K189" s="168"/>
      <c r="L189" s="188">
        <v>20999.460714285713</v>
      </c>
      <c r="M189" s="189">
        <v>864.77367174435972</v>
      </c>
      <c r="N189" s="176">
        <f t="shared" si="10"/>
        <v>1040.2894665826284</v>
      </c>
      <c r="O189" s="188">
        <v>6828.0536397386386</v>
      </c>
      <c r="P189" s="189">
        <v>1132.0609213635664</v>
      </c>
      <c r="Q189" s="176">
        <f t="shared" si="5"/>
        <v>1361.8257475957028</v>
      </c>
      <c r="R189" s="188">
        <v>10877.781177428844</v>
      </c>
      <c r="S189" s="189">
        <v>190.02859425457928</v>
      </c>
      <c r="T189" s="176">
        <f t="shared" si="6"/>
        <v>228.59709009617217</v>
      </c>
      <c r="U189" s="168"/>
      <c r="V189" s="168"/>
      <c r="W189" s="168"/>
      <c r="X189" s="168"/>
      <c r="Y189" s="168"/>
      <c r="Z189" s="168"/>
      <c r="AA189" s="168"/>
      <c r="AB189" s="168"/>
      <c r="AC189" s="168"/>
      <c r="AD189" s="168"/>
      <c r="AE189" s="168"/>
      <c r="AF189" s="168"/>
      <c r="AG189" s="168"/>
      <c r="AH189" s="168"/>
      <c r="AI189" s="168"/>
      <c r="AJ189" s="168"/>
    </row>
    <row r="190" spans="1:36" x14ac:dyDescent="0.2">
      <c r="A190" s="171">
        <v>4</v>
      </c>
      <c r="B190" s="168"/>
      <c r="C190" s="179">
        <f>+E190-E189</f>
        <v>166.80539124999996</v>
      </c>
      <c r="D190" s="171">
        <f>+G190-G189</f>
        <v>151.72844603749996</v>
      </c>
      <c r="E190" s="168">
        <v>711.11500000000001</v>
      </c>
      <c r="F190" s="168"/>
      <c r="G190" s="168">
        <v>642.16999999999996</v>
      </c>
      <c r="H190" s="168"/>
      <c r="I190" s="168">
        <v>132</v>
      </c>
      <c r="J190" s="168">
        <v>4</v>
      </c>
      <c r="K190" s="168"/>
      <c r="L190" s="188">
        <v>17946.539285714287</v>
      </c>
      <c r="M190" s="189">
        <v>826.79347775776318</v>
      </c>
      <c r="N190" s="176">
        <f t="shared" si="10"/>
        <v>979.53104559960457</v>
      </c>
      <c r="O190" s="188">
        <v>5621.9463602613596</v>
      </c>
      <c r="P190" s="189">
        <v>1071.0118577206574</v>
      </c>
      <c r="Q190" s="176">
        <f t="shared" ref="Q190:Q224" si="11">P190/I190*$I$69</f>
        <v>1268.8650709821593</v>
      </c>
      <c r="R190" s="188">
        <v>8525.2188225711561</v>
      </c>
      <c r="S190" s="189">
        <v>190.41732478586363</v>
      </c>
      <c r="T190" s="176">
        <f t="shared" ref="T190:T224" si="12">S190/I190*$I$69</f>
        <v>225.59404042907033</v>
      </c>
      <c r="U190" s="168"/>
      <c r="V190" s="168"/>
      <c r="W190" s="168"/>
      <c r="X190" s="168"/>
      <c r="Y190" s="168"/>
      <c r="Z190" s="168"/>
      <c r="AA190" s="168"/>
      <c r="AB190" s="168"/>
      <c r="AC190" s="168"/>
      <c r="AD190" s="168"/>
      <c r="AE190" s="168"/>
      <c r="AF190" s="168"/>
      <c r="AG190" s="168"/>
      <c r="AH190" s="168"/>
      <c r="AI190" s="168"/>
      <c r="AJ190" s="168"/>
    </row>
    <row r="191" spans="1:36" x14ac:dyDescent="0.2">
      <c r="A191" s="168">
        <v>1</v>
      </c>
      <c r="B191" s="168">
        <v>2013</v>
      </c>
      <c r="C191" s="179">
        <f>+E191</f>
        <v>199.180995</v>
      </c>
      <c r="D191" s="171">
        <f>+G191</f>
        <v>183.65288545000001</v>
      </c>
      <c r="E191" s="168">
        <v>199.180995</v>
      </c>
      <c r="F191" s="168"/>
      <c r="G191" s="168">
        <v>183.65288545000001</v>
      </c>
      <c r="H191" s="168"/>
      <c r="I191" s="168">
        <v>133</v>
      </c>
      <c r="J191" s="168">
        <v>1</v>
      </c>
      <c r="K191" s="168">
        <f>B191</f>
        <v>2013</v>
      </c>
      <c r="L191" s="188">
        <v>21974.571815476189</v>
      </c>
      <c r="M191" s="189">
        <v>1023.0812127444322</v>
      </c>
      <c r="N191" s="176">
        <f t="shared" si="10"/>
        <v>1202.9665823687071</v>
      </c>
      <c r="O191" s="188">
        <v>5520.4451678348678</v>
      </c>
      <c r="P191" s="189">
        <v>1148.1840804128565</v>
      </c>
      <c r="Q191" s="176">
        <f t="shared" si="11"/>
        <v>1350.0659204162753</v>
      </c>
      <c r="R191" s="188">
        <v>5958.3970505452735</v>
      </c>
      <c r="S191" s="189">
        <v>167.84779905693762</v>
      </c>
      <c r="T191" s="176">
        <f t="shared" si="12"/>
        <v>197.35998537984355</v>
      </c>
      <c r="U191" s="168"/>
      <c r="V191" s="168"/>
      <c r="W191" s="168"/>
      <c r="X191" s="168"/>
      <c r="Y191" s="168"/>
      <c r="Z191" s="168"/>
      <c r="AA191" s="168"/>
      <c r="AB191" s="168"/>
      <c r="AC191" s="168"/>
      <c r="AD191" s="168"/>
      <c r="AE191" s="168"/>
      <c r="AF191" s="168"/>
      <c r="AG191" s="168"/>
      <c r="AH191" s="168"/>
      <c r="AI191" s="168"/>
      <c r="AJ191" s="168"/>
    </row>
    <row r="192" spans="1:36" x14ac:dyDescent="0.2">
      <c r="A192" s="168">
        <v>2</v>
      </c>
      <c r="B192" s="168"/>
      <c r="C192" s="179">
        <f>+E192-E191</f>
        <v>205.01500500000003</v>
      </c>
      <c r="D192" s="171">
        <f>+G192-G191</f>
        <v>185.63411454999996</v>
      </c>
      <c r="E192" s="168">
        <v>404.19600000000003</v>
      </c>
      <c r="F192" s="168"/>
      <c r="G192" s="168">
        <v>369.28699999999998</v>
      </c>
      <c r="H192" s="168"/>
      <c r="I192" s="168">
        <v>134.30000000000001</v>
      </c>
      <c r="J192" s="168">
        <v>2</v>
      </c>
      <c r="K192" s="168"/>
      <c r="L192" s="188">
        <v>23960.428184523811</v>
      </c>
      <c r="M192" s="189">
        <v>1011.581560458749</v>
      </c>
      <c r="N192" s="176">
        <f t="shared" si="10"/>
        <v>1177.9313650956178</v>
      </c>
      <c r="O192" s="188">
        <v>6388.5548321651322</v>
      </c>
      <c r="P192" s="189">
        <v>1133.7065185307133</v>
      </c>
      <c r="Q192" s="176">
        <f t="shared" si="11"/>
        <v>1320.1391950887983</v>
      </c>
      <c r="R192" s="188">
        <v>10154.602949454726</v>
      </c>
      <c r="S192" s="189">
        <v>176.1673175310234</v>
      </c>
      <c r="T192" s="176">
        <f t="shared" si="12"/>
        <v>205.13719994109528</v>
      </c>
      <c r="U192" s="168"/>
      <c r="V192" s="168"/>
      <c r="W192" s="168"/>
      <c r="X192" s="168"/>
      <c r="Y192" s="168"/>
      <c r="Z192" s="168"/>
      <c r="AA192" s="168"/>
      <c r="AB192" s="168"/>
      <c r="AC192" s="168"/>
      <c r="AD192" s="168"/>
      <c r="AE192" s="168"/>
      <c r="AF192" s="168"/>
      <c r="AG192" s="168"/>
      <c r="AH192" s="168"/>
      <c r="AI192" s="168"/>
      <c r="AJ192" s="168"/>
    </row>
    <row r="193" spans="1:36" x14ac:dyDescent="0.2">
      <c r="A193" s="168">
        <v>3</v>
      </c>
      <c r="B193" s="168"/>
      <c r="C193" s="179">
        <f>+E193-E192</f>
        <v>172.04383408071794</v>
      </c>
      <c r="D193" s="171">
        <f>+G193-G192</f>
        <v>153.21019910313902</v>
      </c>
      <c r="E193" s="168">
        <v>576.23983408071797</v>
      </c>
      <c r="F193" s="168"/>
      <c r="G193" s="168">
        <v>522.497199103139</v>
      </c>
      <c r="H193" s="168"/>
      <c r="I193" s="168">
        <v>134.19999999999999</v>
      </c>
      <c r="J193" s="168">
        <v>3</v>
      </c>
      <c r="K193" s="168"/>
      <c r="L193" s="188">
        <v>18388.581422924897</v>
      </c>
      <c r="M193" s="189">
        <v>735.52528494140915</v>
      </c>
      <c r="N193" s="176">
        <f t="shared" si="10"/>
        <v>857.11715115918253</v>
      </c>
      <c r="O193" s="188">
        <v>11492.955434782609</v>
      </c>
      <c r="P193" s="189">
        <v>1323.3889549928699</v>
      </c>
      <c r="Q193" s="176">
        <f t="shared" si="11"/>
        <v>1542.162307947541</v>
      </c>
      <c r="R193" s="188">
        <v>11786.02326086957</v>
      </c>
      <c r="S193" s="189">
        <v>172.41802435151402</v>
      </c>
      <c r="T193" s="176">
        <f t="shared" si="12"/>
        <v>200.92095930112913</v>
      </c>
      <c r="U193" s="168"/>
      <c r="V193" s="168"/>
      <c r="W193" s="168"/>
      <c r="X193" s="168"/>
      <c r="Y193" s="168"/>
      <c r="Z193" s="168"/>
      <c r="AA193" s="168"/>
      <c r="AB193" s="168"/>
      <c r="AC193" s="168"/>
      <c r="AD193" s="168"/>
      <c r="AE193" s="168"/>
      <c r="AF193" s="168"/>
      <c r="AG193" s="168"/>
      <c r="AH193" s="168"/>
      <c r="AI193" s="168"/>
      <c r="AJ193" s="168"/>
    </row>
    <row r="194" spans="1:36" x14ac:dyDescent="0.2">
      <c r="A194" s="171">
        <v>4</v>
      </c>
      <c r="B194" s="168"/>
      <c r="C194" s="179">
        <f>+E194-E193</f>
        <v>204.099832585949</v>
      </c>
      <c r="D194" s="171">
        <f>+G194-G193</f>
        <v>188.07946756352794</v>
      </c>
      <c r="E194" s="168">
        <v>780.33966666666697</v>
      </c>
      <c r="F194" s="168"/>
      <c r="G194" s="168">
        <v>710.57666666666694</v>
      </c>
      <c r="H194" s="168"/>
      <c r="I194" s="168">
        <v>135.30000000000001</v>
      </c>
      <c r="J194" s="168">
        <v>4</v>
      </c>
      <c r="K194" s="168"/>
      <c r="L194" s="188">
        <v>18420.418577075106</v>
      </c>
      <c r="M194" s="188">
        <v>895.71090498583999</v>
      </c>
      <c r="N194" s="176">
        <f>M194/I194*$I$69</f>
        <v>1035.2974861508544</v>
      </c>
      <c r="O194" s="188">
        <v>7745.0445652173912</v>
      </c>
      <c r="P194" s="188">
        <v>1212.6630411771803</v>
      </c>
      <c r="Q194" s="176">
        <f t="shared" si="11"/>
        <v>1401.6430871728999</v>
      </c>
      <c r="R194" s="188">
        <v>11621.97673913043</v>
      </c>
      <c r="S194" s="188">
        <v>180.100371437175</v>
      </c>
      <c r="T194" s="176">
        <f t="shared" si="12"/>
        <v>208.16701099188924</v>
      </c>
      <c r="U194" s="168"/>
      <c r="V194" s="168"/>
      <c r="W194" s="168"/>
      <c r="X194" s="168"/>
      <c r="Y194" s="168"/>
      <c r="Z194" s="168"/>
      <c r="AA194" s="168"/>
      <c r="AB194" s="168"/>
      <c r="AC194" s="168"/>
      <c r="AD194" s="168"/>
      <c r="AE194" s="168"/>
      <c r="AF194" s="168"/>
      <c r="AG194" s="168"/>
      <c r="AH194" s="168"/>
      <c r="AI194" s="168"/>
      <c r="AJ194" s="168"/>
    </row>
    <row r="195" spans="1:36" x14ac:dyDescent="0.2">
      <c r="A195" s="171">
        <v>1</v>
      </c>
      <c r="B195" s="168">
        <v>2014</v>
      </c>
      <c r="C195" s="179">
        <f>E195</f>
        <v>196.17699999999999</v>
      </c>
      <c r="D195" s="171">
        <f>G195</f>
        <v>179.55199999999999</v>
      </c>
      <c r="E195" s="168">
        <v>196.17699999999999</v>
      </c>
      <c r="F195" s="168"/>
      <c r="G195" s="168">
        <v>179.55199999999999</v>
      </c>
      <c r="H195" s="168"/>
      <c r="I195" s="168">
        <v>135.80000000000001</v>
      </c>
      <c r="J195" s="168">
        <f>A195</f>
        <v>1</v>
      </c>
      <c r="K195" s="168">
        <f>B195</f>
        <v>2014</v>
      </c>
      <c r="L195" s="188">
        <v>19713</v>
      </c>
      <c r="M195" s="188">
        <v>886.67647724495987</v>
      </c>
      <c r="N195" s="176">
        <f>M195/I195*$I$69</f>
        <v>1021.081744432644</v>
      </c>
      <c r="O195" s="188">
        <v>7032</v>
      </c>
      <c r="P195" s="188">
        <v>1484.9150299297401</v>
      </c>
      <c r="Q195" s="176">
        <f t="shared" ref="Q195" si="13">P195/I195*$I$69</f>
        <v>1710.0032176403713</v>
      </c>
      <c r="R195" s="188">
        <v>8004</v>
      </c>
      <c r="S195" s="188">
        <v>165.16263465729782</v>
      </c>
      <c r="T195" s="176">
        <f t="shared" ref="T195" si="14">S195/I195*$I$69</f>
        <v>190.19851709043829</v>
      </c>
      <c r="U195" s="168"/>
      <c r="V195" s="168"/>
      <c r="W195" s="168"/>
      <c r="X195" s="168"/>
      <c r="Y195" s="168"/>
      <c r="Z195" s="168"/>
      <c r="AA195" s="168"/>
      <c r="AB195" s="168"/>
      <c r="AC195" s="168"/>
      <c r="AD195" s="168"/>
      <c r="AE195" s="168"/>
      <c r="AF195" s="168"/>
      <c r="AG195" s="168"/>
      <c r="AH195" s="168"/>
      <c r="AI195" s="168"/>
      <c r="AJ195" s="168"/>
    </row>
    <row r="196" spans="1:36" x14ac:dyDescent="0.2">
      <c r="A196" s="168">
        <v>2</v>
      </c>
      <c r="B196" s="168"/>
      <c r="C196" s="179">
        <f>+E196-E195</f>
        <v>197.965</v>
      </c>
      <c r="D196" s="171">
        <f>+G196-G195</f>
        <v>179.76700000000002</v>
      </c>
      <c r="E196" s="168">
        <v>394.142</v>
      </c>
      <c r="F196" s="168"/>
      <c r="G196" s="168">
        <v>359.31900000000002</v>
      </c>
      <c r="H196" s="168"/>
      <c r="I196" s="168">
        <v>136.69999999999999</v>
      </c>
      <c r="J196" s="168">
        <v>2</v>
      </c>
      <c r="K196" s="168"/>
      <c r="L196" s="188">
        <v>16691</v>
      </c>
      <c r="M196" s="188">
        <v>732.96206934555016</v>
      </c>
      <c r="N196" s="176">
        <f t="shared" ref="N196:N224" si="15">M196/I196*$I$69</f>
        <v>838.50967969717544</v>
      </c>
      <c r="O196" s="188">
        <v>6228</v>
      </c>
      <c r="P196" s="188">
        <v>1158.7677611998799</v>
      </c>
      <c r="Q196" s="176">
        <f t="shared" si="11"/>
        <v>1325.6320141568635</v>
      </c>
      <c r="R196" s="188">
        <v>11579</v>
      </c>
      <c r="S196" s="188">
        <v>167.32102845142202</v>
      </c>
      <c r="T196" s="176">
        <f t="shared" si="12"/>
        <v>191.41550134876107</v>
      </c>
      <c r="U196" s="168"/>
      <c r="V196" s="168"/>
      <c r="W196" s="168"/>
      <c r="X196" s="168"/>
      <c r="Y196" s="168"/>
      <c r="Z196" s="168"/>
      <c r="AA196" s="168"/>
      <c r="AB196" s="168"/>
      <c r="AC196" s="168"/>
      <c r="AD196" s="168"/>
      <c r="AE196" s="168"/>
      <c r="AF196" s="168"/>
      <c r="AG196" s="168"/>
      <c r="AH196" s="168"/>
      <c r="AI196" s="168"/>
      <c r="AJ196" s="168"/>
    </row>
    <row r="197" spans="1:36" x14ac:dyDescent="0.2">
      <c r="A197" s="168">
        <v>3</v>
      </c>
      <c r="B197" s="168"/>
      <c r="C197" s="179">
        <f>+E197-E196</f>
        <v>192.10452006852</v>
      </c>
      <c r="D197" s="171">
        <f>+G197-G196</f>
        <v>173.47352006851992</v>
      </c>
      <c r="E197" s="168">
        <v>586.24652006852</v>
      </c>
      <c r="F197" s="168"/>
      <c r="G197" s="168">
        <v>532.79252006851993</v>
      </c>
      <c r="H197" s="168"/>
      <c r="I197" s="168">
        <v>137</v>
      </c>
      <c r="J197" s="168">
        <v>3</v>
      </c>
      <c r="K197" s="168"/>
      <c r="L197" s="188">
        <v>21817</v>
      </c>
      <c r="M197" s="188">
        <v>1080.59231996894</v>
      </c>
      <c r="N197" s="176">
        <f t="shared" si="15"/>
        <v>1233.4921894769541</v>
      </c>
      <c r="O197" s="188">
        <v>20407</v>
      </c>
      <c r="P197" s="188">
        <v>1259.8740491119995</v>
      </c>
      <c r="Q197" s="176">
        <f t="shared" si="11"/>
        <v>1438.1416289808765</v>
      </c>
      <c r="R197" s="188">
        <v>11684</v>
      </c>
      <c r="S197" s="188">
        <v>177.03184293206914</v>
      </c>
      <c r="T197" s="176">
        <f t="shared" si="12"/>
        <v>202.08120260534042</v>
      </c>
      <c r="U197" s="168"/>
      <c r="V197" s="168"/>
      <c r="W197" s="168"/>
      <c r="X197" s="168"/>
      <c r="Y197" s="168"/>
      <c r="Z197" s="168"/>
      <c r="AA197" s="168"/>
      <c r="AB197" s="168"/>
      <c r="AC197" s="168"/>
      <c r="AD197" s="168"/>
      <c r="AE197" s="168"/>
      <c r="AF197" s="168"/>
      <c r="AG197" s="168"/>
      <c r="AH197" s="168"/>
      <c r="AI197" s="168"/>
      <c r="AJ197" s="168"/>
    </row>
    <row r="198" spans="1:36" x14ac:dyDescent="0.2">
      <c r="A198" s="168">
        <v>4</v>
      </c>
      <c r="B198" s="168"/>
      <c r="C198" s="179">
        <f>+E198-E197</f>
        <v>196.808833167682</v>
      </c>
      <c r="D198" s="171">
        <f>+G198-G197</f>
        <v>184.73883316768206</v>
      </c>
      <c r="E198" s="168">
        <v>783.055353236202</v>
      </c>
      <c r="F198" s="168"/>
      <c r="G198" s="168">
        <v>717.53135323620199</v>
      </c>
      <c r="H198" s="168"/>
      <c r="I198" s="168">
        <v>137.9</v>
      </c>
      <c r="J198" s="168">
        <v>4</v>
      </c>
      <c r="K198" s="168"/>
      <c r="L198" s="188">
        <v>20183</v>
      </c>
      <c r="M198" s="188">
        <v>869.67426416194962</v>
      </c>
      <c r="N198" s="176">
        <f t="shared" si="15"/>
        <v>986.25097752695069</v>
      </c>
      <c r="O198" s="188">
        <v>12863</v>
      </c>
      <c r="P198" s="188">
        <v>1106.850761909501</v>
      </c>
      <c r="Q198" s="176">
        <f t="shared" si="11"/>
        <v>1255.2201334388492</v>
      </c>
      <c r="R198" s="188">
        <v>9690</v>
      </c>
      <c r="S198" s="188">
        <v>175.42101671448501</v>
      </c>
      <c r="T198" s="176">
        <f t="shared" si="12"/>
        <v>198.93557432120915</v>
      </c>
      <c r="U198" s="168"/>
      <c r="V198" s="168"/>
      <c r="W198" s="168"/>
      <c r="X198" s="168"/>
      <c r="Y198" s="168"/>
      <c r="Z198" s="168"/>
      <c r="AA198" s="168"/>
      <c r="AB198" s="168"/>
      <c r="AC198" s="168"/>
      <c r="AD198" s="168"/>
      <c r="AE198" s="168"/>
      <c r="AF198" s="168"/>
      <c r="AG198" s="168"/>
      <c r="AH198" s="168"/>
      <c r="AI198" s="168"/>
      <c r="AJ198" s="168"/>
    </row>
    <row r="199" spans="1:36" x14ac:dyDescent="0.2">
      <c r="A199" s="168">
        <v>1</v>
      </c>
      <c r="B199" s="168">
        <v>2015</v>
      </c>
      <c r="C199" s="179">
        <f>E199</f>
        <v>219.418599054541</v>
      </c>
      <c r="D199" s="171">
        <f>G199</f>
        <v>202.59159905454101</v>
      </c>
      <c r="E199" s="168">
        <v>219.418599054541</v>
      </c>
      <c r="F199" s="168"/>
      <c r="G199" s="168">
        <v>202.59159905454101</v>
      </c>
      <c r="H199" s="168"/>
      <c r="I199" s="168">
        <v>138.4</v>
      </c>
      <c r="J199" s="168">
        <v>1</v>
      </c>
      <c r="K199" s="168">
        <v>2015</v>
      </c>
      <c r="L199" s="188">
        <v>19630</v>
      </c>
      <c r="M199" s="188">
        <v>957.60520650282388</v>
      </c>
      <c r="N199" s="176">
        <f t="shared" si="15"/>
        <v>1082.0454495588449</v>
      </c>
      <c r="O199" s="188">
        <v>9848</v>
      </c>
      <c r="P199" s="188">
        <v>1279.8360091262539</v>
      </c>
      <c r="Q199" s="176">
        <f t="shared" si="11"/>
        <v>1446.1499587226101</v>
      </c>
      <c r="R199" s="188">
        <v>7135</v>
      </c>
      <c r="S199" s="188">
        <v>155.36971992416409</v>
      </c>
      <c r="T199" s="176">
        <f t="shared" si="12"/>
        <v>175.55992521922258</v>
      </c>
      <c r="U199" s="168"/>
      <c r="V199" s="168"/>
      <c r="W199" s="168"/>
      <c r="X199" s="168"/>
      <c r="Y199" s="168"/>
      <c r="Z199" s="168"/>
      <c r="AA199" s="168"/>
      <c r="AB199" s="168"/>
      <c r="AC199" s="168"/>
      <c r="AD199" s="168"/>
      <c r="AE199" s="168"/>
      <c r="AF199" s="168"/>
      <c r="AG199" s="168"/>
      <c r="AH199" s="168"/>
      <c r="AI199" s="168"/>
      <c r="AJ199" s="168"/>
    </row>
    <row r="200" spans="1:36" x14ac:dyDescent="0.2">
      <c r="A200" s="168">
        <v>2</v>
      </c>
      <c r="B200" s="168"/>
      <c r="C200" s="179">
        <f>+E200-E199</f>
        <v>188.69592411436798</v>
      </c>
      <c r="D200" s="171">
        <f>+G200-G199</f>
        <v>171.45081948058601</v>
      </c>
      <c r="E200" s="168">
        <v>408.11452316890899</v>
      </c>
      <c r="F200" s="168"/>
      <c r="G200" s="168">
        <v>374.04241853512701</v>
      </c>
      <c r="H200" s="168"/>
      <c r="I200" s="168">
        <v>139.6</v>
      </c>
      <c r="J200" s="168">
        <v>2</v>
      </c>
      <c r="K200" s="168"/>
      <c r="L200" s="188">
        <v>15703.949675889351</v>
      </c>
      <c r="M200" s="188">
        <v>739.71582874915612</v>
      </c>
      <c r="N200" s="176">
        <f t="shared" si="15"/>
        <v>828.65658939066475</v>
      </c>
      <c r="O200" s="188">
        <v>5422.7168724637304</v>
      </c>
      <c r="P200" s="188">
        <v>1206.7408437095464</v>
      </c>
      <c r="Q200" s="176">
        <f t="shared" si="11"/>
        <v>1351.8350060423886</v>
      </c>
      <c r="R200" s="188">
        <v>9988.3050621118018</v>
      </c>
      <c r="S200" s="188">
        <v>168.85276765034422</v>
      </c>
      <c r="T200" s="176">
        <f t="shared" si="12"/>
        <v>189.15501482091034</v>
      </c>
      <c r="U200" s="168"/>
      <c r="V200" s="168"/>
      <c r="W200" s="168"/>
      <c r="X200" s="168"/>
      <c r="Y200" s="168"/>
      <c r="Z200" s="168"/>
      <c r="AA200" s="168"/>
      <c r="AB200" s="168"/>
      <c r="AC200" s="168"/>
      <c r="AD200" s="168"/>
      <c r="AE200" s="168"/>
      <c r="AF200" s="168"/>
      <c r="AG200" s="168"/>
      <c r="AH200" s="168"/>
      <c r="AI200" s="168"/>
      <c r="AJ200" s="168"/>
    </row>
    <row r="201" spans="1:36" x14ac:dyDescent="0.2">
      <c r="A201" s="168">
        <v>3</v>
      </c>
      <c r="B201" s="168"/>
      <c r="C201" s="179">
        <f>+E201-E200</f>
        <v>180.38826158445403</v>
      </c>
      <c r="D201" s="171">
        <f>+G201-G200</f>
        <v>162.29720926756397</v>
      </c>
      <c r="E201" s="168">
        <v>588.50278475336302</v>
      </c>
      <c r="F201" s="168"/>
      <c r="G201" s="168">
        <v>536.33962780269098</v>
      </c>
      <c r="H201" s="168"/>
      <c r="I201" s="168">
        <v>139.69999999999999</v>
      </c>
      <c r="J201" s="168">
        <v>3</v>
      </c>
      <c r="K201" s="168"/>
      <c r="L201" s="188">
        <v>22728.974837944646</v>
      </c>
      <c r="M201" s="188">
        <v>979.87465749478997</v>
      </c>
      <c r="N201" s="176">
        <f t="shared" si="15"/>
        <v>1096.905499730299</v>
      </c>
      <c r="O201" s="188">
        <v>8619.8584362319707</v>
      </c>
      <c r="P201" s="188">
        <v>1341.1049733657396</v>
      </c>
      <c r="Q201" s="176">
        <f t="shared" si="11"/>
        <v>1501.2791786671528</v>
      </c>
      <c r="R201" s="188">
        <v>10649.652531055901</v>
      </c>
      <c r="S201" s="188">
        <v>131.16322330640469</v>
      </c>
      <c r="T201" s="176">
        <f t="shared" si="12"/>
        <v>146.82863762900573</v>
      </c>
      <c r="U201" s="168"/>
      <c r="V201" s="168"/>
      <c r="W201" s="168"/>
      <c r="X201" s="168"/>
      <c r="Y201" s="168"/>
      <c r="Z201" s="168"/>
      <c r="AA201" s="168"/>
      <c r="AB201" s="168"/>
      <c r="AC201" s="168"/>
      <c r="AD201" s="168"/>
      <c r="AE201" s="168"/>
      <c r="AF201" s="168"/>
      <c r="AG201" s="168"/>
      <c r="AH201" s="168"/>
      <c r="AI201" s="168"/>
      <c r="AJ201" s="168"/>
    </row>
    <row r="202" spans="1:36" x14ac:dyDescent="0.2">
      <c r="A202" s="168">
        <v>4</v>
      </c>
      <c r="B202" s="168"/>
      <c r="C202" s="179">
        <f>+E202-E201</f>
        <v>195.22963867497901</v>
      </c>
      <c r="D202" s="171">
        <f>+G202-G201</f>
        <v>179.89113138755602</v>
      </c>
      <c r="E202" s="168">
        <v>783.73242342834203</v>
      </c>
      <c r="F202" s="168"/>
      <c r="G202" s="168">
        <v>716.230759190247</v>
      </c>
      <c r="H202" s="168"/>
      <c r="I202" s="168">
        <v>141.69999999999999</v>
      </c>
      <c r="J202" s="168">
        <v>4</v>
      </c>
      <c r="K202" s="168"/>
      <c r="L202" s="188">
        <v>17661.404213438705</v>
      </c>
      <c r="M202" s="188">
        <v>882.4718984768997</v>
      </c>
      <c r="N202" s="176">
        <f t="shared" si="15"/>
        <v>973.92637856958356</v>
      </c>
      <c r="O202" s="188">
        <v>7193.856491304301</v>
      </c>
      <c r="P202" s="188">
        <v>1425.3376484527203</v>
      </c>
      <c r="Q202" s="176">
        <f t="shared" si="11"/>
        <v>1573.0517159723267</v>
      </c>
      <c r="R202" s="188">
        <v>9159.825978260902</v>
      </c>
      <c r="S202" s="188">
        <v>158.55842389179503</v>
      </c>
      <c r="T202" s="176">
        <f t="shared" si="12"/>
        <v>174.99053719349592</v>
      </c>
      <c r="U202" s="168"/>
      <c r="V202" s="168"/>
      <c r="W202" s="168"/>
      <c r="X202" s="168"/>
      <c r="Y202" s="168"/>
      <c r="Z202" s="168"/>
      <c r="AA202" s="168"/>
      <c r="AB202" s="168"/>
      <c r="AC202" s="168"/>
      <c r="AD202" s="168"/>
      <c r="AE202" s="168"/>
      <c r="AF202" s="168"/>
      <c r="AG202" s="168"/>
      <c r="AH202" s="168"/>
      <c r="AI202" s="168"/>
      <c r="AJ202" s="168"/>
    </row>
    <row r="203" spans="1:36" x14ac:dyDescent="0.2">
      <c r="A203" s="168">
        <v>1</v>
      </c>
      <c r="B203" s="168">
        <v>2016</v>
      </c>
      <c r="C203" s="179">
        <f>E203</f>
        <v>217.297581707322</v>
      </c>
      <c r="D203" s="171">
        <f>G203</f>
        <v>201.19677375494101</v>
      </c>
      <c r="E203" s="168">
        <v>217.297581707322</v>
      </c>
      <c r="F203" s="168"/>
      <c r="G203" s="168">
        <v>201.19677375494101</v>
      </c>
      <c r="H203" s="168"/>
      <c r="I203" s="168">
        <v>142.69999999999999</v>
      </c>
      <c r="J203" s="168">
        <v>1</v>
      </c>
      <c r="K203" s="168">
        <v>2016</v>
      </c>
      <c r="L203" s="188">
        <v>20668.165818181998</v>
      </c>
      <c r="M203" s="188">
        <v>1021.6300324660001</v>
      </c>
      <c r="N203" s="176">
        <f t="shared" si="15"/>
        <v>1119.6048537294707</v>
      </c>
      <c r="O203" s="188">
        <v>6682.5362000000005</v>
      </c>
      <c r="P203" s="188">
        <v>1267.176908724</v>
      </c>
      <c r="Q203" s="176">
        <f t="shared" si="11"/>
        <v>1388.6997958710776</v>
      </c>
      <c r="R203" s="188">
        <v>6340.7358571430004</v>
      </c>
      <c r="S203" s="188">
        <v>128.592957756</v>
      </c>
      <c r="T203" s="176">
        <f t="shared" si="12"/>
        <v>140.92508548473768</v>
      </c>
      <c r="U203" s="168"/>
      <c r="V203" s="168"/>
      <c r="W203" s="168"/>
      <c r="X203" s="168"/>
      <c r="Y203" s="168"/>
      <c r="Z203" s="168"/>
      <c r="AA203" s="168"/>
      <c r="AB203" s="168"/>
      <c r="AC203" s="168"/>
      <c r="AD203" s="168"/>
      <c r="AE203" s="168"/>
      <c r="AF203" s="168"/>
      <c r="AG203" s="168"/>
      <c r="AH203" s="168"/>
      <c r="AI203" s="168"/>
      <c r="AJ203" s="168"/>
    </row>
    <row r="204" spans="1:36" x14ac:dyDescent="0.2">
      <c r="A204" s="168">
        <v>2</v>
      </c>
      <c r="B204" s="168"/>
      <c r="C204" s="179">
        <f>+E204-E203</f>
        <v>210.94903078835901</v>
      </c>
      <c r="D204" s="171">
        <f>+G204-G203</f>
        <v>192.89311593057502</v>
      </c>
      <c r="E204" s="168">
        <v>428.24661249568101</v>
      </c>
      <c r="F204" s="168"/>
      <c r="G204" s="168">
        <v>394.08988968551603</v>
      </c>
      <c r="H204" s="168"/>
      <c r="I204" s="168">
        <v>144.30000000000001</v>
      </c>
      <c r="J204" s="168">
        <v>2</v>
      </c>
      <c r="K204" s="168"/>
      <c r="L204" s="188">
        <v>19039.287573122998</v>
      </c>
      <c r="M204" s="188">
        <v>795.20392340999979</v>
      </c>
      <c r="N204" s="176">
        <f t="shared" si="15"/>
        <v>861.80156314949977</v>
      </c>
      <c r="O204" s="188">
        <v>5385.3991579709982</v>
      </c>
      <c r="P204" s="188">
        <v>991.5183596400002</v>
      </c>
      <c r="Q204" s="176">
        <f t="shared" si="11"/>
        <v>1074.5571633562124</v>
      </c>
      <c r="R204" s="188">
        <v>10107.700518632999</v>
      </c>
      <c r="S204" s="188">
        <v>152.61472035099999</v>
      </c>
      <c r="T204" s="176">
        <f t="shared" si="12"/>
        <v>165.39607097776255</v>
      </c>
      <c r="U204" s="168"/>
      <c r="V204" s="168"/>
      <c r="W204" s="168"/>
      <c r="X204" s="168"/>
      <c r="Y204" s="168"/>
      <c r="Z204" s="168"/>
      <c r="AA204" s="168"/>
      <c r="AB204" s="168"/>
      <c r="AC204" s="168"/>
      <c r="AD204" s="168"/>
      <c r="AE204" s="168"/>
      <c r="AF204" s="168"/>
      <c r="AG204" s="168"/>
      <c r="AH204" s="168"/>
      <c r="AI204" s="168"/>
      <c r="AJ204" s="168"/>
    </row>
    <row r="205" spans="1:36" x14ac:dyDescent="0.2">
      <c r="A205" s="168">
        <v>3</v>
      </c>
      <c r="B205" s="168"/>
      <c r="C205" s="179">
        <f>+E205-E204</f>
        <v>193.64755294266695</v>
      </c>
      <c r="D205" s="171">
        <f>+G205-G204</f>
        <v>175.641874720337</v>
      </c>
      <c r="E205" s="168">
        <v>621.89416543834795</v>
      </c>
      <c r="F205" s="168"/>
      <c r="G205" s="168">
        <v>569.73176440585303</v>
      </c>
      <c r="H205" s="168"/>
      <c r="I205" s="168">
        <v>145.30000000000001</v>
      </c>
      <c r="J205" s="168">
        <v>3</v>
      </c>
      <c r="K205" s="168"/>
      <c r="L205" s="188">
        <v>25325.005330874006</v>
      </c>
      <c r="M205" s="188">
        <v>1404.3111468839998</v>
      </c>
      <c r="N205" s="176">
        <f t="shared" si="15"/>
        <v>1511.4466531689902</v>
      </c>
      <c r="O205" s="188">
        <v>9666.7747891530034</v>
      </c>
      <c r="P205" s="188">
        <v>1492.4533452979995</v>
      </c>
      <c r="Q205" s="176">
        <f t="shared" si="11"/>
        <v>1606.3132581171897</v>
      </c>
      <c r="R205" s="188">
        <v>10325.156290487997</v>
      </c>
      <c r="S205" s="188">
        <v>149.15188867200001</v>
      </c>
      <c r="T205" s="176">
        <f t="shared" si="12"/>
        <v>160.53075092891066</v>
      </c>
      <c r="U205" s="168"/>
      <c r="V205" s="168"/>
      <c r="W205" s="168"/>
      <c r="X205" s="168"/>
      <c r="Y205" s="168"/>
      <c r="Z205" s="168"/>
      <c r="AA205" s="168"/>
      <c r="AB205" s="168"/>
      <c r="AC205" s="168"/>
      <c r="AD205" s="168"/>
      <c r="AE205" s="168"/>
      <c r="AF205" s="168"/>
      <c r="AG205" s="168"/>
      <c r="AH205" s="168"/>
      <c r="AI205" s="168"/>
      <c r="AJ205" s="168"/>
    </row>
    <row r="206" spans="1:36" x14ac:dyDescent="0.2">
      <c r="A206" s="168">
        <v>4</v>
      </c>
      <c r="B206" s="168"/>
      <c r="C206" s="179">
        <f>+E206-E205</f>
        <v>194.66297676649504</v>
      </c>
      <c r="D206" s="171">
        <f>+G206-G205</f>
        <v>178.45454935802093</v>
      </c>
      <c r="E206" s="168">
        <v>816.55714220484299</v>
      </c>
      <c r="F206" s="168"/>
      <c r="G206" s="168">
        <v>748.18631376387395</v>
      </c>
      <c r="H206" s="168"/>
      <c r="I206" s="168">
        <v>146.69999999999999</v>
      </c>
      <c r="J206" s="168">
        <v>4</v>
      </c>
      <c r="K206" s="168"/>
      <c r="L206" s="188">
        <v>18369.446222722992</v>
      </c>
      <c r="M206" s="188">
        <v>962.00640138500057</v>
      </c>
      <c r="N206" s="176">
        <f t="shared" si="15"/>
        <v>1025.5171852801182</v>
      </c>
      <c r="O206" s="188">
        <v>6575.4640743699983</v>
      </c>
      <c r="P206" s="188">
        <v>1222.1149542560006</v>
      </c>
      <c r="Q206" s="176">
        <f t="shared" si="11"/>
        <v>1302.7978672210272</v>
      </c>
      <c r="R206" s="188">
        <v>7957.0224983410008</v>
      </c>
      <c r="S206" s="188">
        <v>147.86469469900001</v>
      </c>
      <c r="T206" s="176">
        <f t="shared" si="12"/>
        <v>157.62658677916238</v>
      </c>
      <c r="U206" s="168"/>
      <c r="V206" s="168"/>
      <c r="W206" s="168"/>
      <c r="X206" s="168"/>
      <c r="Y206" s="168"/>
      <c r="Z206" s="168"/>
      <c r="AA206" s="168"/>
      <c r="AB206" s="168"/>
      <c r="AC206" s="168"/>
      <c r="AD206" s="168"/>
      <c r="AE206" s="168"/>
      <c r="AF206" s="168"/>
      <c r="AG206" s="168"/>
      <c r="AH206" s="168"/>
      <c r="AI206" s="168"/>
      <c r="AJ206" s="168"/>
    </row>
    <row r="207" spans="1:36" x14ac:dyDescent="0.2">
      <c r="A207" s="168">
        <v>1</v>
      </c>
      <c r="B207" s="168">
        <v>2017</v>
      </c>
      <c r="C207" s="179">
        <f>E207</f>
        <v>227.02914608932699</v>
      </c>
      <c r="D207" s="171">
        <f>G207</f>
        <v>210.737716871462</v>
      </c>
      <c r="E207" s="168">
        <v>227.02914608932699</v>
      </c>
      <c r="F207" s="168"/>
      <c r="G207" s="168">
        <v>210.737716871462</v>
      </c>
      <c r="H207" s="168"/>
      <c r="I207" s="168">
        <v>146.4</v>
      </c>
      <c r="J207" s="168">
        <v>1</v>
      </c>
      <c r="K207" s="168">
        <v>2017</v>
      </c>
      <c r="L207" s="188">
        <v>20188.970584052</v>
      </c>
      <c r="M207" s="188">
        <v>1029.1484993670001</v>
      </c>
      <c r="N207" s="176">
        <f t="shared" si="15"/>
        <v>1099.3400824693192</v>
      </c>
      <c r="O207" s="188">
        <v>7124.2571060979999</v>
      </c>
      <c r="P207" s="188">
        <v>1296.4468783369998</v>
      </c>
      <c r="Q207" s="176">
        <f t="shared" si="11"/>
        <v>1384.8691603055447</v>
      </c>
      <c r="R207" s="188">
        <v>6121.3819215860003</v>
      </c>
      <c r="S207" s="188">
        <v>141.149656131</v>
      </c>
      <c r="T207" s="176">
        <f t="shared" si="12"/>
        <v>150.77656403037184</v>
      </c>
      <c r="U207" s="168"/>
      <c r="V207" s="168"/>
      <c r="W207" s="168"/>
      <c r="X207" s="168"/>
      <c r="Y207" s="168"/>
      <c r="Z207" s="168"/>
      <c r="AA207" s="168"/>
      <c r="AB207" s="168"/>
      <c r="AC207" s="168"/>
      <c r="AD207" s="168"/>
      <c r="AE207" s="168"/>
      <c r="AF207" s="168"/>
      <c r="AG207" s="168"/>
      <c r="AH207" s="168"/>
      <c r="AI207" s="168"/>
      <c r="AJ207" s="168"/>
    </row>
    <row r="208" spans="1:36" x14ac:dyDescent="0.2">
      <c r="A208" s="168">
        <v>2</v>
      </c>
      <c r="B208" s="168"/>
      <c r="C208" s="179">
        <f>+E208-E207</f>
        <v>200.76722202181199</v>
      </c>
      <c r="D208" s="171">
        <f>+G208-G207</f>
        <v>183.70797761744905</v>
      </c>
      <c r="E208" s="168">
        <v>427.79636811113897</v>
      </c>
      <c r="F208" s="168"/>
      <c r="G208" s="168">
        <v>394.44569448891104</v>
      </c>
      <c r="H208" s="168"/>
      <c r="I208" s="168">
        <v>147.4</v>
      </c>
      <c r="J208" s="168">
        <v>2</v>
      </c>
      <c r="K208" s="168"/>
      <c r="L208" s="188">
        <v>16357.538075795001</v>
      </c>
      <c r="M208" s="188">
        <v>768.50776898899994</v>
      </c>
      <c r="N208" s="176">
        <f t="shared" si="15"/>
        <v>815.35337485308526</v>
      </c>
      <c r="O208" s="188">
        <v>5007.3623026510004</v>
      </c>
      <c r="P208" s="188">
        <v>1681.8190342150001</v>
      </c>
      <c r="Q208" s="176">
        <f t="shared" si="11"/>
        <v>1784.3369719519187</v>
      </c>
      <c r="R208" s="188">
        <v>7194.9193664359991</v>
      </c>
      <c r="S208" s="188">
        <v>119.946167266</v>
      </c>
      <c r="T208" s="176">
        <f t="shared" si="12"/>
        <v>127.2576754945279</v>
      </c>
      <c r="U208" s="168"/>
      <c r="V208" s="168"/>
      <c r="W208" s="168"/>
      <c r="X208" s="168"/>
      <c r="Y208" s="168"/>
      <c r="Z208" s="168"/>
      <c r="AA208" s="168"/>
      <c r="AB208" s="168"/>
      <c r="AC208" s="168"/>
      <c r="AD208" s="168"/>
      <c r="AE208" s="168"/>
      <c r="AF208" s="168"/>
      <c r="AG208" s="168"/>
      <c r="AH208" s="168"/>
      <c r="AI208" s="168"/>
      <c r="AJ208" s="168"/>
    </row>
    <row r="209" spans="1:36" x14ac:dyDescent="0.2">
      <c r="A209" s="168">
        <v>3</v>
      </c>
      <c r="B209" s="168"/>
      <c r="C209" s="179">
        <f>+E209-E208</f>
        <v>195.05863188886104</v>
      </c>
      <c r="D209" s="171">
        <f>+G209-G208</f>
        <v>176.76630551108894</v>
      </c>
      <c r="E209" s="168">
        <v>622.85500000000002</v>
      </c>
      <c r="F209" s="168"/>
      <c r="G209" s="168">
        <v>571.21199999999999</v>
      </c>
      <c r="H209" s="168"/>
      <c r="I209" s="168">
        <v>147.30000000000001</v>
      </c>
      <c r="J209" s="168">
        <v>3</v>
      </c>
      <c r="K209" s="168"/>
      <c r="L209" s="188">
        <v>19399</v>
      </c>
      <c r="M209" s="188">
        <v>907</v>
      </c>
      <c r="N209" s="176">
        <f t="shared" si="15"/>
        <v>962.94090291921259</v>
      </c>
      <c r="O209" s="188">
        <v>8892</v>
      </c>
      <c r="P209" s="188">
        <v>954</v>
      </c>
      <c r="Q209" s="176">
        <f t="shared" si="11"/>
        <v>1012.8397148676171</v>
      </c>
      <c r="R209" s="188">
        <v>8727</v>
      </c>
      <c r="S209" s="188">
        <v>128</v>
      </c>
      <c r="T209" s="176">
        <f t="shared" si="12"/>
        <v>135.89463679565512</v>
      </c>
      <c r="U209" s="168"/>
      <c r="V209" s="168"/>
      <c r="W209" s="168"/>
      <c r="X209" s="168"/>
      <c r="Y209" s="168"/>
      <c r="Z209" s="168"/>
      <c r="AA209" s="168"/>
      <c r="AB209" s="168"/>
      <c r="AC209" s="168"/>
      <c r="AD209" s="168"/>
      <c r="AE209" s="168"/>
      <c r="AF209" s="168"/>
      <c r="AG209" s="168"/>
      <c r="AH209" s="168"/>
      <c r="AI209" s="168"/>
      <c r="AJ209" s="168"/>
    </row>
    <row r="210" spans="1:36" x14ac:dyDescent="0.2">
      <c r="A210" s="168">
        <v>4</v>
      </c>
      <c r="B210" s="168"/>
      <c r="C210" s="179">
        <f>+E210-E209</f>
        <v>225.423</v>
      </c>
      <c r="D210" s="171">
        <f>+G210-G209</f>
        <v>208.21799999999996</v>
      </c>
      <c r="E210" s="168">
        <v>848.27800000000002</v>
      </c>
      <c r="F210" s="168"/>
      <c r="G210" s="168">
        <v>779.43</v>
      </c>
      <c r="H210" s="168"/>
      <c r="I210" s="168">
        <v>148.4</v>
      </c>
      <c r="J210" s="168">
        <v>4</v>
      </c>
      <c r="K210" s="168"/>
      <c r="L210" s="188">
        <v>23333</v>
      </c>
      <c r="M210" s="188">
        <v>1141</v>
      </c>
      <c r="N210" s="176">
        <f t="shared" si="15"/>
        <v>1202.3941037735849</v>
      </c>
      <c r="O210" s="188">
        <v>6366</v>
      </c>
      <c r="P210" s="188">
        <v>1205</v>
      </c>
      <c r="Q210" s="176">
        <f t="shared" si="11"/>
        <v>1269.8377695417789</v>
      </c>
      <c r="R210" s="188">
        <v>7520</v>
      </c>
      <c r="S210" s="188">
        <v>124</v>
      </c>
      <c r="T210" s="176">
        <f t="shared" si="12"/>
        <v>130.67210242587603</v>
      </c>
      <c r="U210" s="168"/>
      <c r="V210" s="168"/>
      <c r="W210" s="168"/>
      <c r="X210" s="168"/>
      <c r="Y210" s="168"/>
      <c r="Z210" s="168"/>
      <c r="AA210" s="168"/>
      <c r="AB210" s="168"/>
      <c r="AC210" s="168"/>
      <c r="AD210" s="168"/>
      <c r="AE210" s="168"/>
      <c r="AF210" s="168"/>
      <c r="AG210" s="168"/>
      <c r="AH210" s="168"/>
      <c r="AI210" s="168"/>
      <c r="AJ210" s="168"/>
    </row>
    <row r="211" spans="1:36" x14ac:dyDescent="0.2">
      <c r="A211" s="168">
        <v>1</v>
      </c>
      <c r="B211" s="168">
        <v>2018</v>
      </c>
      <c r="C211" s="179">
        <f>E211</f>
        <v>241.52799999999999</v>
      </c>
      <c r="D211" s="179">
        <f>G211</f>
        <v>222.678</v>
      </c>
      <c r="E211" s="168">
        <v>241.52799999999999</v>
      </c>
      <c r="F211" s="168"/>
      <c r="G211" s="168">
        <v>222.678</v>
      </c>
      <c r="H211" s="168"/>
      <c r="I211" s="168">
        <v>149.69999999999999</v>
      </c>
      <c r="J211" s="168">
        <v>1</v>
      </c>
      <c r="K211" s="168">
        <v>2018</v>
      </c>
      <c r="L211" s="188">
        <v>25111</v>
      </c>
      <c r="M211" s="188">
        <v>1175</v>
      </c>
      <c r="N211" s="176">
        <f t="shared" si="15"/>
        <v>1227.4707748830997</v>
      </c>
      <c r="O211" s="188">
        <v>6317</v>
      </c>
      <c r="P211" s="188">
        <v>1262</v>
      </c>
      <c r="Q211" s="176">
        <f t="shared" si="11"/>
        <v>1318.3558450233804</v>
      </c>
      <c r="R211" s="188">
        <v>5433</v>
      </c>
      <c r="S211" s="188">
        <v>116</v>
      </c>
      <c r="T211" s="176">
        <f t="shared" si="12"/>
        <v>121.1800935203741</v>
      </c>
      <c r="U211" s="168"/>
      <c r="V211" s="168"/>
      <c r="W211" s="168"/>
      <c r="X211" s="168"/>
      <c r="Y211" s="168"/>
      <c r="Z211" s="168"/>
      <c r="AA211" s="168"/>
      <c r="AB211" s="168"/>
      <c r="AC211" s="168"/>
      <c r="AD211" s="168"/>
      <c r="AE211" s="168"/>
      <c r="AF211" s="168"/>
      <c r="AG211" s="168"/>
      <c r="AH211" s="168"/>
      <c r="AI211" s="168"/>
      <c r="AJ211" s="168"/>
    </row>
    <row r="212" spans="1:36" x14ac:dyDescent="0.2">
      <c r="A212" s="168">
        <v>2</v>
      </c>
      <c r="B212" s="168"/>
      <c r="C212" s="179">
        <f>+E212-E211</f>
        <v>226.77080239162902</v>
      </c>
      <c r="D212" s="179">
        <f>+G212-G211</f>
        <v>208.83864191330298</v>
      </c>
      <c r="E212" s="168">
        <v>468.29880239162901</v>
      </c>
      <c r="F212" s="168"/>
      <c r="G212" s="168">
        <v>431.51664191330298</v>
      </c>
      <c r="H212" s="168"/>
      <c r="I212" s="168">
        <v>150.80000000000001</v>
      </c>
      <c r="J212" s="168">
        <v>2</v>
      </c>
      <c r="K212" s="168"/>
      <c r="L212" s="188">
        <v>20973.437462450995</v>
      </c>
      <c r="M212" s="188">
        <v>1076.7915513600001</v>
      </c>
      <c r="N212" s="176">
        <f t="shared" si="15"/>
        <v>1116.6713976089763</v>
      </c>
      <c r="O212" s="188">
        <v>5869.5992710140017</v>
      </c>
      <c r="P212" s="188">
        <v>1471.9660798479999</v>
      </c>
      <c r="Q212" s="176">
        <f t="shared" si="11"/>
        <v>1526.4815344630601</v>
      </c>
      <c r="R212" s="188">
        <v>9319.6839472049996</v>
      </c>
      <c r="S212" s="188">
        <v>135.61776245999999</v>
      </c>
      <c r="T212" s="176">
        <f t="shared" si="12"/>
        <v>140.64047600999402</v>
      </c>
      <c r="U212" s="168"/>
      <c r="V212" s="168"/>
      <c r="W212" s="168"/>
      <c r="X212" s="168"/>
      <c r="Y212" s="168"/>
      <c r="Z212" s="168"/>
      <c r="AA212" s="168"/>
      <c r="AB212" s="168"/>
      <c r="AC212" s="168"/>
      <c r="AD212" s="168"/>
      <c r="AE212" s="168"/>
      <c r="AF212" s="168"/>
      <c r="AG212" s="168"/>
      <c r="AH212" s="168"/>
      <c r="AI212" s="168"/>
      <c r="AJ212" s="168"/>
    </row>
    <row r="213" spans="1:36" x14ac:dyDescent="0.2">
      <c r="A213" s="168">
        <v>3</v>
      </c>
      <c r="B213" s="168"/>
      <c r="C213" s="179">
        <f>+E213-E212</f>
        <v>230.04425590433516</v>
      </c>
      <c r="D213" s="179">
        <f>+G213-G212</f>
        <v>207.39460472346803</v>
      </c>
      <c r="E213" s="168">
        <v>698.34305829596417</v>
      </c>
      <c r="F213" s="168"/>
      <c r="G213" s="168">
        <v>638.91124663677101</v>
      </c>
      <c r="H213" s="168"/>
      <c r="I213" s="168">
        <v>152.30000000000001</v>
      </c>
      <c r="J213" s="168">
        <v>3</v>
      </c>
      <c r="K213" s="168"/>
      <c r="L213" s="188">
        <v>22635.655438734771</v>
      </c>
      <c r="M213" s="188">
        <v>1212.1884087902995</v>
      </c>
      <c r="N213" s="176">
        <f t="shared" si="15"/>
        <v>1244.7018011074917</v>
      </c>
      <c r="O213" s="188">
        <v>10333.380031159912</v>
      </c>
      <c r="P213" s="188">
        <v>1822.4517080118057</v>
      </c>
      <c r="Q213" s="176">
        <f t="shared" si="11"/>
        <v>1871.3336202063444</v>
      </c>
      <c r="R213" s="188">
        <v>9726.2967189440697</v>
      </c>
      <c r="S213" s="188">
        <v>150.27129325880639</v>
      </c>
      <c r="T213" s="176">
        <f t="shared" si="12"/>
        <v>154.30187916138175</v>
      </c>
      <c r="U213" s="168"/>
      <c r="V213" s="168"/>
      <c r="W213" s="168"/>
      <c r="X213" s="168"/>
      <c r="Y213" s="168"/>
      <c r="Z213" s="168"/>
      <c r="AA213" s="168"/>
      <c r="AB213" s="168"/>
      <c r="AC213" s="168"/>
      <c r="AD213" s="168"/>
      <c r="AE213" s="168"/>
      <c r="AF213" s="168"/>
      <c r="AG213" s="168"/>
      <c r="AH213" s="168"/>
      <c r="AI213" s="168"/>
      <c r="AJ213" s="168"/>
    </row>
    <row r="214" spans="1:36" x14ac:dyDescent="0.2">
      <c r="A214" s="168">
        <v>4</v>
      </c>
      <c r="B214" s="168"/>
      <c r="C214" s="179">
        <f>+E214-E213</f>
        <v>212.66674917787782</v>
      </c>
      <c r="D214" s="179">
        <f>+G214-G213</f>
        <v>195.66619934230232</v>
      </c>
      <c r="E214" s="168">
        <v>911.00980747384199</v>
      </c>
      <c r="F214" s="168"/>
      <c r="G214" s="168">
        <v>834.57744597907333</v>
      </c>
      <c r="H214" s="168"/>
      <c r="I214" s="168">
        <v>153.6</v>
      </c>
      <c r="J214" s="168">
        <v>4</v>
      </c>
      <c r="K214" s="168"/>
      <c r="L214" s="188">
        <v>22335.438371541502</v>
      </c>
      <c r="M214" s="188">
        <v>1078.6341079945755</v>
      </c>
      <c r="N214" s="176">
        <f t="shared" si="15"/>
        <v>1098.1913735594512</v>
      </c>
      <c r="O214" s="188">
        <v>7362.2217963768126</v>
      </c>
      <c r="P214" s="188">
        <v>1452.0805351783911</v>
      </c>
      <c r="Q214" s="176">
        <f t="shared" si="11"/>
        <v>1478.4089485278173</v>
      </c>
      <c r="R214" s="188">
        <v>8182.2589673913026</v>
      </c>
      <c r="S214" s="188">
        <v>116.53210966099653</v>
      </c>
      <c r="T214" s="176">
        <f t="shared" si="12"/>
        <v>118.64501282119105</v>
      </c>
      <c r="U214" s="168"/>
      <c r="V214" s="168"/>
      <c r="W214" s="168"/>
      <c r="X214" s="168"/>
      <c r="Y214" s="168"/>
      <c r="Z214" s="168"/>
      <c r="AA214" s="168"/>
      <c r="AB214" s="168"/>
      <c r="AC214" s="168"/>
      <c r="AD214" s="168"/>
      <c r="AE214" s="168"/>
      <c r="AF214" s="168"/>
      <c r="AG214" s="168"/>
      <c r="AH214" s="168"/>
      <c r="AI214" s="168"/>
      <c r="AJ214" s="168"/>
    </row>
    <row r="215" spans="1:36" x14ac:dyDescent="0.2">
      <c r="A215" s="168">
        <v>1</v>
      </c>
      <c r="B215" s="168">
        <v>2019</v>
      </c>
      <c r="C215" s="179">
        <f>E215</f>
        <v>242.05576995515696</v>
      </c>
      <c r="D215" s="179">
        <f>G215</f>
        <v>223.58363596412556</v>
      </c>
      <c r="E215" s="168">
        <v>242.05576995515696</v>
      </c>
      <c r="F215" s="168"/>
      <c r="G215" s="168">
        <v>223.58363596412556</v>
      </c>
      <c r="H215" s="168"/>
      <c r="I215" s="168">
        <v>154.1</v>
      </c>
      <c r="J215" s="168">
        <v>1</v>
      </c>
      <c r="K215" s="168">
        <v>2019</v>
      </c>
      <c r="L215" s="188">
        <v>22394.924612648225</v>
      </c>
      <c r="M215" s="188">
        <v>1151.1138601930163</v>
      </c>
      <c r="N215" s="176">
        <f t="shared" si="15"/>
        <v>1168.1826153555151</v>
      </c>
      <c r="O215" s="188">
        <v>6179.0660115942028</v>
      </c>
      <c r="P215" s="188">
        <v>1384.5030606846908</v>
      </c>
      <c r="Q215" s="176">
        <f t="shared" si="11"/>
        <v>1405.0325187876406</v>
      </c>
      <c r="R215" s="188">
        <v>6840.1016739130437</v>
      </c>
      <c r="S215" s="188">
        <v>122.43916062391185</v>
      </c>
      <c r="T215" s="176">
        <f t="shared" si="12"/>
        <v>124.25469262926967</v>
      </c>
      <c r="U215" s="168"/>
      <c r="V215" s="168"/>
      <c r="W215" s="168"/>
      <c r="X215" s="168"/>
      <c r="Y215" s="168"/>
      <c r="Z215" s="168"/>
      <c r="AA215" s="168"/>
      <c r="AB215" s="168"/>
      <c r="AC215" s="168"/>
      <c r="AD215" s="168"/>
      <c r="AE215" s="168"/>
      <c r="AF215" s="168"/>
      <c r="AG215" s="168"/>
      <c r="AH215" s="168"/>
      <c r="AI215" s="168"/>
      <c r="AJ215" s="168"/>
    </row>
    <row r="216" spans="1:36" x14ac:dyDescent="0.2">
      <c r="A216" s="168">
        <v>2</v>
      </c>
      <c r="B216" s="168"/>
      <c r="C216" s="179">
        <f>+E216-E215</f>
        <v>221.71122705530604</v>
      </c>
      <c r="D216" s="179">
        <f>+G216-G215</f>
        <v>199.97176164424542</v>
      </c>
      <c r="E216" s="168">
        <v>463.766997010463</v>
      </c>
      <c r="F216" s="168"/>
      <c r="G216" s="168">
        <v>423.55539760837098</v>
      </c>
      <c r="H216" s="168"/>
      <c r="I216" s="168">
        <v>154.6</v>
      </c>
      <c r="J216" s="168">
        <v>2</v>
      </c>
      <c r="K216" s="168"/>
      <c r="L216" s="188">
        <v>19703.243703557309</v>
      </c>
      <c r="M216" s="188">
        <v>1006.9446819648526</v>
      </c>
      <c r="N216" s="176">
        <f t="shared" si="15"/>
        <v>1018.5707897094017</v>
      </c>
      <c r="O216" s="188">
        <v>8628.701004347824</v>
      </c>
      <c r="P216" s="188">
        <v>1346.7424148398591</v>
      </c>
      <c r="Q216" s="176">
        <f t="shared" si="11"/>
        <v>1362.2918017123636</v>
      </c>
      <c r="R216" s="188">
        <v>10227.612341614906</v>
      </c>
      <c r="S216" s="188">
        <v>141.53554504088498</v>
      </c>
      <c r="T216" s="176">
        <f t="shared" si="12"/>
        <v>143.16970382418373</v>
      </c>
      <c r="U216" s="168"/>
      <c r="V216" s="168"/>
      <c r="W216" s="168"/>
      <c r="X216" s="168"/>
      <c r="Y216" s="168"/>
      <c r="Z216" s="168"/>
      <c r="AA216" s="168"/>
      <c r="AB216" s="168"/>
      <c r="AC216" s="168"/>
      <c r="AD216" s="168"/>
      <c r="AE216" s="168"/>
      <c r="AF216" s="168"/>
      <c r="AG216" s="168"/>
      <c r="AH216" s="168"/>
      <c r="AI216" s="168"/>
      <c r="AJ216" s="168"/>
    </row>
    <row r="217" spans="1:36" x14ac:dyDescent="0.2">
      <c r="A217" s="168">
        <v>3</v>
      </c>
      <c r="B217" s="168"/>
      <c r="C217" s="179">
        <f>+E217-E216</f>
        <v>200.66800298953694</v>
      </c>
      <c r="D217" s="179">
        <f>+G217-G216</f>
        <v>183.517602391629</v>
      </c>
      <c r="E217" s="168">
        <v>664.43499999999995</v>
      </c>
      <c r="F217" s="168"/>
      <c r="G217" s="168">
        <v>607.07299999999998</v>
      </c>
      <c r="H217" s="168"/>
      <c r="I217" s="168">
        <v>154.69999999999999</v>
      </c>
      <c r="J217" s="168">
        <v>3</v>
      </c>
      <c r="K217" s="168"/>
      <c r="L217" s="188">
        <v>26165.077849802379</v>
      </c>
      <c r="M217" s="188">
        <v>1402.3482904344257</v>
      </c>
      <c r="N217" s="176">
        <f t="shared" si="15"/>
        <v>1417.6227369074836</v>
      </c>
      <c r="O217" s="188">
        <v>13748.462299275363</v>
      </c>
      <c r="P217" s="188">
        <v>1484.9789315777889</v>
      </c>
      <c r="Q217" s="176">
        <f t="shared" si="11"/>
        <v>1501.1533950536041</v>
      </c>
      <c r="R217" s="188">
        <v>10507.793672360251</v>
      </c>
      <c r="S217" s="188">
        <v>144.78676128055025</v>
      </c>
      <c r="T217" s="176">
        <f t="shared" si="12"/>
        <v>146.36378579740693</v>
      </c>
      <c r="U217" s="168"/>
      <c r="V217" s="168"/>
      <c r="W217" s="168"/>
      <c r="X217" s="168"/>
      <c r="Y217" s="168"/>
      <c r="Z217" s="168"/>
      <c r="AA217" s="168"/>
      <c r="AB217" s="168"/>
      <c r="AC217" s="168"/>
      <c r="AD217" s="168"/>
      <c r="AE217" s="168"/>
      <c r="AF217" s="168"/>
      <c r="AG217" s="168"/>
      <c r="AH217" s="168"/>
      <c r="AI217" s="168"/>
      <c r="AJ217" s="168"/>
    </row>
    <row r="218" spans="1:36" x14ac:dyDescent="0.2">
      <c r="A218" s="168">
        <v>4</v>
      </c>
      <c r="B218" s="168"/>
      <c r="C218" s="179">
        <f>+E218-E217</f>
        <v>216.91973572496272</v>
      </c>
      <c r="D218" s="179">
        <f>+G218-G217</f>
        <v>199.72038857997018</v>
      </c>
      <c r="E218" s="168">
        <v>881.35473572496267</v>
      </c>
      <c r="F218" s="168"/>
      <c r="G218" s="168">
        <v>806.79338857997016</v>
      </c>
      <c r="H218" s="168"/>
      <c r="I218" s="168">
        <v>156.1</v>
      </c>
      <c r="J218" s="168">
        <v>4</v>
      </c>
      <c r="K218" s="168"/>
      <c r="L218" s="188">
        <v>22621.988837944664</v>
      </c>
      <c r="M218" s="188">
        <v>1317.7971704198299</v>
      </c>
      <c r="N218" s="176">
        <f t="shared" si="15"/>
        <v>1320.2031421915767</v>
      </c>
      <c r="O218" s="188">
        <v>7776.9221253623255</v>
      </c>
      <c r="P218" s="188">
        <v>1227.7391162265512</v>
      </c>
      <c r="Q218" s="176">
        <f t="shared" si="11"/>
        <v>1229.9806642606613</v>
      </c>
      <c r="R218" s="188">
        <v>9597.5708897515542</v>
      </c>
      <c r="S218" s="188">
        <v>133.20019148427383</v>
      </c>
      <c r="T218" s="176">
        <f t="shared" si="12"/>
        <v>133.44338209652892</v>
      </c>
      <c r="U218" s="168"/>
      <c r="V218" s="168"/>
      <c r="W218" s="168"/>
      <c r="X218" s="168"/>
      <c r="Y218" s="168"/>
      <c r="Z218" s="168"/>
      <c r="AA218" s="168"/>
      <c r="AB218" s="168"/>
      <c r="AC218" s="168"/>
      <c r="AD218" s="168"/>
      <c r="AE218" s="168"/>
      <c r="AF218" s="168"/>
      <c r="AG218" s="168"/>
      <c r="AH218" s="168"/>
      <c r="AI218" s="168"/>
      <c r="AJ218" s="168"/>
    </row>
    <row r="219" spans="1:36" x14ac:dyDescent="0.2">
      <c r="A219" s="168">
        <v>1</v>
      </c>
      <c r="B219" s="168">
        <v>2020</v>
      </c>
      <c r="C219" s="179">
        <f>E219</f>
        <v>245.16278393124065</v>
      </c>
      <c r="D219" s="179">
        <f>G219</f>
        <v>227.94719714499254</v>
      </c>
      <c r="E219" s="168">
        <v>245.16278393124065</v>
      </c>
      <c r="F219" s="168"/>
      <c r="G219" s="168">
        <v>227.94719714499254</v>
      </c>
      <c r="H219" s="168"/>
      <c r="I219" s="168">
        <v>155.52000000000001</v>
      </c>
      <c r="J219" s="168">
        <v>1</v>
      </c>
      <c r="K219" s="168">
        <v>2020</v>
      </c>
      <c r="L219" s="188">
        <v>22417.308750988144</v>
      </c>
      <c r="M219" s="188">
        <v>1187.0066434405767</v>
      </c>
      <c r="N219" s="176">
        <f t="shared" si="15"/>
        <v>1193.6087572945899</v>
      </c>
      <c r="O219" s="188">
        <v>7817.2878601449283</v>
      </c>
      <c r="P219" s="188">
        <v>1773.3957103534681</v>
      </c>
      <c r="Q219" s="176">
        <f t="shared" si="11"/>
        <v>1783.2593117517176</v>
      </c>
      <c r="R219" s="188">
        <v>8173.2696444099374</v>
      </c>
      <c r="S219" s="188">
        <v>145.83786039029874</v>
      </c>
      <c r="T219" s="176">
        <f t="shared" si="12"/>
        <v>146.64900846924428</v>
      </c>
      <c r="U219" s="168"/>
      <c r="V219" s="168"/>
      <c r="W219" s="168"/>
      <c r="X219" s="168"/>
      <c r="Y219" s="168"/>
      <c r="Z219" s="168"/>
      <c r="AA219" s="168"/>
      <c r="AB219" s="168"/>
      <c r="AC219" s="168"/>
      <c r="AD219" s="168"/>
      <c r="AE219" s="168"/>
      <c r="AF219" s="168"/>
      <c r="AG219" s="168"/>
      <c r="AH219" s="168"/>
      <c r="AI219" s="168"/>
      <c r="AJ219" s="168"/>
    </row>
    <row r="220" spans="1:36" x14ac:dyDescent="0.2">
      <c r="A220" s="168">
        <v>2</v>
      </c>
      <c r="B220" s="168"/>
      <c r="C220" s="179">
        <f>+E220-E219</f>
        <v>219.4338294469357</v>
      </c>
      <c r="D220" s="179">
        <f>+G220-G219</f>
        <v>199.23928355754859</v>
      </c>
      <c r="E220" s="187">
        <v>464.59661337817636</v>
      </c>
      <c r="F220" s="168"/>
      <c r="G220" s="168">
        <v>427.18648070254113</v>
      </c>
      <c r="H220" s="168"/>
      <c r="I220" s="168">
        <v>156.5</v>
      </c>
      <c r="J220" s="168">
        <v>2</v>
      </c>
      <c r="K220" s="168"/>
      <c r="L220" s="188">
        <v>20318.697663474304</v>
      </c>
      <c r="M220" s="188">
        <v>1003.3659178621033</v>
      </c>
      <c r="N220" s="176">
        <f t="shared" si="15"/>
        <v>1002.6286202227799</v>
      </c>
      <c r="O220" s="188">
        <v>6698.4276256020294</v>
      </c>
      <c r="P220" s="188">
        <v>1195.3385633418739</v>
      </c>
      <c r="Q220" s="176">
        <f t="shared" si="11"/>
        <v>1194.4601995413352</v>
      </c>
      <c r="R220" s="188">
        <v>9378.7613872911825</v>
      </c>
      <c r="S220" s="188">
        <v>125.6048434375343</v>
      </c>
      <c r="T220" s="176">
        <f t="shared" si="12"/>
        <v>125.51254594874635</v>
      </c>
      <c r="U220" s="168"/>
      <c r="V220" s="168"/>
      <c r="W220" s="168"/>
      <c r="X220" s="168"/>
      <c r="Y220" s="168"/>
      <c r="Z220" s="168"/>
      <c r="AA220" s="168"/>
      <c r="AB220" s="168"/>
      <c r="AC220" s="168"/>
      <c r="AD220" s="168"/>
      <c r="AE220" s="168"/>
      <c r="AF220" s="168"/>
      <c r="AG220" s="168"/>
      <c r="AH220" s="168"/>
      <c r="AI220" s="168"/>
      <c r="AJ220" s="168"/>
    </row>
    <row r="221" spans="1:36" x14ac:dyDescent="0.2">
      <c r="A221" s="168">
        <v>3</v>
      </c>
      <c r="B221" s="168"/>
      <c r="C221" s="179">
        <f>+E221-E220</f>
        <v>230.4091689088192</v>
      </c>
      <c r="D221" s="179">
        <f>+G221-G220</f>
        <v>212.03913512705532</v>
      </c>
      <c r="E221" s="187">
        <v>695.00578228699555</v>
      </c>
      <c r="F221" s="168"/>
      <c r="G221" s="168">
        <v>639.22561582959645</v>
      </c>
      <c r="H221" s="168"/>
      <c r="I221" s="168">
        <v>157.30000000000001</v>
      </c>
      <c r="J221" s="168">
        <v>3</v>
      </c>
      <c r="K221" s="168"/>
      <c r="L221" s="188">
        <v>23115.129949173919</v>
      </c>
      <c r="M221" s="188">
        <v>1190.2908927373355</v>
      </c>
      <c r="N221" s="176">
        <f t="shared" si="15"/>
        <v>1183.3670773091433</v>
      </c>
      <c r="O221" s="188">
        <v>9381.5569490356484</v>
      </c>
      <c r="P221" s="188">
        <v>1044.8337260564822</v>
      </c>
      <c r="Q221" s="176">
        <f t="shared" si="11"/>
        <v>1038.756021928436</v>
      </c>
      <c r="R221" s="188">
        <v>12479.986334758509</v>
      </c>
      <c r="S221" s="188">
        <v>159.02277544572789</v>
      </c>
      <c r="T221" s="176">
        <f t="shared" si="12"/>
        <v>158.09775421538563</v>
      </c>
      <c r="U221" s="168"/>
      <c r="V221" s="168"/>
      <c r="W221" s="168"/>
      <c r="X221" s="168"/>
      <c r="Y221" s="168"/>
      <c r="Z221" s="168"/>
      <c r="AA221" s="168"/>
      <c r="AB221" s="168"/>
      <c r="AC221" s="168"/>
      <c r="AD221" s="168"/>
      <c r="AE221" s="168"/>
      <c r="AF221" s="168"/>
      <c r="AG221" s="168"/>
      <c r="AH221" s="168"/>
      <c r="AI221" s="168"/>
      <c r="AJ221" s="168"/>
    </row>
    <row r="222" spans="1:36" x14ac:dyDescent="0.2">
      <c r="A222" s="168">
        <v>4</v>
      </c>
      <c r="B222" s="168"/>
      <c r="C222" s="179">
        <f>+E222-E221</f>
        <v>210.53825269058302</v>
      </c>
      <c r="D222" s="179">
        <f>+G222-G221</f>
        <v>195.42257215246639</v>
      </c>
      <c r="E222" s="187">
        <v>905.54403497757858</v>
      </c>
      <c r="F222" s="168"/>
      <c r="G222" s="168">
        <v>834.64818798206284</v>
      </c>
      <c r="H222" s="168"/>
      <c r="I222" s="168">
        <v>156.1</v>
      </c>
      <c r="J222" s="168">
        <v>4</v>
      </c>
      <c r="K222" s="168"/>
      <c r="L222" s="188">
        <v>24544.608407612643</v>
      </c>
      <c r="M222" s="188">
        <v>1241.5801516088959</v>
      </c>
      <c r="N222" s="176">
        <f t="shared" si="15"/>
        <v>1243.8469699510392</v>
      </c>
      <c r="O222" s="188">
        <v>8299.8127776884066</v>
      </c>
      <c r="P222" s="188">
        <v>1192.0542375158043</v>
      </c>
      <c r="Q222" s="176">
        <f t="shared" si="11"/>
        <v>1194.2306337854523</v>
      </c>
      <c r="R222" s="188">
        <v>9374.137683010551</v>
      </c>
      <c r="S222" s="188">
        <v>112.80928620726445</v>
      </c>
      <c r="T222" s="176">
        <f t="shared" si="12"/>
        <v>113.0152480686935</v>
      </c>
      <c r="U222" s="168"/>
      <c r="V222" s="168"/>
      <c r="W222" s="168"/>
      <c r="X222" s="168"/>
      <c r="Y222" s="168"/>
      <c r="Z222" s="168"/>
      <c r="AA222" s="168"/>
      <c r="AB222" s="168"/>
      <c r="AC222" s="168"/>
      <c r="AD222" s="168"/>
      <c r="AE222" s="168"/>
      <c r="AF222" s="168"/>
      <c r="AG222" s="168"/>
      <c r="AH222" s="168"/>
      <c r="AI222" s="168"/>
      <c r="AJ222" s="168"/>
    </row>
    <row r="223" spans="1:36" x14ac:dyDescent="0.2">
      <c r="A223" s="168">
        <v>1</v>
      </c>
      <c r="B223" s="168">
        <v>2021</v>
      </c>
      <c r="C223" s="179">
        <f>E223</f>
        <v>246.03664372197312</v>
      </c>
      <c r="D223" s="179">
        <f>G223</f>
        <v>229.48208497757849</v>
      </c>
      <c r="E223" s="187">
        <v>246.03664372197312</v>
      </c>
      <c r="F223" s="168"/>
      <c r="G223" s="168">
        <v>229.48208497757849</v>
      </c>
      <c r="H223" s="168"/>
      <c r="I223" s="168">
        <v>155.5</v>
      </c>
      <c r="J223" s="168">
        <v>1</v>
      </c>
      <c r="K223" s="168">
        <v>2021</v>
      </c>
      <c r="L223" s="188">
        <v>34994.274094861663</v>
      </c>
      <c r="M223" s="188">
        <v>1823.5241188431366</v>
      </c>
      <c r="N223" s="176">
        <f t="shared" si="15"/>
        <v>1833.9023750822118</v>
      </c>
      <c r="O223" s="188">
        <v>8185.2405021739132</v>
      </c>
      <c r="P223" s="188">
        <v>1464.197591740502</v>
      </c>
      <c r="Q223" s="176">
        <f t="shared" si="11"/>
        <v>1472.5308063301509</v>
      </c>
      <c r="R223" s="188">
        <v>6121.5967593167707</v>
      </c>
      <c r="S223" s="188">
        <v>112.87324166947003</v>
      </c>
      <c r="T223" s="176">
        <f t="shared" si="12"/>
        <v>113.51563921852136</v>
      </c>
      <c r="U223" s="168"/>
      <c r="V223" s="168"/>
      <c r="W223" s="168"/>
      <c r="X223" s="168"/>
      <c r="Y223" s="168"/>
      <c r="Z223" s="168"/>
      <c r="AA223" s="168"/>
      <c r="AB223" s="168"/>
      <c r="AC223" s="168"/>
      <c r="AD223" s="168"/>
      <c r="AE223" s="168"/>
      <c r="AF223" s="168"/>
      <c r="AG223" s="168"/>
      <c r="AH223" s="168"/>
      <c r="AI223" s="168"/>
      <c r="AJ223" s="168"/>
    </row>
    <row r="224" spans="1:36" x14ac:dyDescent="0.2">
      <c r="A224" s="168">
        <v>2</v>
      </c>
      <c r="B224" s="168"/>
      <c r="C224" s="179">
        <f>+E224-E223</f>
        <v>241.94121614349774</v>
      </c>
      <c r="D224" s="179">
        <f>+G224-G223</f>
        <v>221.09553291479824</v>
      </c>
      <c r="E224" s="187">
        <v>487.97785986547086</v>
      </c>
      <c r="F224" s="168"/>
      <c r="G224" s="168">
        <v>450.57761789237674</v>
      </c>
      <c r="H224" s="168"/>
      <c r="I224" s="168">
        <v>160.69999999999999</v>
      </c>
      <c r="J224" s="168">
        <v>2</v>
      </c>
      <c r="K224" s="168"/>
      <c r="L224" s="188">
        <v>20425.734197628459</v>
      </c>
      <c r="M224" s="188">
        <v>1061.5540769322004</v>
      </c>
      <c r="N224" s="176">
        <f t="shared" si="15"/>
        <v>1033.049995774998</v>
      </c>
      <c r="O224" s="188">
        <v>6967.5044210144924</v>
      </c>
      <c r="P224" s="188">
        <v>1472.113681221721</v>
      </c>
      <c r="Q224" s="176">
        <f t="shared" si="11"/>
        <v>1432.5855509512064</v>
      </c>
      <c r="R224" s="188">
        <v>8820.4369021739112</v>
      </c>
      <c r="S224" s="188">
        <v>115.80617621183073</v>
      </c>
      <c r="T224" s="176">
        <f t="shared" si="12"/>
        <v>112.69663265020007</v>
      </c>
      <c r="U224" s="168"/>
      <c r="V224" s="168"/>
      <c r="W224" s="168"/>
      <c r="X224" s="168"/>
      <c r="Y224" s="168"/>
      <c r="Z224" s="168"/>
      <c r="AA224" s="168"/>
      <c r="AB224" s="168"/>
      <c r="AC224" s="168"/>
      <c r="AD224" s="168"/>
      <c r="AE224" s="168"/>
      <c r="AF224" s="168"/>
      <c r="AG224" s="168"/>
      <c r="AH224" s="168"/>
      <c r="AI224" s="168"/>
      <c r="AJ224" s="168"/>
    </row>
    <row r="225" spans="1:36" x14ac:dyDescent="0.2">
      <c r="A225" s="168"/>
      <c r="B225" s="168"/>
      <c r="C225" s="179"/>
      <c r="D225" s="171"/>
      <c r="E225" s="168"/>
      <c r="F225" s="168"/>
      <c r="G225" s="168"/>
      <c r="H225" s="168"/>
      <c r="I225" s="168"/>
      <c r="J225" s="168"/>
      <c r="K225" s="168"/>
      <c r="L225" s="188"/>
      <c r="M225" s="188"/>
      <c r="N225" s="176"/>
      <c r="O225" s="188"/>
      <c r="P225" s="188"/>
      <c r="Q225" s="176"/>
      <c r="R225" s="188"/>
      <c r="S225" s="188"/>
      <c r="T225" s="176"/>
      <c r="U225" s="168"/>
      <c r="V225" s="168"/>
      <c r="W225" s="168"/>
      <c r="X225" s="168"/>
      <c r="Y225" s="168"/>
      <c r="Z225" s="168"/>
      <c r="AA225" s="168"/>
      <c r="AB225" s="168"/>
      <c r="AC225" s="168"/>
      <c r="AD225" s="168"/>
      <c r="AE225" s="168"/>
      <c r="AF225" s="168"/>
      <c r="AG225" s="168"/>
      <c r="AH225" s="168"/>
      <c r="AI225" s="168"/>
      <c r="AJ225" s="168"/>
    </row>
    <row r="226" spans="1:36" x14ac:dyDescent="0.2">
      <c r="A226" s="168"/>
      <c r="B226" s="168"/>
      <c r="C226" s="179"/>
      <c r="D226" s="168"/>
      <c r="E226" s="172" t="s">
        <v>110</v>
      </c>
      <c r="F226" s="168"/>
      <c r="G226" s="168"/>
      <c r="H226" s="168"/>
      <c r="I226" s="168"/>
      <c r="J226" s="190"/>
      <c r="K226" s="191" t="s">
        <v>160</v>
      </c>
      <c r="L226" s="192">
        <f>L228-L223</f>
        <v>20425.734197628452</v>
      </c>
      <c r="M226" s="192">
        <f>M228-M223</f>
        <v>1061.5540769322008</v>
      </c>
      <c r="N226" s="193" t="s">
        <v>174</v>
      </c>
      <c r="O226" s="192">
        <f>O228-O223</f>
        <v>6967.5044210144924</v>
      </c>
      <c r="P226" s="192">
        <f>P228-P223</f>
        <v>1472.1136812217214</v>
      </c>
      <c r="Q226" s="193" t="s">
        <v>174</v>
      </c>
      <c r="R226" s="192">
        <f>R228-R223</f>
        <v>8820.4369021739112</v>
      </c>
      <c r="S226" s="192">
        <f>S228-S223</f>
        <v>115.8061762118307</v>
      </c>
      <c r="T226" s="194" t="s">
        <v>174</v>
      </c>
      <c r="U226" s="168"/>
      <c r="V226" s="168"/>
      <c r="W226" s="168"/>
      <c r="X226" s="168"/>
      <c r="Y226" s="168"/>
      <c r="Z226" s="168"/>
      <c r="AA226" s="168"/>
      <c r="AB226" s="168"/>
      <c r="AC226" s="168"/>
      <c r="AD226" s="168"/>
      <c r="AE226" s="168"/>
      <c r="AF226" s="168"/>
      <c r="AG226" s="168"/>
      <c r="AH226" s="168"/>
      <c r="AI226" s="168"/>
      <c r="AJ226" s="168"/>
    </row>
    <row r="227" spans="1:36" x14ac:dyDescent="0.2">
      <c r="A227" s="168"/>
      <c r="B227" s="168"/>
      <c r="C227" s="168"/>
      <c r="D227" s="168"/>
      <c r="E227" s="187">
        <f>IF('Tab5'!E8="",'Tab5'!E7,'Tab5'!E8)/1000</f>
        <v>487.97785986547086</v>
      </c>
      <c r="F227" s="168"/>
      <c r="G227" s="187">
        <f>IF('Tab5'!E10="",'Tab5'!E9,'Tab5'!E10)/1000</f>
        <v>450.57761789237674</v>
      </c>
      <c r="H227" s="168"/>
      <c r="I227" s="168"/>
      <c r="J227" s="168"/>
      <c r="K227" s="174" t="s">
        <v>188</v>
      </c>
      <c r="L227" s="195">
        <f>SUM('Tab7'!E11,'Tab11'!E11)</f>
        <v>118058.67948000559</v>
      </c>
      <c r="M227" s="196">
        <f>SUM('Tab7'!E39,'Tab11'!E39)</f>
        <v>6235.4537695132585</v>
      </c>
      <c r="N227" s="197" t="s">
        <v>173</v>
      </c>
      <c r="O227" s="195">
        <f>SUM('Tab7'!E9,'Tab11'!E9)</f>
        <v>34819.966123147569</v>
      </c>
      <c r="P227" s="196">
        <f>SUM('Tab7'!E37,'Tab11'!E37)</f>
        <v>5398.155387519515</v>
      </c>
      <c r="Q227" s="197" t="s">
        <v>173</v>
      </c>
      <c r="R227" s="195">
        <f>SUM('Tab7'!E13,'Tab11'!E13)</f>
        <v>33251.856535371153</v>
      </c>
      <c r="S227" s="196">
        <f>SUM('Tab7'!E41,'Tab11'!E41)</f>
        <v>463.56914420875194</v>
      </c>
      <c r="T227" s="198" t="s">
        <v>173</v>
      </c>
      <c r="U227" s="168"/>
      <c r="V227" s="168"/>
      <c r="W227" s="168"/>
      <c r="X227" s="168"/>
      <c r="Y227" s="168"/>
      <c r="Z227" s="168"/>
      <c r="AA227" s="168"/>
      <c r="AB227" s="168"/>
      <c r="AC227" s="168"/>
      <c r="AD227" s="168"/>
      <c r="AE227" s="168"/>
      <c r="AF227" s="168"/>
      <c r="AG227" s="168"/>
      <c r="AH227" s="168"/>
      <c r="AI227" s="168"/>
      <c r="AJ227" s="168"/>
    </row>
    <row r="228" spans="1:36" x14ac:dyDescent="0.2">
      <c r="A228" s="168"/>
      <c r="B228" s="168"/>
      <c r="C228" s="168"/>
      <c r="D228" s="168"/>
      <c r="E228" s="168"/>
      <c r="F228" s="168"/>
      <c r="G228" s="168"/>
      <c r="H228" s="168"/>
      <c r="I228" s="168"/>
      <c r="J228" s="168"/>
      <c r="K228" s="174" t="s">
        <v>187</v>
      </c>
      <c r="L228" s="195">
        <f>SUM('Tab7'!E12,'Tab11'!E12)</f>
        <v>55420.008292490114</v>
      </c>
      <c r="M228" s="196">
        <f>SUM('Tab7'!E40,'Tab11'!E40)</f>
        <v>2885.0781957753375</v>
      </c>
      <c r="N228" s="197" t="s">
        <v>173</v>
      </c>
      <c r="O228" s="195">
        <f>SUM('Tab7'!E10,'Tab11'!E10)</f>
        <v>15152.744923188406</v>
      </c>
      <c r="P228" s="196">
        <f>SUM('Tab7'!E38,'Tab11'!E38)</f>
        <v>2936.3112729622235</v>
      </c>
      <c r="Q228" s="197" t="s">
        <v>173</v>
      </c>
      <c r="R228" s="195">
        <f>SUM('Tab7'!E14,'Tab11'!E14)</f>
        <v>14942.033661490683</v>
      </c>
      <c r="S228" s="196">
        <f>SUM('Tab7'!E42,'Tab11'!E42)</f>
        <v>228.67941788130074</v>
      </c>
      <c r="T228" s="198" t="s">
        <v>173</v>
      </c>
      <c r="U228" s="168"/>
      <c r="V228" s="168"/>
      <c r="W228" s="168"/>
      <c r="X228" s="168"/>
      <c r="Y228" s="168"/>
      <c r="Z228" s="168"/>
      <c r="AA228" s="168"/>
      <c r="AB228" s="168"/>
      <c r="AC228" s="168"/>
      <c r="AD228" s="168"/>
      <c r="AE228" s="168"/>
      <c r="AF228" s="168"/>
      <c r="AG228" s="168"/>
      <c r="AH228" s="168"/>
      <c r="AI228" s="168"/>
      <c r="AJ228" s="168"/>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135:D223" formula="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v>
      </c>
      <c r="B7" s="19" t="s">
        <v>3</v>
      </c>
      <c r="C7" s="20">
        <v>2227308.6919127963</v>
      </c>
      <c r="D7" s="20">
        <v>2421842.5613065525</v>
      </c>
      <c r="E7" s="79">
        <v>2186861.2271936391</v>
      </c>
      <c r="F7" s="22" t="s">
        <v>240</v>
      </c>
      <c r="G7" s="23">
        <v>-1.8159792967189219</v>
      </c>
      <c r="H7" s="24">
        <v>-9.7025850427760219</v>
      </c>
    </row>
    <row r="8" spans="1:8" x14ac:dyDescent="0.2">
      <c r="A8" s="206"/>
      <c r="B8" s="25" t="s">
        <v>241</v>
      </c>
      <c r="C8" s="26">
        <v>1078343.8880946159</v>
      </c>
      <c r="D8" s="26">
        <v>1234368.5471015894</v>
      </c>
      <c r="E8" s="26">
        <v>1095345.8716235645</v>
      </c>
      <c r="F8" s="27"/>
      <c r="G8" s="28">
        <v>1.5766754665796299</v>
      </c>
      <c r="H8" s="29">
        <v>-11.262655371806332</v>
      </c>
    </row>
    <row r="9" spans="1:8" x14ac:dyDescent="0.2">
      <c r="A9" s="30" t="s">
        <v>4</v>
      </c>
      <c r="B9" s="31" t="s">
        <v>3</v>
      </c>
      <c r="C9" s="20">
        <v>700505.74065171904</v>
      </c>
      <c r="D9" s="20">
        <v>735648.49503139011</v>
      </c>
      <c r="E9" s="20">
        <v>753373.15707744274</v>
      </c>
      <c r="F9" s="22" t="s">
        <v>240</v>
      </c>
      <c r="G9" s="32">
        <v>7.5470354285088774</v>
      </c>
      <c r="H9" s="33">
        <v>2.4093928235789264</v>
      </c>
    </row>
    <row r="10" spans="1:8" x14ac:dyDescent="0.2">
      <c r="A10" s="34"/>
      <c r="B10" s="25" t="s">
        <v>241</v>
      </c>
      <c r="C10" s="26">
        <v>366785.13751868467</v>
      </c>
      <c r="D10" s="26">
        <v>354297.30810388637</v>
      </c>
      <c r="E10" s="26">
        <v>372798.80668834079</v>
      </c>
      <c r="F10" s="27"/>
      <c r="G10" s="28">
        <v>1.6395618454822909</v>
      </c>
      <c r="H10" s="29">
        <v>5.2220262929656371</v>
      </c>
    </row>
    <row r="11" spans="1:8" x14ac:dyDescent="0.2">
      <c r="A11" s="30" t="s">
        <v>5</v>
      </c>
      <c r="B11" s="31" t="s">
        <v>3</v>
      </c>
      <c r="C11" s="20">
        <v>180848.99507324363</v>
      </c>
      <c r="D11" s="20">
        <v>169895.53994618845</v>
      </c>
      <c r="E11" s="20">
        <v>189868.78888832475</v>
      </c>
      <c r="F11" s="22" t="s">
        <v>240</v>
      </c>
      <c r="G11" s="37">
        <v>4.9874724553642835</v>
      </c>
      <c r="H11" s="33">
        <v>11.756193805006589</v>
      </c>
    </row>
    <row r="12" spans="1:8" x14ac:dyDescent="0.2">
      <c r="A12" s="34"/>
      <c r="B12" s="25" t="s">
        <v>241</v>
      </c>
      <c r="C12" s="26">
        <v>96981.859491778654</v>
      </c>
      <c r="D12" s="26">
        <v>110299.30527429003</v>
      </c>
      <c r="E12" s="26">
        <v>115179.05317713006</v>
      </c>
      <c r="F12" s="27"/>
      <c r="G12" s="28">
        <v>18.763502556778704</v>
      </c>
      <c r="H12" s="29">
        <v>4.4240966801242934</v>
      </c>
    </row>
    <row r="13" spans="1:8" x14ac:dyDescent="0.2">
      <c r="A13" s="30" t="s">
        <v>6</v>
      </c>
      <c r="B13" s="31" t="s">
        <v>3</v>
      </c>
      <c r="C13" s="20">
        <v>436422.05680252536</v>
      </c>
      <c r="D13" s="20">
        <v>479818.33846073353</v>
      </c>
      <c r="E13" s="20">
        <v>508310.24170049519</v>
      </c>
      <c r="F13" s="22" t="s">
        <v>240</v>
      </c>
      <c r="G13" s="23">
        <v>16.472170408769742</v>
      </c>
      <c r="H13" s="24">
        <v>5.9380605024735473</v>
      </c>
    </row>
    <row r="14" spans="1:8" x14ac:dyDescent="0.2">
      <c r="A14" s="34"/>
      <c r="B14" s="25" t="s">
        <v>241</v>
      </c>
      <c r="C14" s="26">
        <v>202199.83768464744</v>
      </c>
      <c r="D14" s="26">
        <v>216206.78834397183</v>
      </c>
      <c r="E14" s="26">
        <v>231159.27541463924</v>
      </c>
      <c r="F14" s="27"/>
      <c r="G14" s="38">
        <v>14.32218643773453</v>
      </c>
      <c r="H14" s="24">
        <v>6.9158268272682051</v>
      </c>
    </row>
    <row r="15" spans="1:8" x14ac:dyDescent="0.2">
      <c r="A15" s="30" t="s">
        <v>168</v>
      </c>
      <c r="B15" s="31" t="s">
        <v>3</v>
      </c>
      <c r="C15" s="20">
        <v>46862.684981684986</v>
      </c>
      <c r="D15" s="20">
        <v>45810.752901417422</v>
      </c>
      <c r="E15" s="20">
        <v>51354.14789908447</v>
      </c>
      <c r="F15" s="22" t="s">
        <v>240</v>
      </c>
      <c r="G15" s="37">
        <v>9.5843055496176675</v>
      </c>
      <c r="H15" s="33">
        <v>12.100641545001835</v>
      </c>
    </row>
    <row r="16" spans="1:8" x14ac:dyDescent="0.2">
      <c r="A16" s="34"/>
      <c r="B16" s="25" t="s">
        <v>241</v>
      </c>
      <c r="C16" s="26">
        <v>23125.531931836278</v>
      </c>
      <c r="D16" s="26">
        <v>21334.431123936934</v>
      </c>
      <c r="E16" s="26">
        <v>24373.170409300845</v>
      </c>
      <c r="F16" s="27"/>
      <c r="G16" s="28">
        <v>5.3950693162087902</v>
      </c>
      <c r="H16" s="29">
        <v>14.243357452144508</v>
      </c>
    </row>
    <row r="17" spans="1:8" x14ac:dyDescent="0.2">
      <c r="A17" s="30" t="s">
        <v>7</v>
      </c>
      <c r="B17" s="31" t="s">
        <v>3</v>
      </c>
      <c r="C17" s="20">
        <v>9550.4275265306132</v>
      </c>
      <c r="D17" s="20">
        <v>8509.779069387756</v>
      </c>
      <c r="E17" s="20">
        <v>8852.8422651210858</v>
      </c>
      <c r="F17" s="22" t="s">
        <v>240</v>
      </c>
      <c r="G17" s="23">
        <v>-7.3042307213124218</v>
      </c>
      <c r="H17" s="24">
        <v>4.031399557333188</v>
      </c>
    </row>
    <row r="18" spans="1:8" x14ac:dyDescent="0.2">
      <c r="A18" s="30"/>
      <c r="B18" s="25" t="s">
        <v>241</v>
      </c>
      <c r="C18" s="26">
        <v>5021.5564408163264</v>
      </c>
      <c r="D18" s="26">
        <v>4272.1273306122448</v>
      </c>
      <c r="E18" s="26">
        <v>4512.3466285714285</v>
      </c>
      <c r="F18" s="27"/>
      <c r="G18" s="38">
        <v>-10.140477723319549</v>
      </c>
      <c r="H18" s="24">
        <v>5.6229433106516922</v>
      </c>
    </row>
    <row r="19" spans="1:8" x14ac:dyDescent="0.2">
      <c r="A19" s="39" t="s">
        <v>8</v>
      </c>
      <c r="B19" s="31" t="s">
        <v>3</v>
      </c>
      <c r="C19" s="20">
        <v>5250</v>
      </c>
      <c r="D19" s="20">
        <v>5522</v>
      </c>
      <c r="E19" s="20">
        <v>5694.9347042646177</v>
      </c>
      <c r="F19" s="22" t="s">
        <v>240</v>
      </c>
      <c r="G19" s="37">
        <v>8.4749467478974765</v>
      </c>
      <c r="H19" s="33">
        <v>3.1317403887109379</v>
      </c>
    </row>
    <row r="20" spans="1:8" x14ac:dyDescent="0.2">
      <c r="A20" s="34"/>
      <c r="B20" s="25" t="s">
        <v>241</v>
      </c>
      <c r="C20" s="26">
        <v>2468.457142857143</v>
      </c>
      <c r="D20" s="26">
        <v>2730</v>
      </c>
      <c r="E20" s="26">
        <v>2768</v>
      </c>
      <c r="F20" s="27"/>
      <c r="G20" s="28">
        <v>12.134821056530384</v>
      </c>
      <c r="H20" s="29">
        <v>1.391941391941387</v>
      </c>
    </row>
    <row r="21" spans="1:8" x14ac:dyDescent="0.2">
      <c r="A21" s="39" t="s">
        <v>9</v>
      </c>
      <c r="B21" s="31" t="s">
        <v>3</v>
      </c>
      <c r="C21" s="20">
        <v>27254.799999999999</v>
      </c>
      <c r="D21" s="20">
        <v>27600.996666666666</v>
      </c>
      <c r="E21" s="20">
        <v>29931.782648889712</v>
      </c>
      <c r="F21" s="22" t="s">
        <v>240</v>
      </c>
      <c r="G21" s="37">
        <v>9.8220594129830801</v>
      </c>
      <c r="H21" s="33">
        <v>8.4445718043142364</v>
      </c>
    </row>
    <row r="22" spans="1:8" x14ac:dyDescent="0.2">
      <c r="A22" s="34"/>
      <c r="B22" s="25" t="s">
        <v>241</v>
      </c>
      <c r="C22" s="26">
        <v>13899.584999999999</v>
      </c>
      <c r="D22" s="26">
        <v>12597.658333333333</v>
      </c>
      <c r="E22" s="26">
        <v>14157.14</v>
      </c>
      <c r="F22" s="27"/>
      <c r="G22" s="28">
        <v>1.8529689915202567</v>
      </c>
      <c r="H22" s="29">
        <v>12.379139244793507</v>
      </c>
    </row>
    <row r="23" spans="1:8" x14ac:dyDescent="0.2">
      <c r="A23" s="39" t="s">
        <v>190</v>
      </c>
      <c r="B23" s="31" t="s">
        <v>3</v>
      </c>
      <c r="C23" s="20">
        <v>6375</v>
      </c>
      <c r="D23" s="20">
        <v>6379</v>
      </c>
      <c r="E23" s="20">
        <v>6948.8425205024378</v>
      </c>
      <c r="F23" s="22" t="s">
        <v>240</v>
      </c>
      <c r="G23" s="37">
        <v>9.0014513019990261</v>
      </c>
      <c r="H23" s="33">
        <v>8.933101120903558</v>
      </c>
    </row>
    <row r="24" spans="1:8" x14ac:dyDescent="0.2">
      <c r="A24" s="34"/>
      <c r="B24" s="25" t="s">
        <v>241</v>
      </c>
      <c r="C24" s="26">
        <v>3199.2150943396227</v>
      </c>
      <c r="D24" s="26">
        <v>3211</v>
      </c>
      <c r="E24" s="26">
        <v>3490</v>
      </c>
      <c r="F24" s="27"/>
      <c r="G24" s="28">
        <v>9.0892577424651364</v>
      </c>
      <c r="H24" s="29">
        <v>8.6888819682341847</v>
      </c>
    </row>
    <row r="25" spans="1:8" x14ac:dyDescent="0.2">
      <c r="A25" s="39" t="s">
        <v>191</v>
      </c>
      <c r="B25" s="31" t="s">
        <v>3</v>
      </c>
      <c r="C25" s="20">
        <v>1628</v>
      </c>
      <c r="D25" s="20">
        <v>1472</v>
      </c>
      <c r="E25" s="20">
        <v>1722.1604631927212</v>
      </c>
      <c r="F25" s="22" t="s">
        <v>240</v>
      </c>
      <c r="G25" s="37">
        <v>5.7838122354251169</v>
      </c>
      <c r="H25" s="33">
        <v>16.994596684288126</v>
      </c>
    </row>
    <row r="26" spans="1:8" x14ac:dyDescent="0.2">
      <c r="A26" s="34"/>
      <c r="B26" s="25" t="s">
        <v>241</v>
      </c>
      <c r="C26" s="26">
        <v>705.20795454545453</v>
      </c>
      <c r="D26" s="26">
        <v>806</v>
      </c>
      <c r="E26" s="26">
        <v>914</v>
      </c>
      <c r="F26" s="27"/>
      <c r="G26" s="28">
        <v>29.607159719167299</v>
      </c>
      <c r="H26" s="29">
        <v>13.399503722084361</v>
      </c>
    </row>
    <row r="27" spans="1:8" x14ac:dyDescent="0.2">
      <c r="A27" s="39" t="s">
        <v>192</v>
      </c>
      <c r="B27" s="31" t="s">
        <v>3</v>
      </c>
      <c r="C27" s="20">
        <v>335300.03885714285</v>
      </c>
      <c r="D27" s="20">
        <v>343016</v>
      </c>
      <c r="E27" s="20">
        <v>413695.66860433767</v>
      </c>
      <c r="F27" s="22" t="s">
        <v>240</v>
      </c>
      <c r="G27" s="37">
        <v>23.380739833613887</v>
      </c>
      <c r="H27" s="33">
        <v>20.605356194561679</v>
      </c>
    </row>
    <row r="28" spans="1:8" x14ac:dyDescent="0.2">
      <c r="A28" s="34"/>
      <c r="B28" s="25" t="s">
        <v>241</v>
      </c>
      <c r="C28" s="26">
        <v>141896.43428571429</v>
      </c>
      <c r="D28" s="26">
        <v>144310.89942857143</v>
      </c>
      <c r="E28" s="26">
        <v>183760</v>
      </c>
      <c r="F28" s="27"/>
      <c r="G28" s="28">
        <v>29.502901834722451</v>
      </c>
      <c r="H28" s="29">
        <v>27.336189246713417</v>
      </c>
    </row>
    <row r="29" spans="1:8" x14ac:dyDescent="0.2">
      <c r="A29" s="30" t="s">
        <v>10</v>
      </c>
      <c r="B29" s="31" t="s">
        <v>3</v>
      </c>
      <c r="C29" s="20">
        <v>351332</v>
      </c>
      <c r="D29" s="20">
        <v>447542</v>
      </c>
      <c r="E29" s="20">
        <v>107208.33869894454</v>
      </c>
      <c r="F29" s="22" t="s">
        <v>240</v>
      </c>
      <c r="G29" s="37">
        <v>-69.485176784652538</v>
      </c>
      <c r="H29" s="33">
        <v>-76.045077624235375</v>
      </c>
    </row>
    <row r="30" spans="1:8" x14ac:dyDescent="0.2">
      <c r="A30" s="30"/>
      <c r="B30" s="25" t="s">
        <v>241</v>
      </c>
      <c r="C30" s="26">
        <v>164509.61538461538</v>
      </c>
      <c r="D30" s="26">
        <v>294870</v>
      </c>
      <c r="E30" s="26">
        <v>62196</v>
      </c>
      <c r="F30" s="27"/>
      <c r="G30" s="28">
        <v>-62.193091355426965</v>
      </c>
      <c r="H30" s="29">
        <v>-78.907315088004879</v>
      </c>
    </row>
    <row r="31" spans="1:8" x14ac:dyDescent="0.2">
      <c r="A31" s="39" t="s">
        <v>11</v>
      </c>
      <c r="B31" s="31" t="s">
        <v>3</v>
      </c>
      <c r="C31" s="20">
        <v>10785.192019950126</v>
      </c>
      <c r="D31" s="20">
        <v>13466</v>
      </c>
      <c r="E31" s="20">
        <v>12967.016895311519</v>
      </c>
      <c r="F31" s="22" t="s">
        <v>240</v>
      </c>
      <c r="G31" s="37">
        <v>20.229819472157004</v>
      </c>
      <c r="H31" s="33">
        <v>-3.7055035250889716</v>
      </c>
    </row>
    <row r="32" spans="1:8" x14ac:dyDescent="0.2">
      <c r="A32" s="34"/>
      <c r="B32" s="25" t="s">
        <v>241</v>
      </c>
      <c r="C32" s="26">
        <v>4431.5187032418953</v>
      </c>
      <c r="D32" s="26">
        <v>5589.2439507481295</v>
      </c>
      <c r="E32" s="26">
        <v>5363.9700748129671</v>
      </c>
      <c r="F32" s="27"/>
      <c r="G32" s="28">
        <v>21.041350246111648</v>
      </c>
      <c r="H32" s="29">
        <v>-4.0304892382628736</v>
      </c>
    </row>
    <row r="33" spans="1:8" x14ac:dyDescent="0.2">
      <c r="A33" s="30" t="s">
        <v>12</v>
      </c>
      <c r="B33" s="31" t="s">
        <v>3</v>
      </c>
      <c r="C33" s="20">
        <v>11204.776</v>
      </c>
      <c r="D33" s="20">
        <v>11603.98</v>
      </c>
      <c r="E33" s="20">
        <v>12174.707780348637</v>
      </c>
      <c r="F33" s="22" t="s">
        <v>240</v>
      </c>
      <c r="G33" s="37">
        <v>8.6564138394970058</v>
      </c>
      <c r="H33" s="33">
        <v>4.9183795589843982</v>
      </c>
    </row>
    <row r="34" spans="1:8" x14ac:dyDescent="0.2">
      <c r="A34" s="30"/>
      <c r="B34" s="25" t="s">
        <v>241</v>
      </c>
      <c r="C34" s="26">
        <v>5862.3879999999999</v>
      </c>
      <c r="D34" s="26">
        <v>5601.33677102</v>
      </c>
      <c r="E34" s="26">
        <v>6032.4699999999993</v>
      </c>
      <c r="F34" s="27"/>
      <c r="G34" s="28">
        <v>2.9012409277584368</v>
      </c>
      <c r="H34" s="29">
        <v>7.6969703234160249</v>
      </c>
    </row>
    <row r="35" spans="1:8" x14ac:dyDescent="0.2">
      <c r="A35" s="39" t="s">
        <v>13</v>
      </c>
      <c r="B35" s="31" t="s">
        <v>3</v>
      </c>
      <c r="C35" s="20">
        <v>47</v>
      </c>
      <c r="D35" s="20">
        <v>50</v>
      </c>
      <c r="E35" s="20">
        <v>68.142857142857139</v>
      </c>
      <c r="F35" s="22" t="s">
        <v>240</v>
      </c>
      <c r="G35" s="23">
        <v>44.984802431610944</v>
      </c>
      <c r="H35" s="24">
        <v>36.285714285714278</v>
      </c>
    </row>
    <row r="36" spans="1:8" x14ac:dyDescent="0.2">
      <c r="A36" s="34"/>
      <c r="B36" s="25" t="s">
        <v>241</v>
      </c>
      <c r="C36" s="26">
        <v>28</v>
      </c>
      <c r="D36" s="26">
        <v>25</v>
      </c>
      <c r="E36" s="26">
        <v>36</v>
      </c>
      <c r="F36" s="27"/>
      <c r="G36" s="28">
        <v>28.571428571428584</v>
      </c>
      <c r="H36" s="29">
        <v>44</v>
      </c>
    </row>
    <row r="37" spans="1:8" x14ac:dyDescent="0.2">
      <c r="A37" s="30" t="s">
        <v>14</v>
      </c>
      <c r="B37" s="31" t="s">
        <v>3</v>
      </c>
      <c r="C37" s="40">
        <v>103941.98</v>
      </c>
      <c r="D37" s="40">
        <v>125507.67923076924</v>
      </c>
      <c r="E37" s="20">
        <v>148930.7017572888</v>
      </c>
      <c r="F37" s="22" t="s">
        <v>240</v>
      </c>
      <c r="G37" s="23">
        <v>43.282532964341073</v>
      </c>
      <c r="H37" s="24">
        <v>18.662621020544861</v>
      </c>
    </row>
    <row r="38" spans="1:8" ht="13.5" thickBot="1" x14ac:dyDescent="0.25">
      <c r="A38" s="41"/>
      <c r="B38" s="42" t="s">
        <v>241</v>
      </c>
      <c r="C38" s="43">
        <v>47229.543461538458</v>
      </c>
      <c r="D38" s="43">
        <v>58217.448441219232</v>
      </c>
      <c r="E38" s="43">
        <v>68605.639230769229</v>
      </c>
      <c r="F38" s="44"/>
      <c r="G38" s="45">
        <v>45.260009313108156</v>
      </c>
      <c r="H38" s="46">
        <v>17.84377547916533</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9</v>
      </c>
    </row>
    <row r="62" spans="1:8" ht="12.75" customHeight="1" x14ac:dyDescent="0.2">
      <c r="A62" s="54" t="s">
        <v>243</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235</v>
      </c>
      <c r="D6" s="15" t="s">
        <v>236</v>
      </c>
      <c r="E6" s="15" t="s">
        <v>237</v>
      </c>
      <c r="F6" s="16"/>
      <c r="G6" s="17" t="s">
        <v>238</v>
      </c>
      <c r="H6" s="18" t="s">
        <v>239</v>
      </c>
    </row>
    <row r="7" spans="1:10" x14ac:dyDescent="0.2">
      <c r="A7" s="205" t="s">
        <v>2</v>
      </c>
      <c r="B7" s="19" t="s">
        <v>3</v>
      </c>
      <c r="C7" s="80">
        <v>43407.636043431892</v>
      </c>
      <c r="D7" s="80">
        <v>43726.073478287661</v>
      </c>
      <c r="E7" s="81">
        <v>44719.849306378113</v>
      </c>
      <c r="F7" s="22" t="s">
        <v>240</v>
      </c>
      <c r="G7" s="23">
        <v>3.0230009799042676</v>
      </c>
      <c r="H7" s="24">
        <v>2.2727305450463575</v>
      </c>
    </row>
    <row r="8" spans="1:10" x14ac:dyDescent="0.2">
      <c r="A8" s="206"/>
      <c r="B8" s="25" t="s">
        <v>241</v>
      </c>
      <c r="C8" s="82">
        <v>21729.487950881961</v>
      </c>
      <c r="D8" s="82">
        <v>22886.521437258249</v>
      </c>
      <c r="E8" s="82">
        <v>23056.391321459167</v>
      </c>
      <c r="F8" s="27"/>
      <c r="G8" s="28">
        <v>6.1064640527958289</v>
      </c>
      <c r="H8" s="29">
        <v>0.74222674977761471</v>
      </c>
      <c r="J8" s="94"/>
    </row>
    <row r="9" spans="1:10" x14ac:dyDescent="0.2">
      <c r="A9" s="30" t="s">
        <v>4</v>
      </c>
      <c r="B9" s="31" t="s">
        <v>3</v>
      </c>
      <c r="C9" s="80">
        <v>10720.587163369206</v>
      </c>
      <c r="D9" s="80">
        <v>11715.583932812993</v>
      </c>
      <c r="E9" s="80">
        <v>11130.610120676376</v>
      </c>
      <c r="F9" s="22" t="s">
        <v>240</v>
      </c>
      <c r="G9" s="32">
        <v>3.8246315342518074</v>
      </c>
      <c r="H9" s="33">
        <v>-4.9931255282822349</v>
      </c>
    </row>
    <row r="10" spans="1:10" x14ac:dyDescent="0.2">
      <c r="A10" s="34"/>
      <c r="B10" s="25" t="s">
        <v>241</v>
      </c>
      <c r="C10" s="82">
        <v>5673.3069296472595</v>
      </c>
      <c r="D10" s="82">
        <v>5903.5324642953692</v>
      </c>
      <c r="E10" s="82">
        <v>5699.565882905953</v>
      </c>
      <c r="F10" s="27"/>
      <c r="G10" s="35">
        <v>0.46285091894941388</v>
      </c>
      <c r="H10" s="29">
        <v>-3.4549921190915427</v>
      </c>
      <c r="J10" s="94"/>
    </row>
    <row r="11" spans="1:10" x14ac:dyDescent="0.2">
      <c r="A11" s="30" t="s">
        <v>5</v>
      </c>
      <c r="B11" s="31" t="s">
        <v>3</v>
      </c>
      <c r="C11" s="80">
        <v>5112.0898873813076</v>
      </c>
      <c r="D11" s="80">
        <v>3786.8559341359833</v>
      </c>
      <c r="E11" s="80">
        <v>5138.3242045392153</v>
      </c>
      <c r="F11" s="22" t="s">
        <v>240</v>
      </c>
      <c r="G11" s="37">
        <v>0.51318184413511858</v>
      </c>
      <c r="H11" s="33">
        <v>35.688399398050649</v>
      </c>
    </row>
    <row r="12" spans="1:10" x14ac:dyDescent="0.2">
      <c r="A12" s="34"/>
      <c r="B12" s="25" t="s">
        <v>241</v>
      </c>
      <c r="C12" s="82">
        <v>2373.2349883090319</v>
      </c>
      <c r="D12" s="82">
        <v>1889.3164869625971</v>
      </c>
      <c r="E12" s="82">
        <v>2501.3081123059319</v>
      </c>
      <c r="F12" s="27"/>
      <c r="G12" s="28">
        <v>5.396563114390716</v>
      </c>
      <c r="H12" s="29">
        <v>32.392223831551746</v>
      </c>
    </row>
    <row r="13" spans="1:10" x14ac:dyDescent="0.2">
      <c r="A13" s="30" t="s">
        <v>6</v>
      </c>
      <c r="B13" s="31" t="s">
        <v>3</v>
      </c>
      <c r="C13" s="80">
        <v>8866.8966085764332</v>
      </c>
      <c r="D13" s="80">
        <v>8740.3543440821522</v>
      </c>
      <c r="E13" s="80">
        <v>10352.998925004771</v>
      </c>
      <c r="F13" s="22" t="s">
        <v>240</v>
      </c>
      <c r="G13" s="23">
        <v>16.760117795790208</v>
      </c>
      <c r="H13" s="24">
        <v>18.450562957032687</v>
      </c>
    </row>
    <row r="14" spans="1:10" x14ac:dyDescent="0.2">
      <c r="A14" s="34"/>
      <c r="B14" s="25" t="s">
        <v>241</v>
      </c>
      <c r="C14" s="82">
        <v>4062.097701355669</v>
      </c>
      <c r="D14" s="82">
        <v>4291.2065040304733</v>
      </c>
      <c r="E14" s="82">
        <v>4964.3175105394348</v>
      </c>
      <c r="F14" s="27"/>
      <c r="G14" s="38">
        <v>22.210687076351277</v>
      </c>
      <c r="H14" s="24">
        <v>15.685821828354079</v>
      </c>
    </row>
    <row r="15" spans="1:10" x14ac:dyDescent="0.2">
      <c r="A15" s="30" t="s">
        <v>168</v>
      </c>
      <c r="B15" s="31" t="s">
        <v>3</v>
      </c>
      <c r="C15" s="80">
        <v>5905.4067986511109</v>
      </c>
      <c r="D15" s="80">
        <v>5870.5359812985025</v>
      </c>
      <c r="E15" s="80">
        <v>5836.239308599841</v>
      </c>
      <c r="F15" s="22" t="s">
        <v>240</v>
      </c>
      <c r="G15" s="37">
        <v>-1.1712569922713669</v>
      </c>
      <c r="H15" s="33">
        <v>-0.58421705970150128</v>
      </c>
    </row>
    <row r="16" spans="1:10" x14ac:dyDescent="0.2">
      <c r="A16" s="34"/>
      <c r="B16" s="25" t="s">
        <v>241</v>
      </c>
      <c r="C16" s="82">
        <v>3198.9516949800391</v>
      </c>
      <c r="D16" s="82">
        <v>3215.9968028142866</v>
      </c>
      <c r="E16" s="82">
        <v>3185.2108121119513</v>
      </c>
      <c r="F16" s="27"/>
      <c r="G16" s="28">
        <v>-0.4295433060039926</v>
      </c>
      <c r="H16" s="29">
        <v>-0.95727678197300747</v>
      </c>
    </row>
    <row r="17" spans="1:8" x14ac:dyDescent="0.2">
      <c r="A17" s="30" t="s">
        <v>7</v>
      </c>
      <c r="B17" s="31" t="s">
        <v>3</v>
      </c>
      <c r="C17" s="80">
        <v>2097.286501513945</v>
      </c>
      <c r="D17" s="80">
        <v>1776.8332046777334</v>
      </c>
      <c r="E17" s="80">
        <v>1809.2238882672361</v>
      </c>
      <c r="F17" s="22" t="s">
        <v>240</v>
      </c>
      <c r="G17" s="23">
        <v>-13.735014888941905</v>
      </c>
      <c r="H17" s="24">
        <v>1.822944523111687</v>
      </c>
    </row>
    <row r="18" spans="1:8" x14ac:dyDescent="0.2">
      <c r="A18" s="30"/>
      <c r="B18" s="25" t="s">
        <v>241</v>
      </c>
      <c r="C18" s="82">
        <v>1082.4285095044327</v>
      </c>
      <c r="D18" s="82">
        <v>917.48112890574225</v>
      </c>
      <c r="E18" s="82">
        <v>934.05641670497062</v>
      </c>
      <c r="F18" s="27"/>
      <c r="G18" s="38">
        <v>-13.707334156173616</v>
      </c>
      <c r="H18" s="24">
        <v>1.806608035524107</v>
      </c>
    </row>
    <row r="19" spans="1:8" x14ac:dyDescent="0.2">
      <c r="A19" s="39" t="s">
        <v>8</v>
      </c>
      <c r="B19" s="31" t="s">
        <v>3</v>
      </c>
      <c r="C19" s="80">
        <v>1715.0155545624007</v>
      </c>
      <c r="D19" s="80">
        <v>2036.0218121420889</v>
      </c>
      <c r="E19" s="80">
        <v>2562.3634418147781</v>
      </c>
      <c r="F19" s="22" t="s">
        <v>240</v>
      </c>
      <c r="G19" s="37">
        <v>49.407591960213125</v>
      </c>
      <c r="H19" s="33">
        <v>25.851473031073652</v>
      </c>
    </row>
    <row r="20" spans="1:8" x14ac:dyDescent="0.2">
      <c r="A20" s="34"/>
      <c r="B20" s="25" t="s">
        <v>241</v>
      </c>
      <c r="C20" s="82">
        <v>844.52767250232239</v>
      </c>
      <c r="D20" s="82">
        <v>966.10268894516707</v>
      </c>
      <c r="E20" s="82">
        <v>1230.7896372137748</v>
      </c>
      <c r="F20" s="27"/>
      <c r="G20" s="28">
        <v>45.737040630884735</v>
      </c>
      <c r="H20" s="29">
        <v>27.397392771735724</v>
      </c>
    </row>
    <row r="21" spans="1:8" x14ac:dyDescent="0.2">
      <c r="A21" s="39" t="s">
        <v>9</v>
      </c>
      <c r="B21" s="31" t="s">
        <v>3</v>
      </c>
      <c r="C21" s="80">
        <v>750.93103671113693</v>
      </c>
      <c r="D21" s="80">
        <v>790.99551165503703</v>
      </c>
      <c r="E21" s="80">
        <v>1036.004817190124</v>
      </c>
      <c r="F21" s="22" t="s">
        <v>240</v>
      </c>
      <c r="G21" s="37">
        <v>37.962711160205686</v>
      </c>
      <c r="H21" s="33">
        <v>30.974803513415964</v>
      </c>
    </row>
    <row r="22" spans="1:8" x14ac:dyDescent="0.2">
      <c r="A22" s="34"/>
      <c r="B22" s="25" t="s">
        <v>241</v>
      </c>
      <c r="C22" s="82">
        <v>305.60577524503333</v>
      </c>
      <c r="D22" s="82">
        <v>401.42631068577151</v>
      </c>
      <c r="E22" s="82">
        <v>485.77042894766703</v>
      </c>
      <c r="F22" s="27"/>
      <c r="G22" s="28">
        <v>58.953288287231658</v>
      </c>
      <c r="H22" s="29">
        <v>21.011108643528445</v>
      </c>
    </row>
    <row r="23" spans="1:8" x14ac:dyDescent="0.2">
      <c r="A23" s="39" t="s">
        <v>190</v>
      </c>
      <c r="B23" s="31" t="s">
        <v>3</v>
      </c>
      <c r="C23" s="80">
        <v>1135.0357251820456</v>
      </c>
      <c r="D23" s="80">
        <v>1443.9436886190492</v>
      </c>
      <c r="E23" s="80">
        <v>1879.7226820015737</v>
      </c>
      <c r="F23" s="22" t="s">
        <v>240</v>
      </c>
      <c r="G23" s="23">
        <v>65.60912051469478</v>
      </c>
      <c r="H23" s="24">
        <v>30.179777564545645</v>
      </c>
    </row>
    <row r="24" spans="1:8" x14ac:dyDescent="0.2">
      <c r="A24" s="34"/>
      <c r="B24" s="25" t="s">
        <v>241</v>
      </c>
      <c r="C24" s="82">
        <v>588.95007198057056</v>
      </c>
      <c r="D24" s="82">
        <v>703.90225090201398</v>
      </c>
      <c r="E24" s="82">
        <v>924.04743928760467</v>
      </c>
      <c r="F24" s="27"/>
      <c r="G24" s="38">
        <v>56.897415120460153</v>
      </c>
      <c r="H24" s="24">
        <v>31.274965821388719</v>
      </c>
    </row>
    <row r="25" spans="1:8" x14ac:dyDescent="0.2">
      <c r="A25" s="39" t="s">
        <v>191</v>
      </c>
      <c r="B25" s="31" t="s">
        <v>3</v>
      </c>
      <c r="C25" s="80">
        <v>454.12308686202277</v>
      </c>
      <c r="D25" s="80">
        <v>590.1806121196131</v>
      </c>
      <c r="E25" s="80">
        <v>556.94432466008288</v>
      </c>
      <c r="F25" s="22" t="s">
        <v>240</v>
      </c>
      <c r="G25" s="37">
        <v>22.641711195207421</v>
      </c>
      <c r="H25" s="33">
        <v>-5.6315451197495747</v>
      </c>
    </row>
    <row r="26" spans="1:8" x14ac:dyDescent="0.2">
      <c r="A26" s="34"/>
      <c r="B26" s="25" t="s">
        <v>241</v>
      </c>
      <c r="C26" s="82">
        <v>212.69408358968531</v>
      </c>
      <c r="D26" s="82">
        <v>342.32815642409764</v>
      </c>
      <c r="E26" s="82">
        <v>306.68514386652657</v>
      </c>
      <c r="F26" s="27"/>
      <c r="G26" s="38">
        <v>44.190726272462911</v>
      </c>
      <c r="H26" s="24">
        <v>-10.411943011025443</v>
      </c>
    </row>
    <row r="27" spans="1:8" x14ac:dyDescent="0.2">
      <c r="A27" s="39" t="s">
        <v>192</v>
      </c>
      <c r="B27" s="31" t="s">
        <v>3</v>
      </c>
      <c r="C27" s="80">
        <v>1333.7987954130613</v>
      </c>
      <c r="D27" s="80">
        <v>1456.5722955892095</v>
      </c>
      <c r="E27" s="80">
        <v>1721.6929719344989</v>
      </c>
      <c r="F27" s="22" t="s">
        <v>240</v>
      </c>
      <c r="G27" s="37">
        <v>29.081910844079886</v>
      </c>
      <c r="H27" s="33">
        <v>18.201683304572498</v>
      </c>
    </row>
    <row r="28" spans="1:8" x14ac:dyDescent="0.2">
      <c r="A28" s="34"/>
      <c r="B28" s="25" t="s">
        <v>241</v>
      </c>
      <c r="C28" s="82">
        <v>678.73545248458868</v>
      </c>
      <c r="D28" s="82">
        <v>689.49705569425032</v>
      </c>
      <c r="E28" s="82">
        <v>829.72777714408846</v>
      </c>
      <c r="F28" s="27"/>
      <c r="G28" s="38">
        <v>22.24612315546139</v>
      </c>
      <c r="H28" s="24">
        <v>20.338117515040111</v>
      </c>
    </row>
    <row r="29" spans="1:8" x14ac:dyDescent="0.2">
      <c r="A29" s="30" t="s">
        <v>10</v>
      </c>
      <c r="B29" s="31" t="s">
        <v>3</v>
      </c>
      <c r="C29" s="80">
        <v>2298.9281077959999</v>
      </c>
      <c r="D29" s="80">
        <v>2302.5662864483888</v>
      </c>
      <c r="E29" s="80">
        <v>331.42562546344607</v>
      </c>
      <c r="F29" s="22" t="s">
        <v>240</v>
      </c>
      <c r="G29" s="37">
        <v>-85.583471517028585</v>
      </c>
      <c r="H29" s="33">
        <v>-85.606250407902209</v>
      </c>
    </row>
    <row r="30" spans="1:8" x14ac:dyDescent="0.2">
      <c r="A30" s="30"/>
      <c r="B30" s="25" t="s">
        <v>241</v>
      </c>
      <c r="C30" s="82">
        <v>1164.6768455025992</v>
      </c>
      <c r="D30" s="82">
        <v>1893.5409275796746</v>
      </c>
      <c r="E30" s="82">
        <v>225.66951530811212</v>
      </c>
      <c r="F30" s="27"/>
      <c r="G30" s="28">
        <v>-80.623851484681339</v>
      </c>
      <c r="H30" s="29">
        <v>-88.082142190791558</v>
      </c>
    </row>
    <row r="31" spans="1:8" x14ac:dyDescent="0.2">
      <c r="A31" s="39" t="s">
        <v>11</v>
      </c>
      <c r="B31" s="31" t="s">
        <v>3</v>
      </c>
      <c r="C31" s="80">
        <v>506.53855755591928</v>
      </c>
      <c r="D31" s="80">
        <v>607.81922434697947</v>
      </c>
      <c r="E31" s="80">
        <v>577.645822544476</v>
      </c>
      <c r="F31" s="22" t="s">
        <v>240</v>
      </c>
      <c r="G31" s="23">
        <v>14.037878050518742</v>
      </c>
      <c r="H31" s="24">
        <v>-4.964206559099992</v>
      </c>
    </row>
    <row r="32" spans="1:8" x14ac:dyDescent="0.2">
      <c r="A32" s="34"/>
      <c r="B32" s="25" t="s">
        <v>241</v>
      </c>
      <c r="C32" s="82">
        <v>210.51216448811601</v>
      </c>
      <c r="D32" s="82">
        <v>262.93120032699858</v>
      </c>
      <c r="E32" s="82">
        <v>246.51905838508478</v>
      </c>
      <c r="F32" s="27"/>
      <c r="G32" s="38">
        <v>17.104424337911112</v>
      </c>
      <c r="H32" s="24">
        <v>-6.241991030924666</v>
      </c>
    </row>
    <row r="33" spans="1:8" x14ac:dyDescent="0.2">
      <c r="A33" s="30" t="s">
        <v>12</v>
      </c>
      <c r="B33" s="31" t="s">
        <v>3</v>
      </c>
      <c r="C33" s="80">
        <v>1202.7935045741633</v>
      </c>
      <c r="D33" s="80">
        <v>1394.3954936555808</v>
      </c>
      <c r="E33" s="80">
        <v>1646.6781053980567</v>
      </c>
      <c r="F33" s="22" t="s">
        <v>240</v>
      </c>
      <c r="G33" s="37">
        <v>36.904472724189361</v>
      </c>
      <c r="H33" s="33">
        <v>18.092615250862991</v>
      </c>
    </row>
    <row r="34" spans="1:8" x14ac:dyDescent="0.2">
      <c r="A34" s="30"/>
      <c r="B34" s="25" t="s">
        <v>241</v>
      </c>
      <c r="C34" s="82">
        <v>585.27563423107085</v>
      </c>
      <c r="D34" s="82">
        <v>651.86936651844553</v>
      </c>
      <c r="E34" s="82">
        <v>780.01778428583316</v>
      </c>
      <c r="F34" s="27"/>
      <c r="G34" s="28">
        <v>33.273578919890042</v>
      </c>
      <c r="H34" s="29">
        <v>19.658604062315831</v>
      </c>
    </row>
    <row r="35" spans="1:8" x14ac:dyDescent="0.2">
      <c r="A35" s="39" t="s">
        <v>13</v>
      </c>
      <c r="B35" s="31" t="s">
        <v>3</v>
      </c>
      <c r="C35" s="80">
        <v>271.74329495989718</v>
      </c>
      <c r="D35" s="80">
        <v>143.74115385315406</v>
      </c>
      <c r="E35" s="80">
        <v>158.6566766111001</v>
      </c>
      <c r="F35" s="22" t="s">
        <v>240</v>
      </c>
      <c r="G35" s="23">
        <v>-41.615237780010716</v>
      </c>
      <c r="H35" s="24">
        <v>10.376654394456679</v>
      </c>
    </row>
    <row r="36" spans="1:8" x14ac:dyDescent="0.2">
      <c r="A36" s="34"/>
      <c r="B36" s="25" t="s">
        <v>241</v>
      </c>
      <c r="C36" s="82">
        <v>235.6731699503423</v>
      </c>
      <c r="D36" s="82">
        <v>94.89232920539061</v>
      </c>
      <c r="E36" s="82">
        <v>113.79724607921291</v>
      </c>
      <c r="F36" s="27"/>
      <c r="G36" s="28">
        <v>-51.713957892113619</v>
      </c>
      <c r="H36" s="29">
        <v>19.922492188913793</v>
      </c>
    </row>
    <row r="37" spans="1:8" x14ac:dyDescent="0.2">
      <c r="A37" s="30" t="s">
        <v>14</v>
      </c>
      <c r="B37" s="31" t="s">
        <v>3</v>
      </c>
      <c r="C37" s="85">
        <v>1036.4614203232363</v>
      </c>
      <c r="D37" s="85">
        <v>1069.6740028511836</v>
      </c>
      <c r="E37" s="83">
        <v>1100.6587420581939</v>
      </c>
      <c r="F37" s="22" t="s">
        <v>240</v>
      </c>
      <c r="G37" s="23">
        <v>6.1938940008916745</v>
      </c>
      <c r="H37" s="24">
        <v>2.8966525431506511</v>
      </c>
    </row>
    <row r="38" spans="1:8" ht="13.5" thickBot="1" x14ac:dyDescent="0.25">
      <c r="A38" s="41"/>
      <c r="B38" s="42" t="s">
        <v>241</v>
      </c>
      <c r="C38" s="86">
        <v>512.81725711120714</v>
      </c>
      <c r="D38" s="86">
        <v>662.49776396796972</v>
      </c>
      <c r="E38" s="86">
        <v>628.90855637301138</v>
      </c>
      <c r="F38" s="44"/>
      <c r="G38" s="45">
        <v>22.63794707607299</v>
      </c>
      <c r="H38" s="46">
        <v>-5.0700861832014112</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10</v>
      </c>
    </row>
    <row r="62" spans="1:8" ht="12.75" customHeight="1" x14ac:dyDescent="0.2">
      <c r="A62" s="54" t="s">
        <v>243</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26</v>
      </c>
      <c r="B7" s="19" t="s">
        <v>3</v>
      </c>
      <c r="C7" s="20">
        <v>881354.73572496255</v>
      </c>
      <c r="D7" s="20">
        <v>905544.03497757844</v>
      </c>
      <c r="E7" s="21">
        <v>943199.46811218665</v>
      </c>
      <c r="F7" s="22" t="s">
        <v>240</v>
      </c>
      <c r="G7" s="23">
        <v>7.0170080082854867</v>
      </c>
      <c r="H7" s="24">
        <v>4.1583215923387513</v>
      </c>
    </row>
    <row r="8" spans="1:8" x14ac:dyDescent="0.2">
      <c r="A8" s="206"/>
      <c r="B8" s="25" t="s">
        <v>241</v>
      </c>
      <c r="C8" s="26">
        <v>463766.99701046338</v>
      </c>
      <c r="D8" s="26">
        <v>464596.61337817641</v>
      </c>
      <c r="E8" s="26">
        <v>487977.85986547085</v>
      </c>
      <c r="F8" s="27"/>
      <c r="G8" s="28">
        <v>5.2204798985429335</v>
      </c>
      <c r="H8" s="29">
        <v>5.0325908140579543</v>
      </c>
    </row>
    <row r="9" spans="1:8" x14ac:dyDescent="0.2">
      <c r="A9" s="30" t="s">
        <v>28</v>
      </c>
      <c r="B9" s="31" t="s">
        <v>3</v>
      </c>
      <c r="C9" s="20">
        <v>806793.38857997011</v>
      </c>
      <c r="D9" s="20">
        <v>834648.18798206281</v>
      </c>
      <c r="E9" s="21">
        <v>872988.81728113326</v>
      </c>
      <c r="F9" s="22" t="s">
        <v>240</v>
      </c>
      <c r="G9" s="32">
        <v>8.2047559682749949</v>
      </c>
      <c r="H9" s="33">
        <v>4.5936275728060849</v>
      </c>
    </row>
    <row r="10" spans="1:8" x14ac:dyDescent="0.2">
      <c r="A10" s="34"/>
      <c r="B10" s="25" t="s">
        <v>241</v>
      </c>
      <c r="C10" s="26">
        <v>423555.39760837069</v>
      </c>
      <c r="D10" s="26">
        <v>427186.48070254113</v>
      </c>
      <c r="E10" s="26">
        <v>450577.61789237673</v>
      </c>
      <c r="F10" s="27"/>
      <c r="G10" s="35">
        <v>6.3798550169797323</v>
      </c>
      <c r="H10" s="29">
        <v>5.4756267453424812</v>
      </c>
    </row>
    <row r="11" spans="1:8" x14ac:dyDescent="0.2">
      <c r="A11" s="30" t="s">
        <v>29</v>
      </c>
      <c r="B11" s="31" t="s">
        <v>3</v>
      </c>
      <c r="C11" s="20">
        <v>33630.173572496264</v>
      </c>
      <c r="D11" s="20">
        <v>29354.423497757849</v>
      </c>
      <c r="E11" s="21">
        <v>33193.804732093333</v>
      </c>
      <c r="F11" s="22" t="s">
        <v>240</v>
      </c>
      <c r="G11" s="37">
        <v>-1.2975515557844375</v>
      </c>
      <c r="H11" s="33">
        <v>13.0793958008705</v>
      </c>
    </row>
    <row r="12" spans="1:8" x14ac:dyDescent="0.2">
      <c r="A12" s="34"/>
      <c r="B12" s="25" t="s">
        <v>241</v>
      </c>
      <c r="C12" s="26">
        <v>19476.799701046337</v>
      </c>
      <c r="D12" s="26">
        <v>14552.566337817638</v>
      </c>
      <c r="E12" s="26">
        <v>17285.620986547085</v>
      </c>
      <c r="F12" s="27"/>
      <c r="G12" s="28">
        <v>-11.250198945063531</v>
      </c>
      <c r="H12" s="29">
        <v>18.780568219277455</v>
      </c>
    </row>
    <row r="13" spans="1:8" x14ac:dyDescent="0.2">
      <c r="A13" s="30" t="s">
        <v>27</v>
      </c>
      <c r="B13" s="31" t="s">
        <v>3</v>
      </c>
      <c r="C13" s="20">
        <v>10399.352071748879</v>
      </c>
      <c r="D13" s="20">
        <v>11188.027049327355</v>
      </c>
      <c r="E13" s="21">
        <v>11277.879032070592</v>
      </c>
      <c r="F13" s="22" t="s">
        <v>240</v>
      </c>
      <c r="G13" s="23">
        <v>8.4479009294082772</v>
      </c>
      <c r="H13" s="24">
        <v>0.80310837958367642</v>
      </c>
    </row>
    <row r="14" spans="1:8" x14ac:dyDescent="0.2">
      <c r="A14" s="34"/>
      <c r="B14" s="25" t="s">
        <v>241</v>
      </c>
      <c r="C14" s="26">
        <v>4850.7399103139014</v>
      </c>
      <c r="D14" s="26">
        <v>4636.1699013452917</v>
      </c>
      <c r="E14" s="26">
        <v>4853.986295964125</v>
      </c>
      <c r="F14" s="27"/>
      <c r="G14" s="38">
        <v>6.6925576515060925E-2</v>
      </c>
      <c r="H14" s="24">
        <v>4.6981969870351037</v>
      </c>
    </row>
    <row r="15" spans="1:8" x14ac:dyDescent="0.2">
      <c r="A15" s="30" t="s">
        <v>30</v>
      </c>
      <c r="B15" s="31" t="s">
        <v>3</v>
      </c>
      <c r="C15" s="20">
        <v>14500.469428998505</v>
      </c>
      <c r="D15" s="20">
        <v>14655.36939910314</v>
      </c>
      <c r="E15" s="21">
        <v>14614.267085438207</v>
      </c>
      <c r="F15" s="22" t="s">
        <v>240</v>
      </c>
      <c r="G15" s="37">
        <v>0.78478601673491255</v>
      </c>
      <c r="H15" s="33">
        <v>-0.28045907643547707</v>
      </c>
    </row>
    <row r="16" spans="1:8" x14ac:dyDescent="0.2">
      <c r="A16" s="34"/>
      <c r="B16" s="25" t="s">
        <v>241</v>
      </c>
      <c r="C16" s="26">
        <v>8098.3198804185349</v>
      </c>
      <c r="D16" s="26">
        <v>7868.2265351270553</v>
      </c>
      <c r="E16" s="26">
        <v>7948.6483946188346</v>
      </c>
      <c r="F16" s="27"/>
      <c r="G16" s="28">
        <v>-1.8481794743820927</v>
      </c>
      <c r="H16" s="29">
        <v>1.022109100859538</v>
      </c>
    </row>
    <row r="17" spans="1:9" x14ac:dyDescent="0.2">
      <c r="A17" s="30" t="s">
        <v>31</v>
      </c>
      <c r="B17" s="31" t="s">
        <v>3</v>
      </c>
      <c r="C17" s="20">
        <v>16031.352071748879</v>
      </c>
      <c r="D17" s="20">
        <v>15698.027049327355</v>
      </c>
      <c r="E17" s="21">
        <v>12409.835815578714</v>
      </c>
      <c r="F17" s="22" t="s">
        <v>240</v>
      </c>
      <c r="G17" s="37">
        <v>-22.5902109813442</v>
      </c>
      <c r="H17" s="33">
        <v>-20.946525467284999</v>
      </c>
    </row>
    <row r="18" spans="1:9" ht="13.5" thickBot="1" x14ac:dyDescent="0.25">
      <c r="A18" s="56"/>
      <c r="B18" s="42" t="s">
        <v>241</v>
      </c>
      <c r="C18" s="43">
        <v>7785.7399103139014</v>
      </c>
      <c r="D18" s="43">
        <v>10353.169901345293</v>
      </c>
      <c r="E18" s="43">
        <v>7311.9862959641259</v>
      </c>
      <c r="F18" s="44"/>
      <c r="G18" s="57">
        <v>-6.0848887813756249</v>
      </c>
      <c r="H18" s="46">
        <v>-29.37441995408571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26</v>
      </c>
      <c r="B35" s="19" t="s">
        <v>3</v>
      </c>
      <c r="C35" s="80">
        <v>15832.677050750515</v>
      </c>
      <c r="D35" s="80">
        <v>15502.439866948976</v>
      </c>
      <c r="E35" s="83">
        <v>16254.86931095641</v>
      </c>
      <c r="F35" s="22" t="s">
        <v>240</v>
      </c>
      <c r="G35" s="23">
        <v>2.6665879614204755</v>
      </c>
      <c r="H35" s="24">
        <v>4.8536194977385776</v>
      </c>
    </row>
    <row r="36" spans="1:9" ht="12.75" customHeight="1" x14ac:dyDescent="0.2">
      <c r="A36" s="206"/>
      <c r="B36" s="25" t="s">
        <v>241</v>
      </c>
      <c r="C36" s="82">
        <v>8046.5419179562896</v>
      </c>
      <c r="D36" s="82">
        <v>7792.8489512579672</v>
      </c>
      <c r="E36" s="82">
        <v>8200.8739952118867</v>
      </c>
      <c r="F36" s="27"/>
      <c r="G36" s="28">
        <v>1.9179925840092409</v>
      </c>
      <c r="H36" s="29">
        <v>5.235890577451201</v>
      </c>
    </row>
    <row r="37" spans="1:9" x14ac:dyDescent="0.2">
      <c r="A37" s="30" t="s">
        <v>28</v>
      </c>
      <c r="B37" s="31" t="s">
        <v>3</v>
      </c>
      <c r="C37" s="80">
        <v>13112.65006826836</v>
      </c>
      <c r="D37" s="80">
        <v>12905.803856264893</v>
      </c>
      <c r="E37" s="83">
        <v>13498.684664138147</v>
      </c>
      <c r="F37" s="22" t="s">
        <v>240</v>
      </c>
      <c r="G37" s="32">
        <v>2.9439861039528807</v>
      </c>
      <c r="H37" s="33">
        <v>4.5939084033533675</v>
      </c>
    </row>
    <row r="38" spans="1:9" x14ac:dyDescent="0.2">
      <c r="A38" s="34"/>
      <c r="B38" s="25" t="s">
        <v>241</v>
      </c>
      <c r="C38" s="82">
        <v>6693.6362370025854</v>
      </c>
      <c r="D38" s="82">
        <v>6502.8043269073069</v>
      </c>
      <c r="E38" s="82">
        <v>6830.9993150404853</v>
      </c>
      <c r="F38" s="27"/>
      <c r="G38" s="35">
        <v>2.0521443528489556</v>
      </c>
      <c r="H38" s="29">
        <v>5.0469762218612715</v>
      </c>
    </row>
    <row r="39" spans="1:9" x14ac:dyDescent="0.2">
      <c r="A39" s="30" t="s">
        <v>29</v>
      </c>
      <c r="B39" s="31" t="s">
        <v>3</v>
      </c>
      <c r="C39" s="80">
        <v>1087.6094540315007</v>
      </c>
      <c r="D39" s="80">
        <v>929.7729126938068</v>
      </c>
      <c r="E39" s="83">
        <v>966.54730695349429</v>
      </c>
      <c r="F39" s="22" t="s">
        <v>240</v>
      </c>
      <c r="G39" s="37">
        <v>-11.131031146268427</v>
      </c>
      <c r="H39" s="33">
        <v>3.9552017226595808</v>
      </c>
    </row>
    <row r="40" spans="1:9" x14ac:dyDescent="0.2">
      <c r="A40" s="34"/>
      <c r="B40" s="25" t="s">
        <v>241</v>
      </c>
      <c r="C40" s="82">
        <v>603.25177319180477</v>
      </c>
      <c r="D40" s="82">
        <v>473.55826123134983</v>
      </c>
      <c r="E40" s="82">
        <v>506.07545012470518</v>
      </c>
      <c r="F40" s="27"/>
      <c r="G40" s="28">
        <v>-16.108750506101245</v>
      </c>
      <c r="H40" s="29">
        <v>6.8665656489243645</v>
      </c>
    </row>
    <row r="41" spans="1:9" x14ac:dyDescent="0.2">
      <c r="A41" s="30" t="s">
        <v>27</v>
      </c>
      <c r="B41" s="31" t="s">
        <v>3</v>
      </c>
      <c r="C41" s="80">
        <v>313.01303950799792</v>
      </c>
      <c r="D41" s="80">
        <v>326.40791946298395</v>
      </c>
      <c r="E41" s="83">
        <v>505.48427749780359</v>
      </c>
      <c r="F41" s="22" t="s">
        <v>240</v>
      </c>
      <c r="G41" s="23">
        <v>61.489846650585889</v>
      </c>
      <c r="H41" s="24">
        <v>54.862749142067798</v>
      </c>
    </row>
    <row r="42" spans="1:9" x14ac:dyDescent="0.2">
      <c r="A42" s="34"/>
      <c r="B42" s="25" t="s">
        <v>241</v>
      </c>
      <c r="C42" s="82">
        <v>137.20134468569711</v>
      </c>
      <c r="D42" s="82">
        <v>132.36517563886119</v>
      </c>
      <c r="E42" s="82">
        <v>210.22881822234808</v>
      </c>
      <c r="F42" s="27"/>
      <c r="G42" s="38">
        <v>53.226499859708667</v>
      </c>
      <c r="H42" s="24">
        <v>58.824870066977667</v>
      </c>
    </row>
    <row r="43" spans="1:9" x14ac:dyDescent="0.2">
      <c r="A43" s="30" t="s">
        <v>30</v>
      </c>
      <c r="B43" s="31" t="s">
        <v>3</v>
      </c>
      <c r="C43" s="80">
        <v>784.17131108572971</v>
      </c>
      <c r="D43" s="80">
        <v>791.47903614085703</v>
      </c>
      <c r="E43" s="83">
        <v>882.94443182626412</v>
      </c>
      <c r="F43" s="22" t="s">
        <v>240</v>
      </c>
      <c r="G43" s="37">
        <v>12.595860030096915</v>
      </c>
      <c r="H43" s="33">
        <v>11.556262580419045</v>
      </c>
    </row>
    <row r="44" spans="1:9" x14ac:dyDescent="0.2">
      <c r="A44" s="34"/>
      <c r="B44" s="25" t="s">
        <v>241</v>
      </c>
      <c r="C44" s="82">
        <v>375.65758488860376</v>
      </c>
      <c r="D44" s="82">
        <v>378.93004867105799</v>
      </c>
      <c r="E44" s="82">
        <v>422.8050621327539</v>
      </c>
      <c r="F44" s="27"/>
      <c r="G44" s="28">
        <v>12.55065228035555</v>
      </c>
      <c r="H44" s="29">
        <v>11.578657753738341</v>
      </c>
    </row>
    <row r="45" spans="1:9" x14ac:dyDescent="0.2">
      <c r="A45" s="30" t="s">
        <v>31</v>
      </c>
      <c r="B45" s="31" t="s">
        <v>3</v>
      </c>
      <c r="C45" s="80">
        <v>535.23317785692666</v>
      </c>
      <c r="D45" s="80">
        <v>548.97614238643359</v>
      </c>
      <c r="E45" s="83">
        <v>450.60105103836554</v>
      </c>
      <c r="F45" s="22" t="s">
        <v>240</v>
      </c>
      <c r="G45" s="37">
        <v>-15.812197434663545</v>
      </c>
      <c r="H45" s="33">
        <v>-17.919738901662541</v>
      </c>
    </row>
    <row r="46" spans="1:9" ht="13.5" thickBot="1" x14ac:dyDescent="0.25">
      <c r="A46" s="56"/>
      <c r="B46" s="42" t="s">
        <v>241</v>
      </c>
      <c r="C46" s="86">
        <v>236.79497818759995</v>
      </c>
      <c r="D46" s="86">
        <v>305.19113880939045</v>
      </c>
      <c r="E46" s="86">
        <v>230.76534969159314</v>
      </c>
      <c r="F46" s="44"/>
      <c r="G46" s="57">
        <v>-2.5463498179551181</v>
      </c>
      <c r="H46" s="46">
        <v>-24.386615354609148</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8">
        <v>11</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26</v>
      </c>
      <c r="B7" s="19" t="s">
        <v>3</v>
      </c>
      <c r="C7" s="20">
        <v>881354.73572496255</v>
      </c>
      <c r="D7" s="20">
        <v>905544.03497757856</v>
      </c>
      <c r="E7" s="21">
        <v>943199.46811218676</v>
      </c>
      <c r="F7" s="22" t="s">
        <v>240</v>
      </c>
      <c r="G7" s="23">
        <v>7.0170080082855009</v>
      </c>
      <c r="H7" s="24">
        <v>4.1583215923387513</v>
      </c>
    </row>
    <row r="8" spans="1:8" ht="12.75" customHeight="1" x14ac:dyDescent="0.2">
      <c r="A8" s="206"/>
      <c r="B8" s="25" t="s">
        <v>241</v>
      </c>
      <c r="C8" s="26">
        <v>463766.99701046338</v>
      </c>
      <c r="D8" s="26">
        <v>464596.61337817641</v>
      </c>
      <c r="E8" s="26">
        <v>487977.85986547085</v>
      </c>
      <c r="F8" s="27"/>
      <c r="G8" s="28">
        <v>5.2204798985429335</v>
      </c>
      <c r="H8" s="29">
        <v>5.0325908140579543</v>
      </c>
    </row>
    <row r="9" spans="1:8" x14ac:dyDescent="0.2">
      <c r="A9" s="30" t="s">
        <v>34</v>
      </c>
      <c r="B9" s="31" t="s">
        <v>3</v>
      </c>
      <c r="C9" s="20">
        <v>10149.056400000001</v>
      </c>
      <c r="D9" s="20">
        <v>9026.7504000000008</v>
      </c>
      <c r="E9" s="21">
        <v>8255.9873218447392</v>
      </c>
      <c r="F9" s="22" t="s">
        <v>240</v>
      </c>
      <c r="G9" s="32">
        <v>-18.652660932648487</v>
      </c>
      <c r="H9" s="33">
        <v>-8.5386550419657254</v>
      </c>
    </row>
    <row r="10" spans="1:8" x14ac:dyDescent="0.2">
      <c r="A10" s="34"/>
      <c r="B10" s="25" t="s">
        <v>241</v>
      </c>
      <c r="C10" s="26">
        <v>6291.5</v>
      </c>
      <c r="D10" s="26">
        <v>4232.3735999999999</v>
      </c>
      <c r="E10" s="26">
        <v>4213.1617999999999</v>
      </c>
      <c r="F10" s="27"/>
      <c r="G10" s="35">
        <v>-33.034065008344598</v>
      </c>
      <c r="H10" s="29">
        <v>-0.45392495596324522</v>
      </c>
    </row>
    <row r="11" spans="1:8" x14ac:dyDescent="0.2">
      <c r="A11" s="30" t="s">
        <v>35</v>
      </c>
      <c r="B11" s="31" t="s">
        <v>3</v>
      </c>
      <c r="C11" s="20">
        <v>3469.444512</v>
      </c>
      <c r="D11" s="20">
        <v>3099.940032</v>
      </c>
      <c r="E11" s="21">
        <v>2956.3446653436949</v>
      </c>
      <c r="F11" s="22" t="s">
        <v>240</v>
      </c>
      <c r="G11" s="37">
        <v>-14.789106581229717</v>
      </c>
      <c r="H11" s="33">
        <v>-4.6321982094492711</v>
      </c>
    </row>
    <row r="12" spans="1:8" x14ac:dyDescent="0.2">
      <c r="A12" s="34"/>
      <c r="B12" s="25" t="s">
        <v>241</v>
      </c>
      <c r="C12" s="26">
        <v>1702.4</v>
      </c>
      <c r="D12" s="26">
        <v>1429.3898880000002</v>
      </c>
      <c r="E12" s="26">
        <v>1391.132944</v>
      </c>
      <c r="F12" s="27"/>
      <c r="G12" s="28">
        <v>-18.284014097744375</v>
      </c>
      <c r="H12" s="29">
        <v>-2.6764526824468646</v>
      </c>
    </row>
    <row r="13" spans="1:8" x14ac:dyDescent="0.2">
      <c r="A13" s="30" t="s">
        <v>36</v>
      </c>
      <c r="B13" s="31" t="s">
        <v>3</v>
      </c>
      <c r="C13" s="20">
        <v>163221.03962666666</v>
      </c>
      <c r="D13" s="20">
        <v>144885.03456</v>
      </c>
      <c r="E13" s="21">
        <v>140157.45944805539</v>
      </c>
      <c r="F13" s="22" t="s">
        <v>240</v>
      </c>
      <c r="G13" s="23">
        <v>-14.130274032909171</v>
      </c>
      <c r="H13" s="24">
        <v>-3.2629837348638091</v>
      </c>
    </row>
    <row r="14" spans="1:8" x14ac:dyDescent="0.2">
      <c r="A14" s="34"/>
      <c r="B14" s="25" t="s">
        <v>241</v>
      </c>
      <c r="C14" s="26">
        <v>84585.333333333328</v>
      </c>
      <c r="D14" s="26">
        <v>73181.612373333337</v>
      </c>
      <c r="E14" s="26">
        <v>71396.429520000005</v>
      </c>
      <c r="F14" s="27"/>
      <c r="G14" s="38">
        <v>-15.592423997856201</v>
      </c>
      <c r="H14" s="24">
        <v>-2.4393871567440755</v>
      </c>
    </row>
    <row r="15" spans="1:8" x14ac:dyDescent="0.2">
      <c r="A15" s="30" t="s">
        <v>18</v>
      </c>
      <c r="B15" s="31" t="s">
        <v>3</v>
      </c>
      <c r="C15" s="20">
        <v>3303.7460799999999</v>
      </c>
      <c r="D15" s="20">
        <v>4883.2428799999998</v>
      </c>
      <c r="E15" s="21">
        <v>2941.7885173597451</v>
      </c>
      <c r="F15" s="22" t="s">
        <v>240</v>
      </c>
      <c r="G15" s="37">
        <v>-10.955974032975774</v>
      </c>
      <c r="H15" s="33">
        <v>-39.757481049975027</v>
      </c>
    </row>
    <row r="16" spans="1:8" x14ac:dyDescent="0.2">
      <c r="A16" s="34"/>
      <c r="B16" s="25" t="s">
        <v>241</v>
      </c>
      <c r="C16" s="26">
        <v>1630.9999999999998</v>
      </c>
      <c r="D16" s="26">
        <v>3233.8499200000001</v>
      </c>
      <c r="E16" s="26">
        <v>1749.0949599999999</v>
      </c>
      <c r="F16" s="27"/>
      <c r="G16" s="28">
        <v>7.2406474555487534</v>
      </c>
      <c r="H16" s="29">
        <v>-45.912921030052011</v>
      </c>
    </row>
    <row r="17" spans="1:9" x14ac:dyDescent="0.2">
      <c r="A17" s="30" t="s">
        <v>37</v>
      </c>
      <c r="B17" s="31" t="s">
        <v>3</v>
      </c>
      <c r="C17" s="20">
        <v>2790.166768</v>
      </c>
      <c r="D17" s="20">
        <v>2548.4100479999997</v>
      </c>
      <c r="E17" s="21">
        <v>1627.3593403946916</v>
      </c>
      <c r="F17" s="22" t="s">
        <v>240</v>
      </c>
      <c r="G17" s="37">
        <v>-41.675194505983328</v>
      </c>
      <c r="H17" s="33">
        <v>-36.142170618427429</v>
      </c>
    </row>
    <row r="18" spans="1:9" x14ac:dyDescent="0.2">
      <c r="A18" s="34"/>
      <c r="B18" s="25" t="s">
        <v>241</v>
      </c>
      <c r="C18" s="26">
        <v>1407.1000000000001</v>
      </c>
      <c r="D18" s="26">
        <v>1225.084832</v>
      </c>
      <c r="E18" s="26">
        <v>794.69941600000004</v>
      </c>
      <c r="F18" s="27"/>
      <c r="G18" s="28">
        <v>-43.522179233885296</v>
      </c>
      <c r="H18" s="29">
        <v>-35.131070498797911</v>
      </c>
    </row>
    <row r="19" spans="1:9" x14ac:dyDescent="0.2">
      <c r="A19" s="30" t="s">
        <v>38</v>
      </c>
      <c r="B19" s="31" t="s">
        <v>3</v>
      </c>
      <c r="C19" s="20">
        <v>5614.7408533333328</v>
      </c>
      <c r="D19" s="20">
        <v>5079.5667199999998</v>
      </c>
      <c r="E19" s="21">
        <v>4486.5976728133955</v>
      </c>
      <c r="F19" s="22" t="s">
        <v>240</v>
      </c>
      <c r="G19" s="23">
        <v>-20.09252448134248</v>
      </c>
      <c r="H19" s="24">
        <v>-11.673614697330009</v>
      </c>
    </row>
    <row r="20" spans="1:9" x14ac:dyDescent="0.2">
      <c r="A20" s="30"/>
      <c r="B20" s="25" t="s">
        <v>241</v>
      </c>
      <c r="C20" s="26">
        <v>2878.6666666666665</v>
      </c>
      <c r="D20" s="26">
        <v>2417.9831466666665</v>
      </c>
      <c r="E20" s="26">
        <v>2187.8882400000002</v>
      </c>
      <c r="F20" s="27"/>
      <c r="G20" s="38">
        <v>-23.996471514590084</v>
      </c>
      <c r="H20" s="24">
        <v>-9.5159847157688375</v>
      </c>
    </row>
    <row r="21" spans="1:9" x14ac:dyDescent="0.2">
      <c r="A21" s="39" t="s">
        <v>39</v>
      </c>
      <c r="B21" s="31" t="s">
        <v>3</v>
      </c>
      <c r="C21" s="20">
        <v>246464.55791999999</v>
      </c>
      <c r="D21" s="20">
        <v>260980.90111999999</v>
      </c>
      <c r="E21" s="21">
        <v>195341.55622656245</v>
      </c>
      <c r="F21" s="22" t="s">
        <v>240</v>
      </c>
      <c r="G21" s="37">
        <v>-20.742536827559434</v>
      </c>
      <c r="H21" s="33">
        <v>-25.151014733931177</v>
      </c>
    </row>
    <row r="22" spans="1:9" x14ac:dyDescent="0.2">
      <c r="A22" s="34"/>
      <c r="B22" s="25" t="s">
        <v>241</v>
      </c>
      <c r="C22" s="26">
        <v>133424</v>
      </c>
      <c r="D22" s="26">
        <v>144568.64608000001</v>
      </c>
      <c r="E22" s="26">
        <v>107375.65304</v>
      </c>
      <c r="F22" s="27"/>
      <c r="G22" s="28">
        <v>-19.522984590478472</v>
      </c>
      <c r="H22" s="29">
        <v>-25.726873736798012</v>
      </c>
    </row>
    <row r="23" spans="1:9" x14ac:dyDescent="0.2">
      <c r="A23" s="39" t="s">
        <v>40</v>
      </c>
      <c r="B23" s="31" t="s">
        <v>3</v>
      </c>
      <c r="C23" s="20">
        <v>192266.22560000001</v>
      </c>
      <c r="D23" s="20">
        <v>208428.00159999999</v>
      </c>
      <c r="E23" s="21">
        <v>237750.3766307293</v>
      </c>
      <c r="F23" s="22" t="s">
        <v>240</v>
      </c>
      <c r="G23" s="23">
        <v>23.656859590803393</v>
      </c>
      <c r="H23" s="24">
        <v>14.06834724971489</v>
      </c>
    </row>
    <row r="24" spans="1:9" x14ac:dyDescent="0.2">
      <c r="A24" s="34"/>
      <c r="B24" s="25" t="s">
        <v>241</v>
      </c>
      <c r="C24" s="26">
        <v>104440</v>
      </c>
      <c r="D24" s="26">
        <v>102383.4944</v>
      </c>
      <c r="E24" s="26">
        <v>120635.64720000001</v>
      </c>
      <c r="F24" s="27"/>
      <c r="G24" s="38">
        <v>15.507130601302194</v>
      </c>
      <c r="H24" s="24">
        <v>17.827241497238845</v>
      </c>
    </row>
    <row r="25" spans="1:9" x14ac:dyDescent="0.2">
      <c r="A25" s="30" t="s">
        <v>41</v>
      </c>
      <c r="B25" s="31" t="s">
        <v>3</v>
      </c>
      <c r="C25" s="20">
        <v>333427.1974</v>
      </c>
      <c r="D25" s="20">
        <v>312814.12640000001</v>
      </c>
      <c r="E25" s="21">
        <v>313294.3364204542</v>
      </c>
      <c r="F25" s="22" t="s">
        <v>240</v>
      </c>
      <c r="G25" s="37">
        <v>-6.0381579956697919</v>
      </c>
      <c r="H25" s="33">
        <v>0.15351289469585083</v>
      </c>
    </row>
    <row r="26" spans="1:9" x14ac:dyDescent="0.2">
      <c r="A26" s="34"/>
      <c r="B26" s="25" t="s">
        <v>241</v>
      </c>
      <c r="C26" s="26">
        <v>162360.75</v>
      </c>
      <c r="D26" s="26">
        <v>156538.8076</v>
      </c>
      <c r="E26" s="26">
        <v>155346.06630000001</v>
      </c>
      <c r="F26" s="27"/>
      <c r="G26" s="28">
        <v>-4.3204307075447588</v>
      </c>
      <c r="H26" s="29">
        <v>-0.76194607477002307</v>
      </c>
    </row>
    <row r="27" spans="1:9" x14ac:dyDescent="0.2">
      <c r="A27" s="30" t="s">
        <v>24</v>
      </c>
      <c r="B27" s="31" t="s">
        <v>3</v>
      </c>
      <c r="C27" s="20">
        <v>176584.81706666667</v>
      </c>
      <c r="D27" s="20">
        <v>180300.33439999999</v>
      </c>
      <c r="E27" s="21">
        <v>247867.3719268984</v>
      </c>
      <c r="F27" s="22" t="s">
        <v>240</v>
      </c>
      <c r="G27" s="23">
        <v>40.367318121874632</v>
      </c>
      <c r="H27" s="24">
        <v>37.474715591486131</v>
      </c>
    </row>
    <row r="28" spans="1:9" ht="13.5" thickBot="1" x14ac:dyDescent="0.25">
      <c r="A28" s="56"/>
      <c r="B28" s="42" t="s">
        <v>241</v>
      </c>
      <c r="C28" s="43">
        <v>87245.333333333343</v>
      </c>
      <c r="D28" s="43">
        <v>87335.66293333334</v>
      </c>
      <c r="E28" s="43">
        <v>120853.7648</v>
      </c>
      <c r="F28" s="44"/>
      <c r="G28" s="57">
        <v>38.521752605679012</v>
      </c>
      <c r="H28" s="46">
        <v>38.378482215509507</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26</v>
      </c>
      <c r="B35" s="19" t="s">
        <v>3</v>
      </c>
      <c r="C35" s="80">
        <v>15832.677050750515</v>
      </c>
      <c r="D35" s="80">
        <v>15502.439866948976</v>
      </c>
      <c r="E35" s="83">
        <v>16254.869310956405</v>
      </c>
      <c r="F35" s="22" t="s">
        <v>240</v>
      </c>
      <c r="G35" s="23">
        <v>2.6665879614204329</v>
      </c>
      <c r="H35" s="24">
        <v>4.8536194977385492</v>
      </c>
    </row>
    <row r="36" spans="1:8" ht="12.75" customHeight="1" x14ac:dyDescent="0.2">
      <c r="A36" s="206"/>
      <c r="B36" s="25" t="s">
        <v>241</v>
      </c>
      <c r="C36" s="82">
        <v>8046.5419179562905</v>
      </c>
      <c r="D36" s="82">
        <v>7792.8489512579672</v>
      </c>
      <c r="E36" s="82">
        <v>8200.8739952118849</v>
      </c>
      <c r="F36" s="27"/>
      <c r="G36" s="28">
        <v>1.9179925840092267</v>
      </c>
      <c r="H36" s="29">
        <v>5.2358905774511726</v>
      </c>
    </row>
    <row r="37" spans="1:8" x14ac:dyDescent="0.2">
      <c r="A37" s="30" t="s">
        <v>34</v>
      </c>
      <c r="B37" s="31" t="s">
        <v>3</v>
      </c>
      <c r="C37" s="84">
        <v>1290.8265800279776</v>
      </c>
      <c r="D37" s="84">
        <v>1173.4909154312006</v>
      </c>
      <c r="E37" s="83">
        <v>1178.0615178884036</v>
      </c>
      <c r="F37" s="22" t="s">
        <v>240</v>
      </c>
      <c r="G37" s="32">
        <v>-8.7358800852342142</v>
      </c>
      <c r="H37" s="33">
        <v>0.38948767281455332</v>
      </c>
    </row>
    <row r="38" spans="1:8" x14ac:dyDescent="0.2">
      <c r="A38" s="34"/>
      <c r="B38" s="25" t="s">
        <v>241</v>
      </c>
      <c r="C38" s="82">
        <v>749.06562014091548</v>
      </c>
      <c r="D38" s="82">
        <v>637.13450385757358</v>
      </c>
      <c r="E38" s="82">
        <v>653.64328139965028</v>
      </c>
      <c r="F38" s="27"/>
      <c r="G38" s="35">
        <v>-12.738849064159979</v>
      </c>
      <c r="H38" s="29">
        <v>2.5910977104713737</v>
      </c>
    </row>
    <row r="39" spans="1:8" x14ac:dyDescent="0.2">
      <c r="A39" s="30" t="s">
        <v>35</v>
      </c>
      <c r="B39" s="31" t="s">
        <v>3</v>
      </c>
      <c r="C39" s="84">
        <v>50.11711659841302</v>
      </c>
      <c r="D39" s="84">
        <v>55.412940768714726</v>
      </c>
      <c r="E39" s="83">
        <v>42.614244065995464</v>
      </c>
      <c r="F39" s="22" t="s">
        <v>240</v>
      </c>
      <c r="G39" s="37">
        <v>-14.970678765376405</v>
      </c>
      <c r="H39" s="33">
        <v>-23.096945452036366</v>
      </c>
    </row>
    <row r="40" spans="1:8" x14ac:dyDescent="0.2">
      <c r="A40" s="34"/>
      <c r="B40" s="25" t="s">
        <v>241</v>
      </c>
      <c r="C40" s="82">
        <v>29.075764799209299</v>
      </c>
      <c r="D40" s="82">
        <v>33.011774154702081</v>
      </c>
      <c r="E40" s="82">
        <v>25.161754158025349</v>
      </c>
      <c r="F40" s="27"/>
      <c r="G40" s="28">
        <v>-13.461419392450139</v>
      </c>
      <c r="H40" s="29">
        <v>-23.779455051065781</v>
      </c>
    </row>
    <row r="41" spans="1:8" x14ac:dyDescent="0.2">
      <c r="A41" s="30" t="s">
        <v>36</v>
      </c>
      <c r="B41" s="31" t="s">
        <v>3</v>
      </c>
      <c r="C41" s="84">
        <v>2902.8218499061222</v>
      </c>
      <c r="D41" s="84">
        <v>2649.3064202585674</v>
      </c>
      <c r="E41" s="83">
        <v>2856.6332489169749</v>
      </c>
      <c r="F41" s="22" t="s">
        <v>240</v>
      </c>
      <c r="G41" s="23">
        <v>-1.5911620959667516</v>
      </c>
      <c r="H41" s="24">
        <v>7.8257021186010149</v>
      </c>
    </row>
    <row r="42" spans="1:8" x14ac:dyDescent="0.2">
      <c r="A42" s="34"/>
      <c r="B42" s="25" t="s">
        <v>241</v>
      </c>
      <c r="C42" s="82">
        <v>1447.4257961278433</v>
      </c>
      <c r="D42" s="82">
        <v>1262.2653719910588</v>
      </c>
      <c r="E42" s="82">
        <v>1381.5271360771787</v>
      </c>
      <c r="F42" s="27"/>
      <c r="G42" s="38">
        <v>-4.5528178526979985</v>
      </c>
      <c r="H42" s="24">
        <v>9.4482322602259075</v>
      </c>
    </row>
    <row r="43" spans="1:8" x14ac:dyDescent="0.2">
      <c r="A43" s="30" t="s">
        <v>18</v>
      </c>
      <c r="B43" s="31" t="s">
        <v>3</v>
      </c>
      <c r="C43" s="84">
        <v>266.32922584417429</v>
      </c>
      <c r="D43" s="84">
        <v>400.10805758700963</v>
      </c>
      <c r="E43" s="83">
        <v>245.93047506498411</v>
      </c>
      <c r="F43" s="22" t="s">
        <v>240</v>
      </c>
      <c r="G43" s="37">
        <v>-7.6592235472967616</v>
      </c>
      <c r="H43" s="33">
        <v>-38.533985906669031</v>
      </c>
    </row>
    <row r="44" spans="1:8" x14ac:dyDescent="0.2">
      <c r="A44" s="34"/>
      <c r="B44" s="25" t="s">
        <v>241</v>
      </c>
      <c r="C44" s="82">
        <v>145.16111418247908</v>
      </c>
      <c r="D44" s="82">
        <v>264.16874485668859</v>
      </c>
      <c r="E44" s="82">
        <v>151.68720751265673</v>
      </c>
      <c r="F44" s="27"/>
      <c r="G44" s="28">
        <v>4.4957586382079029</v>
      </c>
      <c r="H44" s="29">
        <v>-42.57942679973479</v>
      </c>
    </row>
    <row r="45" spans="1:8" x14ac:dyDescent="0.2">
      <c r="A45" s="30" t="s">
        <v>37</v>
      </c>
      <c r="B45" s="31" t="s">
        <v>3</v>
      </c>
      <c r="C45" s="84">
        <v>134.5963927207346</v>
      </c>
      <c r="D45" s="84">
        <v>104.28416813535031</v>
      </c>
      <c r="E45" s="83">
        <v>63.404877892047402</v>
      </c>
      <c r="F45" s="22" t="s">
        <v>240</v>
      </c>
      <c r="G45" s="37">
        <v>-52.892587527511154</v>
      </c>
      <c r="H45" s="33">
        <v>-39.199900593008252</v>
      </c>
    </row>
    <row r="46" spans="1:8" x14ac:dyDescent="0.2">
      <c r="A46" s="34"/>
      <c r="B46" s="25" t="s">
        <v>241</v>
      </c>
      <c r="C46" s="82">
        <v>69.410516106018875</v>
      </c>
      <c r="D46" s="82">
        <v>52.09751582292914</v>
      </c>
      <c r="E46" s="82">
        <v>32.008884730416611</v>
      </c>
      <c r="F46" s="27"/>
      <c r="G46" s="28">
        <v>-53.884675512964549</v>
      </c>
      <c r="H46" s="29">
        <v>-38.559671752469868</v>
      </c>
    </row>
    <row r="47" spans="1:8" x14ac:dyDescent="0.2">
      <c r="A47" s="30" t="s">
        <v>38</v>
      </c>
      <c r="B47" s="31" t="s">
        <v>3</v>
      </c>
      <c r="C47" s="84">
        <v>126.50901799240218</v>
      </c>
      <c r="D47" s="84">
        <v>105.82605388393577</v>
      </c>
      <c r="E47" s="83">
        <v>81.792535092810581</v>
      </c>
      <c r="F47" s="22" t="s">
        <v>240</v>
      </c>
      <c r="G47" s="23">
        <v>-35.346478542958224</v>
      </c>
      <c r="H47" s="24">
        <v>-22.710398724196821</v>
      </c>
    </row>
    <row r="48" spans="1:8" x14ac:dyDescent="0.2">
      <c r="A48" s="30"/>
      <c r="B48" s="25" t="s">
        <v>241</v>
      </c>
      <c r="C48" s="82">
        <v>65.879526151365894</v>
      </c>
      <c r="D48" s="82">
        <v>49.768255429358703</v>
      </c>
      <c r="E48" s="82">
        <v>39.749740831337036</v>
      </c>
      <c r="F48" s="27"/>
      <c r="G48" s="38">
        <v>-39.66298309431162</v>
      </c>
      <c r="H48" s="24">
        <v>-20.130331094771833</v>
      </c>
    </row>
    <row r="49" spans="1:9" x14ac:dyDescent="0.2">
      <c r="A49" s="39" t="s">
        <v>39</v>
      </c>
      <c r="B49" s="31" t="s">
        <v>3</v>
      </c>
      <c r="C49" s="84">
        <v>1593.2205910805935</v>
      </c>
      <c r="D49" s="84">
        <v>1683.7532472702128</v>
      </c>
      <c r="E49" s="83">
        <v>1364.2602964347236</v>
      </c>
      <c r="F49" s="22" t="s">
        <v>240</v>
      </c>
      <c r="G49" s="37">
        <v>-14.370909836821696</v>
      </c>
      <c r="H49" s="33">
        <v>-18.975045859805618</v>
      </c>
    </row>
    <row r="50" spans="1:9" x14ac:dyDescent="0.2">
      <c r="A50" s="34"/>
      <c r="B50" s="25" t="s">
        <v>241</v>
      </c>
      <c r="C50" s="82">
        <v>818.78967411403494</v>
      </c>
      <c r="D50" s="82">
        <v>892.47476714259221</v>
      </c>
      <c r="E50" s="82">
        <v>715.64034266029489</v>
      </c>
      <c r="F50" s="27"/>
      <c r="G50" s="28">
        <v>-12.597781178097051</v>
      </c>
      <c r="H50" s="29">
        <v>-19.813941076279662</v>
      </c>
    </row>
    <row r="51" spans="1:9" x14ac:dyDescent="0.2">
      <c r="A51" s="39" t="s">
        <v>40</v>
      </c>
      <c r="B51" s="31" t="s">
        <v>3</v>
      </c>
      <c r="C51" s="84">
        <v>863.94073953695613</v>
      </c>
      <c r="D51" s="84">
        <v>850.75359543371462</v>
      </c>
      <c r="E51" s="83">
        <v>1147.9147855464453</v>
      </c>
      <c r="F51" s="22" t="s">
        <v>240</v>
      </c>
      <c r="G51" s="23">
        <v>32.869620914241182</v>
      </c>
      <c r="H51" s="24">
        <v>34.929172407580324</v>
      </c>
    </row>
    <row r="52" spans="1:9" x14ac:dyDescent="0.2">
      <c r="A52" s="34"/>
      <c r="B52" s="25" t="s">
        <v>241</v>
      </c>
      <c r="C52" s="82">
        <v>424.30463450776989</v>
      </c>
      <c r="D52" s="82">
        <v>413.60537468702853</v>
      </c>
      <c r="E52" s="82">
        <v>559.960686570235</v>
      </c>
      <c r="F52" s="27"/>
      <c r="G52" s="38">
        <v>31.971381179901073</v>
      </c>
      <c r="H52" s="24">
        <v>35.385253877310532</v>
      </c>
    </row>
    <row r="53" spans="1:9" x14ac:dyDescent="0.2">
      <c r="A53" s="30" t="s">
        <v>41</v>
      </c>
      <c r="B53" s="31" t="s">
        <v>3</v>
      </c>
      <c r="C53" s="84">
        <v>7804.6326024530808</v>
      </c>
      <c r="D53" s="84">
        <v>7376.5297567928401</v>
      </c>
      <c r="E53" s="83">
        <v>7793.4273856019736</v>
      </c>
      <c r="F53" s="22" t="s">
        <v>240</v>
      </c>
      <c r="G53" s="37">
        <v>-0.14357135590962855</v>
      </c>
      <c r="H53" s="33">
        <v>5.6516769070879604</v>
      </c>
    </row>
    <row r="54" spans="1:9" x14ac:dyDescent="0.2">
      <c r="A54" s="34"/>
      <c r="B54" s="25" t="s">
        <v>241</v>
      </c>
      <c r="C54" s="82">
        <v>3870.8740176722463</v>
      </c>
      <c r="D54" s="82">
        <v>3675.6158107062129</v>
      </c>
      <c r="E54" s="82">
        <v>3877.3200106495456</v>
      </c>
      <c r="F54" s="27"/>
      <c r="G54" s="28">
        <v>0.16652551717959341</v>
      </c>
      <c r="H54" s="29">
        <v>5.4876301096489897</v>
      </c>
    </row>
    <row r="55" spans="1:9" x14ac:dyDescent="0.2">
      <c r="A55" s="30" t="s">
        <v>24</v>
      </c>
      <c r="B55" s="31" t="s">
        <v>3</v>
      </c>
      <c r="C55" s="84">
        <v>799.68293459006009</v>
      </c>
      <c r="D55" s="84">
        <v>1102.9747113874296</v>
      </c>
      <c r="E55" s="83">
        <v>1573.5130399528989</v>
      </c>
      <c r="F55" s="22" t="s">
        <v>240</v>
      </c>
      <c r="G55" s="23">
        <v>96.767115051608016</v>
      </c>
      <c r="H55" s="24">
        <v>42.660844687325636</v>
      </c>
    </row>
    <row r="56" spans="1:9" ht="13.5" thickBot="1" x14ac:dyDescent="0.25">
      <c r="A56" s="56"/>
      <c r="B56" s="42" t="s">
        <v>241</v>
      </c>
      <c r="C56" s="86">
        <v>426.55525415440638</v>
      </c>
      <c r="D56" s="86">
        <v>512.70683260982105</v>
      </c>
      <c r="E56" s="86">
        <v>764.17495062254477</v>
      </c>
      <c r="F56" s="44"/>
      <c r="G56" s="57">
        <v>79.150284325398388</v>
      </c>
      <c r="H56" s="46">
        <v>49.047155609899079</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0">
        <v>12</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17</v>
      </c>
      <c r="B7" s="19" t="s">
        <v>3</v>
      </c>
      <c r="C7" s="20">
        <v>436422.05680252536</v>
      </c>
      <c r="D7" s="20">
        <v>479818.33846073353</v>
      </c>
      <c r="E7" s="21">
        <v>508310.24170049524</v>
      </c>
      <c r="F7" s="22" t="s">
        <v>240</v>
      </c>
      <c r="G7" s="23">
        <v>16.472170408769742</v>
      </c>
      <c r="H7" s="24">
        <v>5.9380605024735615</v>
      </c>
    </row>
    <row r="8" spans="1:8" x14ac:dyDescent="0.2">
      <c r="A8" s="206"/>
      <c r="B8" s="25" t="s">
        <v>241</v>
      </c>
      <c r="C8" s="26">
        <v>202199.83768464744</v>
      </c>
      <c r="D8" s="26">
        <v>216206.78834397183</v>
      </c>
      <c r="E8" s="26">
        <v>231159.27541463927</v>
      </c>
      <c r="F8" s="27"/>
      <c r="G8" s="28">
        <v>14.32218643773453</v>
      </c>
      <c r="H8" s="29">
        <v>6.9158268272682335</v>
      </c>
    </row>
    <row r="9" spans="1:8" x14ac:dyDescent="0.2">
      <c r="A9" s="30" t="s">
        <v>18</v>
      </c>
      <c r="B9" s="31" t="s">
        <v>3</v>
      </c>
      <c r="C9" s="20">
        <v>31193.199773913042</v>
      </c>
      <c r="D9" s="20">
        <v>27408.687252173913</v>
      </c>
      <c r="E9" s="21">
        <v>29979.267058234058</v>
      </c>
      <c r="F9" s="22" t="s">
        <v>240</v>
      </c>
      <c r="G9" s="32">
        <v>-3.8916581962655812</v>
      </c>
      <c r="H9" s="33">
        <v>9.3787045778934868</v>
      </c>
    </row>
    <row r="10" spans="1:8" x14ac:dyDescent="0.2">
      <c r="A10" s="34"/>
      <c r="B10" s="25" t="s">
        <v>241</v>
      </c>
      <c r="C10" s="26">
        <v>12475.85835652174</v>
      </c>
      <c r="D10" s="26">
        <v>12376.969608294783</v>
      </c>
      <c r="E10" s="26">
        <v>12979.410973913044</v>
      </c>
      <c r="F10" s="27"/>
      <c r="G10" s="35">
        <v>4.0362162105509185</v>
      </c>
      <c r="H10" s="29">
        <v>4.8674383527169454</v>
      </c>
    </row>
    <row r="11" spans="1:8" x14ac:dyDescent="0.2">
      <c r="A11" s="30" t="s">
        <v>19</v>
      </c>
      <c r="B11" s="31" t="s">
        <v>3</v>
      </c>
      <c r="C11" s="20">
        <v>70509.665913043485</v>
      </c>
      <c r="D11" s="20">
        <v>69574.624173913035</v>
      </c>
      <c r="E11" s="21">
        <v>92111.720457525735</v>
      </c>
      <c r="F11" s="22" t="s">
        <v>240</v>
      </c>
      <c r="G11" s="37">
        <v>30.637011627771898</v>
      </c>
      <c r="H11" s="33">
        <v>32.392695686400799</v>
      </c>
    </row>
    <row r="12" spans="1:8" x14ac:dyDescent="0.2">
      <c r="A12" s="34"/>
      <c r="B12" s="25" t="s">
        <v>241</v>
      </c>
      <c r="C12" s="26">
        <v>32258.194521739133</v>
      </c>
      <c r="D12" s="26">
        <v>32818.565360982611</v>
      </c>
      <c r="E12" s="26">
        <v>43004.369913043476</v>
      </c>
      <c r="F12" s="27"/>
      <c r="G12" s="28">
        <v>33.313009455821771</v>
      </c>
      <c r="H12" s="29">
        <v>31.03671485948189</v>
      </c>
    </row>
    <row r="13" spans="1:8" x14ac:dyDescent="0.2">
      <c r="A13" s="30" t="s">
        <v>20</v>
      </c>
      <c r="B13" s="31" t="s">
        <v>3</v>
      </c>
      <c r="C13" s="20">
        <v>34331.50757763975</v>
      </c>
      <c r="D13" s="20">
        <v>36547.916273291921</v>
      </c>
      <c r="E13" s="21">
        <v>31051.352850801763</v>
      </c>
      <c r="F13" s="22" t="s">
        <v>240</v>
      </c>
      <c r="G13" s="23">
        <v>-9.5543567943237235</v>
      </c>
      <c r="H13" s="24">
        <v>-15.039334613193461</v>
      </c>
    </row>
    <row r="14" spans="1:8" x14ac:dyDescent="0.2">
      <c r="A14" s="34"/>
      <c r="B14" s="25" t="s">
        <v>241</v>
      </c>
      <c r="C14" s="26">
        <v>15643.568819875776</v>
      </c>
      <c r="D14" s="26">
        <v>16063.983505229813</v>
      </c>
      <c r="E14" s="26">
        <v>13811.033291925465</v>
      </c>
      <c r="F14" s="27"/>
      <c r="G14" s="38">
        <v>-11.714306045190924</v>
      </c>
      <c r="H14" s="24">
        <v>-14.024853876193745</v>
      </c>
    </row>
    <row r="15" spans="1:8" x14ac:dyDescent="0.2">
      <c r="A15" s="30" t="s">
        <v>21</v>
      </c>
      <c r="B15" s="31" t="s">
        <v>3</v>
      </c>
      <c r="C15" s="20">
        <v>5193.3147101449276</v>
      </c>
      <c r="D15" s="20">
        <v>6986.5589130434782</v>
      </c>
      <c r="E15" s="21">
        <v>8767.8252618665574</v>
      </c>
      <c r="F15" s="22" t="s">
        <v>240</v>
      </c>
      <c r="G15" s="37">
        <v>68.829076442045192</v>
      </c>
      <c r="H15" s="33">
        <v>25.495617670918989</v>
      </c>
    </row>
    <row r="16" spans="1:8" x14ac:dyDescent="0.2">
      <c r="A16" s="34"/>
      <c r="B16" s="25" t="s">
        <v>241</v>
      </c>
      <c r="C16" s="26">
        <v>2591.415905797101</v>
      </c>
      <c r="D16" s="26">
        <v>3248.4118556920289</v>
      </c>
      <c r="E16" s="26">
        <v>4171.4680434782604</v>
      </c>
      <c r="F16" s="27"/>
      <c r="G16" s="28">
        <v>60.97254146455299</v>
      </c>
      <c r="H16" s="29">
        <v>28.415614423054336</v>
      </c>
    </row>
    <row r="17" spans="1:8" x14ac:dyDescent="0.2">
      <c r="A17" s="30" t="s">
        <v>22</v>
      </c>
      <c r="B17" s="31" t="s">
        <v>3</v>
      </c>
      <c r="C17" s="20">
        <v>7586.3147101449276</v>
      </c>
      <c r="D17" s="20">
        <v>6720.5589130434782</v>
      </c>
      <c r="E17" s="21">
        <v>5826.377506772953</v>
      </c>
      <c r="F17" s="22" t="s">
        <v>240</v>
      </c>
      <c r="G17" s="37">
        <v>-23.198842529146191</v>
      </c>
      <c r="H17" s="33">
        <v>-13.305164315055237</v>
      </c>
    </row>
    <row r="18" spans="1:8" x14ac:dyDescent="0.2">
      <c r="A18" s="34"/>
      <c r="B18" s="25" t="s">
        <v>241</v>
      </c>
      <c r="C18" s="26">
        <v>7788.415905797101</v>
      </c>
      <c r="D18" s="26">
        <v>2828.4118556920289</v>
      </c>
      <c r="E18" s="26">
        <v>3052.4680434782608</v>
      </c>
      <c r="F18" s="27"/>
      <c r="G18" s="28">
        <v>-60.807588084680518</v>
      </c>
      <c r="H18" s="29">
        <v>7.9216252518292407</v>
      </c>
    </row>
    <row r="19" spans="1:8" x14ac:dyDescent="0.2">
      <c r="A19" s="30" t="s">
        <v>189</v>
      </c>
      <c r="B19" s="31" t="s">
        <v>3</v>
      </c>
      <c r="C19" s="20">
        <v>248706.26894409937</v>
      </c>
      <c r="D19" s="20">
        <v>287166.7906832298</v>
      </c>
      <c r="E19" s="21">
        <v>307060.94897881296</v>
      </c>
      <c r="F19" s="22" t="s">
        <v>240</v>
      </c>
      <c r="G19" s="23">
        <v>23.463292776037619</v>
      </c>
      <c r="H19" s="24">
        <v>6.9277364030328101</v>
      </c>
    </row>
    <row r="20" spans="1:8" x14ac:dyDescent="0.2">
      <c r="A20" s="30"/>
      <c r="B20" s="25" t="s">
        <v>241</v>
      </c>
      <c r="C20" s="26">
        <v>99739.422049689441</v>
      </c>
      <c r="D20" s="26">
        <v>127284.95876307454</v>
      </c>
      <c r="E20" s="26">
        <v>131489.58322981367</v>
      </c>
      <c r="F20" s="27"/>
      <c r="G20" s="38">
        <v>31.833111248936774</v>
      </c>
      <c r="H20" s="24">
        <v>3.3033160458224557</v>
      </c>
    </row>
    <row r="21" spans="1:8" x14ac:dyDescent="0.2">
      <c r="A21" s="39" t="s">
        <v>12</v>
      </c>
      <c r="B21" s="31" t="s">
        <v>3</v>
      </c>
      <c r="C21" s="20">
        <v>1977.3888260869564</v>
      </c>
      <c r="D21" s="20">
        <v>2391.1353478260871</v>
      </c>
      <c r="E21" s="21">
        <v>2569.1614436437253</v>
      </c>
      <c r="F21" s="22" t="s">
        <v>240</v>
      </c>
      <c r="G21" s="37">
        <v>29.92697287198817</v>
      </c>
      <c r="H21" s="33">
        <v>7.4452538196757416</v>
      </c>
    </row>
    <row r="22" spans="1:8" x14ac:dyDescent="0.2">
      <c r="A22" s="34"/>
      <c r="B22" s="25" t="s">
        <v>241</v>
      </c>
      <c r="C22" s="26">
        <v>937.8495434782609</v>
      </c>
      <c r="D22" s="26">
        <v>1068.0471134152174</v>
      </c>
      <c r="E22" s="26">
        <v>1170.2808260869565</v>
      </c>
      <c r="F22" s="27"/>
      <c r="G22" s="28">
        <v>24.78342973294663</v>
      </c>
      <c r="H22" s="29">
        <v>9.5720227495239953</v>
      </c>
    </row>
    <row r="23" spans="1:8" x14ac:dyDescent="0.2">
      <c r="A23" s="39" t="s">
        <v>23</v>
      </c>
      <c r="B23" s="31" t="s">
        <v>3</v>
      </c>
      <c r="C23" s="20">
        <v>13174.314710144927</v>
      </c>
      <c r="D23" s="20">
        <v>13589.558913043478</v>
      </c>
      <c r="E23" s="21">
        <v>14048.449334466022</v>
      </c>
      <c r="F23" s="22" t="s">
        <v>240</v>
      </c>
      <c r="G23" s="23">
        <v>6.6351430306121699</v>
      </c>
      <c r="H23" s="24">
        <v>3.3767867254476727</v>
      </c>
    </row>
    <row r="24" spans="1:8" x14ac:dyDescent="0.2">
      <c r="A24" s="34"/>
      <c r="B24" s="25" t="s">
        <v>241</v>
      </c>
      <c r="C24" s="26">
        <v>6512.415905797101</v>
      </c>
      <c r="D24" s="26">
        <v>6694.4118556920293</v>
      </c>
      <c r="E24" s="26">
        <v>6928.4680434782604</v>
      </c>
      <c r="F24" s="27"/>
      <c r="G24" s="28">
        <v>6.3885990038014171</v>
      </c>
      <c r="H24" s="29">
        <v>3.4962920243280422</v>
      </c>
    </row>
    <row r="25" spans="1:8" x14ac:dyDescent="0.2">
      <c r="A25" s="30" t="s">
        <v>24</v>
      </c>
      <c r="B25" s="31" t="s">
        <v>3</v>
      </c>
      <c r="C25" s="20">
        <v>34043.629420289857</v>
      </c>
      <c r="D25" s="20">
        <v>41764.117826086956</v>
      </c>
      <c r="E25" s="21">
        <v>39377.851085288879</v>
      </c>
      <c r="F25" s="22" t="s">
        <v>240</v>
      </c>
      <c r="G25" s="23">
        <v>15.668780784635871</v>
      </c>
      <c r="H25" s="24">
        <v>-5.7136768714591568</v>
      </c>
    </row>
    <row r="26" spans="1:8" ht="13.5" thickBot="1" x14ac:dyDescent="0.25">
      <c r="A26" s="41"/>
      <c r="B26" s="42" t="s">
        <v>241</v>
      </c>
      <c r="C26" s="43">
        <v>28777.831811594202</v>
      </c>
      <c r="D26" s="43">
        <v>20022.823711384059</v>
      </c>
      <c r="E26" s="43">
        <v>22061.936086956521</v>
      </c>
      <c r="F26" s="44"/>
      <c r="G26" s="45">
        <v>-23.337045572460184</v>
      </c>
      <c r="H26" s="46">
        <v>10.183940112368447</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x14ac:dyDescent="0.2">
      <c r="A35" s="205" t="s">
        <v>17</v>
      </c>
      <c r="B35" s="19" t="s">
        <v>3</v>
      </c>
      <c r="C35" s="80">
        <v>8866.8966085764332</v>
      </c>
      <c r="D35" s="80">
        <v>8740.3543440821522</v>
      </c>
      <c r="E35" s="83">
        <v>10352.998925004771</v>
      </c>
      <c r="F35" s="22" t="s">
        <v>240</v>
      </c>
      <c r="G35" s="23">
        <v>16.760117795790208</v>
      </c>
      <c r="H35" s="24">
        <v>18.450562957032687</v>
      </c>
    </row>
    <row r="36" spans="1:8" x14ac:dyDescent="0.2">
      <c r="A36" s="206"/>
      <c r="B36" s="25" t="s">
        <v>241</v>
      </c>
      <c r="C36" s="82">
        <v>4062.097701355669</v>
      </c>
      <c r="D36" s="82">
        <v>4291.2065040304742</v>
      </c>
      <c r="E36" s="82">
        <v>4964.3175105394348</v>
      </c>
      <c r="F36" s="27"/>
      <c r="G36" s="28">
        <v>22.210687076351277</v>
      </c>
      <c r="H36" s="29">
        <v>15.685821828354051</v>
      </c>
    </row>
    <row r="37" spans="1:8" x14ac:dyDescent="0.2">
      <c r="A37" s="30" t="s">
        <v>18</v>
      </c>
      <c r="B37" s="31" t="s">
        <v>3</v>
      </c>
      <c r="C37" s="80">
        <v>2867.3178072613055</v>
      </c>
      <c r="D37" s="80">
        <v>2536.459741980294</v>
      </c>
      <c r="E37" s="83">
        <v>2880.7852128888658</v>
      </c>
      <c r="F37" s="22" t="s">
        <v>240</v>
      </c>
      <c r="G37" s="32">
        <v>0.46968653399545701</v>
      </c>
      <c r="H37" s="33">
        <v>13.575041827383629</v>
      </c>
    </row>
    <row r="38" spans="1:8" x14ac:dyDescent="0.2">
      <c r="A38" s="34"/>
      <c r="B38" s="25" t="s">
        <v>241</v>
      </c>
      <c r="C38" s="82">
        <v>1395.1058473316757</v>
      </c>
      <c r="D38" s="82">
        <v>1382.8968774969635</v>
      </c>
      <c r="E38" s="82">
        <v>1509.951778555057</v>
      </c>
      <c r="F38" s="27"/>
      <c r="G38" s="35">
        <v>8.2320586243000378</v>
      </c>
      <c r="H38" s="29">
        <v>9.1875904216417155</v>
      </c>
    </row>
    <row r="39" spans="1:8" x14ac:dyDescent="0.2">
      <c r="A39" s="30" t="s">
        <v>19</v>
      </c>
      <c r="B39" s="31" t="s">
        <v>3</v>
      </c>
      <c r="C39" s="80">
        <v>3233.0145650993327</v>
      </c>
      <c r="D39" s="80">
        <v>2983.9453053103266</v>
      </c>
      <c r="E39" s="83">
        <v>4100.1002444435962</v>
      </c>
      <c r="F39" s="22" t="s">
        <v>240</v>
      </c>
      <c r="G39" s="37">
        <v>26.819726972607157</v>
      </c>
      <c r="H39" s="33">
        <v>37.405341751637451</v>
      </c>
    </row>
    <row r="40" spans="1:8" x14ac:dyDescent="0.2">
      <c r="A40" s="34"/>
      <c r="B40" s="25" t="s">
        <v>241</v>
      </c>
      <c r="C40" s="82">
        <v>1370.9734004788904</v>
      </c>
      <c r="D40" s="82">
        <v>1399.4047500481038</v>
      </c>
      <c r="E40" s="82">
        <v>1857.2711508051623</v>
      </c>
      <c r="F40" s="27"/>
      <c r="G40" s="28">
        <v>35.470983620572412</v>
      </c>
      <c r="H40" s="29">
        <v>32.7186541807379</v>
      </c>
    </row>
    <row r="41" spans="1:8" x14ac:dyDescent="0.2">
      <c r="A41" s="30" t="s">
        <v>20</v>
      </c>
      <c r="B41" s="31" t="s">
        <v>3</v>
      </c>
      <c r="C41" s="80">
        <v>398.01623132637656</v>
      </c>
      <c r="D41" s="80">
        <v>402.88467715266017</v>
      </c>
      <c r="E41" s="83">
        <v>351.27532487294673</v>
      </c>
      <c r="F41" s="22" t="s">
        <v>240</v>
      </c>
      <c r="G41" s="23">
        <v>-11.743467420327875</v>
      </c>
      <c r="H41" s="24">
        <v>-12.809956597122635</v>
      </c>
    </row>
    <row r="42" spans="1:8" x14ac:dyDescent="0.2">
      <c r="A42" s="34"/>
      <c r="B42" s="25" t="s">
        <v>241</v>
      </c>
      <c r="C42" s="82">
        <v>184.90346538867234</v>
      </c>
      <c r="D42" s="82">
        <v>188.52537640227018</v>
      </c>
      <c r="E42" s="82">
        <v>163.97812336460277</v>
      </c>
      <c r="F42" s="27"/>
      <c r="G42" s="38">
        <v>-11.316900946168801</v>
      </c>
      <c r="H42" s="24">
        <v>-13.020662526242191</v>
      </c>
    </row>
    <row r="43" spans="1:8" x14ac:dyDescent="0.2">
      <c r="A43" s="30" t="s">
        <v>21</v>
      </c>
      <c r="B43" s="31" t="s">
        <v>3</v>
      </c>
      <c r="C43" s="80">
        <v>50.789542562724669</v>
      </c>
      <c r="D43" s="80">
        <v>67.030808103509273</v>
      </c>
      <c r="E43" s="83">
        <v>78.188694930679148</v>
      </c>
      <c r="F43" s="22" t="s">
        <v>240</v>
      </c>
      <c r="G43" s="37">
        <v>53.946444455798655</v>
      </c>
      <c r="H43" s="33">
        <v>16.645908266449382</v>
      </c>
    </row>
    <row r="44" spans="1:8" x14ac:dyDescent="0.2">
      <c r="A44" s="34"/>
      <c r="B44" s="25" t="s">
        <v>241</v>
      </c>
      <c r="C44" s="82">
        <v>24.709773210930607</v>
      </c>
      <c r="D44" s="82">
        <v>32.533745274813356</v>
      </c>
      <c r="E44" s="82">
        <v>37.979412955675045</v>
      </c>
      <c r="F44" s="27"/>
      <c r="G44" s="28">
        <v>53.701989214836203</v>
      </c>
      <c r="H44" s="29">
        <v>16.738520680179917</v>
      </c>
    </row>
    <row r="45" spans="1:8" x14ac:dyDescent="0.2">
      <c r="A45" s="30" t="s">
        <v>22</v>
      </c>
      <c r="B45" s="31" t="s">
        <v>3</v>
      </c>
      <c r="C45" s="80">
        <v>35.716650817172884</v>
      </c>
      <c r="D45" s="80">
        <v>33.438433235771839</v>
      </c>
      <c r="E45" s="83">
        <v>27.867102810934135</v>
      </c>
      <c r="F45" s="22" t="s">
        <v>240</v>
      </c>
      <c r="G45" s="37">
        <v>-21.977279018738841</v>
      </c>
      <c r="H45" s="33">
        <v>-16.661457747002316</v>
      </c>
    </row>
    <row r="46" spans="1:8" x14ac:dyDescent="0.2">
      <c r="A46" s="34"/>
      <c r="B46" s="25" t="s">
        <v>241</v>
      </c>
      <c r="C46" s="82">
        <v>47.409856111533017</v>
      </c>
      <c r="D46" s="82">
        <v>13.550588622490988</v>
      </c>
      <c r="E46" s="82">
        <v>14.696012636411679</v>
      </c>
      <c r="F46" s="27"/>
      <c r="G46" s="28">
        <v>-69.002199454394258</v>
      </c>
      <c r="H46" s="29">
        <v>8.4529465533293546</v>
      </c>
    </row>
    <row r="47" spans="1:8" x14ac:dyDescent="0.2">
      <c r="A47" s="30" t="s">
        <v>189</v>
      </c>
      <c r="B47" s="31" t="s">
        <v>3</v>
      </c>
      <c r="C47" s="80">
        <v>1278.8408761161497</v>
      </c>
      <c r="D47" s="80">
        <v>1488.2956952963564</v>
      </c>
      <c r="E47" s="83">
        <v>1586.5251416987289</v>
      </c>
      <c r="F47" s="22" t="s">
        <v>240</v>
      </c>
      <c r="G47" s="23">
        <v>24.059620812013677</v>
      </c>
      <c r="H47" s="24">
        <v>6.6001297129877514</v>
      </c>
    </row>
    <row r="48" spans="1:8" x14ac:dyDescent="0.2">
      <c r="A48" s="30"/>
      <c r="B48" s="25" t="s">
        <v>241</v>
      </c>
      <c r="C48" s="82">
        <v>570.93667709330634</v>
      </c>
      <c r="D48" s="82">
        <v>698.63474915626773</v>
      </c>
      <c r="E48" s="82">
        <v>732.18799387885645</v>
      </c>
      <c r="F48" s="27"/>
      <c r="G48" s="38">
        <v>28.24329268991724</v>
      </c>
      <c r="H48" s="24">
        <v>4.8026876365812683</v>
      </c>
    </row>
    <row r="49" spans="1:8" x14ac:dyDescent="0.2">
      <c r="A49" s="39" t="s">
        <v>12</v>
      </c>
      <c r="B49" s="31" t="s">
        <v>3</v>
      </c>
      <c r="C49" s="80">
        <v>35.355077256815157</v>
      </c>
      <c r="D49" s="80">
        <v>25.390669657697376</v>
      </c>
      <c r="E49" s="83">
        <v>34.703151168078882</v>
      </c>
      <c r="F49" s="22" t="s">
        <v>240</v>
      </c>
      <c r="G49" s="37">
        <v>-1.843939086883509</v>
      </c>
      <c r="H49" s="33">
        <v>36.676785748178787</v>
      </c>
    </row>
    <row r="50" spans="1:8" x14ac:dyDescent="0.2">
      <c r="A50" s="34"/>
      <c r="B50" s="25" t="s">
        <v>241</v>
      </c>
      <c r="C50" s="82">
        <v>14.873526721259932</v>
      </c>
      <c r="D50" s="82">
        <v>11.22395017983434</v>
      </c>
      <c r="E50" s="82">
        <v>15.085220915613856</v>
      </c>
      <c r="F50" s="27"/>
      <c r="G50" s="28">
        <v>1.4232952165361894</v>
      </c>
      <c r="H50" s="29">
        <v>34.402065885118787</v>
      </c>
    </row>
    <row r="51" spans="1:8" x14ac:dyDescent="0.2">
      <c r="A51" s="39" t="s">
        <v>23</v>
      </c>
      <c r="B51" s="31" t="s">
        <v>3</v>
      </c>
      <c r="C51" s="80">
        <v>315.15993797119836</v>
      </c>
      <c r="D51" s="80">
        <v>346.31066871556175</v>
      </c>
      <c r="E51" s="83">
        <v>380.92681199440642</v>
      </c>
      <c r="F51" s="22" t="s">
        <v>240</v>
      </c>
      <c r="G51" s="23">
        <v>20.867777309062149</v>
      </c>
      <c r="H51" s="24">
        <v>9.995690692184894</v>
      </c>
    </row>
    <row r="52" spans="1:8" x14ac:dyDescent="0.2">
      <c r="A52" s="34"/>
      <c r="B52" s="25" t="s">
        <v>241</v>
      </c>
      <c r="C52" s="82">
        <v>147.21714157609409</v>
      </c>
      <c r="D52" s="82">
        <v>148.5553920093642</v>
      </c>
      <c r="E52" s="82">
        <v>167.97787313696097</v>
      </c>
      <c r="F52" s="27"/>
      <c r="G52" s="28">
        <v>14.102115649444258</v>
      </c>
      <c r="H52" s="29">
        <v>13.074235047875263</v>
      </c>
    </row>
    <row r="53" spans="1:8" x14ac:dyDescent="0.2">
      <c r="A53" s="30" t="s">
        <v>24</v>
      </c>
      <c r="B53" s="31" t="s">
        <v>3</v>
      </c>
      <c r="C53" s="80">
        <v>652.68592016535774</v>
      </c>
      <c r="D53" s="80">
        <v>856.59834462997526</v>
      </c>
      <c r="E53" s="83">
        <v>969.5523609014416</v>
      </c>
      <c r="F53" s="22" t="s">
        <v>240</v>
      </c>
      <c r="G53" s="23">
        <v>48.548073575082782</v>
      </c>
      <c r="H53" s="24">
        <v>13.186345383408266</v>
      </c>
    </row>
    <row r="54" spans="1:8" ht="13.5" thickBot="1" x14ac:dyDescent="0.25">
      <c r="A54" s="41"/>
      <c r="B54" s="42" t="s">
        <v>241</v>
      </c>
      <c r="C54" s="86">
        <v>305.96801344330663</v>
      </c>
      <c r="D54" s="86">
        <v>415.88107484036527</v>
      </c>
      <c r="E54" s="86">
        <v>465.18994429109591</v>
      </c>
      <c r="F54" s="44"/>
      <c r="G54" s="45">
        <v>52.038750409212895</v>
      </c>
      <c r="H54" s="46">
        <v>11.856483123127859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13</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'Tab1'!Print_Area</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2021-12-01T08:11:54Z</dcterms:modified>
</cp:coreProperties>
</file>