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TG-SXD8E-001\Finans Norge\Statistikk og analyse\HMoseby\Kvartalstatistikkene\Skadestatistikk\Rapport\"/>
    </mc:Choice>
  </mc:AlternateContent>
  <xr:revisionPtr revIDLastSave="0" documentId="13_ncr:1_{FB541638-BE17-4066-8F5A-DFC0832F04EA}" xr6:coauthVersionLast="41" xr6:coauthVersionMax="41"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pros_1">'Tab3'!$H$6</definedName>
    <definedName name="pros_2">'Tab3'!$G$6</definedName>
    <definedName name="_xlnm.Print_Area" localSheetId="1">Innhold!$A$1:$I$124</definedName>
    <definedName name="_xlnm.Print_Area" localSheetId="2">'Tab1'!$A$1:$H$53</definedName>
    <definedName name="_xlnm.Print_Area" localSheetId="11">'Tab10'!$A$1:$I$64</definedName>
    <definedName name="_xlnm.Print_Area" localSheetId="12">'Tab11'!$A$1:$J$63</definedName>
    <definedName name="_xlnm.Print_Area" localSheetId="13">'Tab12'!$A$1:$I$64</definedName>
    <definedName name="_xlnm.Print_Area" localSheetId="14">'Tab13'!$A$1:$I$64</definedName>
    <definedName name="_xlnm.Print_Area" localSheetId="15">'Tab14'!$A$1:$I$64</definedName>
    <definedName name="_xlnm.Print_Area" localSheetId="16">'Tab15'!$A$1:$I$63</definedName>
    <definedName name="_xlnm.Print_Area" localSheetId="17">'Tab16'!$A$1:$I$63</definedName>
    <definedName name="_xlnm.Print_Area" localSheetId="18">'Tab17'!$A$1:$I$64</definedName>
    <definedName name="_xlnm.Print_Area" localSheetId="19">'Tab18'!$A$1:$I$64</definedName>
    <definedName name="_xlnm.Print_Area" localSheetId="20">'Tab19'!$A$1:$I$64</definedName>
    <definedName name="_xlnm.Print_Area" localSheetId="21">'Tab20'!$A$1:$I$64</definedName>
    <definedName name="_xlnm.Print_Area" localSheetId="22">'Tab21'!$A$1:$N$54</definedName>
    <definedName name="_xlnm.Print_Area" localSheetId="5">'Tab4'!$A$1:$I$63</definedName>
    <definedName name="_xlnm.Print_Area" localSheetId="6">'Tab5'!$A$1:$I$63</definedName>
    <definedName name="_xlnm.Print_Area" localSheetId="7">'Tab6'!$A$1:$I$63</definedName>
    <definedName name="_xlnm.Print_Area" localSheetId="8">'Tab7'!$A$1:$I$63</definedName>
    <definedName name="_xlnm.Print_Area" localSheetId="9">'Tab8'!$A$1:$I$64</definedName>
    <definedName name="_xlnm.Print_Area" localSheetId="10">'Tab9'!$A$1:$I$63</definedName>
    <definedName name="_xlnm.Print_Area">'Tab9'!$A$4:$H$62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32" i="19" l="1"/>
  <c r="R232" i="19"/>
  <c r="P232" i="19"/>
  <c r="O232" i="19"/>
  <c r="T212" i="19"/>
  <c r="T213" i="19"/>
  <c r="T214" i="19"/>
  <c r="T215" i="19"/>
  <c r="T216" i="19"/>
  <c r="T211" i="19"/>
  <c r="Q212" i="19"/>
  <c r="Q213" i="19"/>
  <c r="Q214" i="19"/>
  <c r="Q215" i="19"/>
  <c r="Q211" i="19"/>
  <c r="N216" i="19"/>
  <c r="N215" i="19"/>
  <c r="N214" i="19"/>
  <c r="N213" i="19"/>
  <c r="N212" i="19"/>
  <c r="N211" i="19"/>
  <c r="D214" i="19"/>
  <c r="M248" i="19" l="1"/>
  <c r="N207" i="19" l="1"/>
  <c r="N208" i="19"/>
  <c r="N209" i="19"/>
  <c r="N210" i="19"/>
  <c r="Q216" i="19" l="1"/>
  <c r="R234" i="19"/>
  <c r="B124" i="21" l="1"/>
  <c r="C216" i="19" l="1"/>
  <c r="C215" i="19"/>
  <c r="C214" i="19"/>
  <c r="C213" i="19"/>
  <c r="D213" i="19"/>
  <c r="D215" i="19" l="1"/>
  <c r="D216" i="19" l="1"/>
  <c r="C212" i="19" l="1"/>
  <c r="D212" i="19"/>
  <c r="D211" i="19"/>
  <c r="C211" i="19"/>
  <c r="W86" i="19" l="1"/>
  <c r="W82" i="19"/>
  <c r="W100" i="19" s="1"/>
  <c r="W111" i="19" s="1"/>
  <c r="S234" i="19"/>
  <c r="P234" i="19"/>
  <c r="O234" i="19"/>
  <c r="M234" i="19"/>
  <c r="L234" i="19"/>
  <c r="L232" i="19" s="1"/>
  <c r="E233" i="19"/>
  <c r="T210" i="19"/>
  <c r="Q210" i="19"/>
  <c r="D210" i="19"/>
  <c r="C210" i="19"/>
  <c r="T209" i="19"/>
  <c r="Q209" i="19"/>
  <c r="D209" i="19"/>
  <c r="C209" i="19"/>
  <c r="T208" i="19"/>
  <c r="Q208" i="19"/>
  <c r="D208" i="19"/>
  <c r="C208" i="19"/>
  <c r="T207" i="19"/>
  <c r="Q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T133" i="19"/>
  <c r="Q133" i="19"/>
  <c r="N133" i="19"/>
  <c r="Y132" i="19"/>
  <c r="X132" i="19"/>
  <c r="W132" i="19"/>
  <c r="T132" i="19"/>
  <c r="Q132" i="19"/>
  <c r="N132" i="19"/>
  <c r="D132" i="19"/>
  <c r="D133" i="19" s="1"/>
  <c r="C132" i="19"/>
  <c r="C133" i="19" s="1"/>
  <c r="X131" i="19"/>
  <c r="W131" i="19"/>
  <c r="T131" i="19"/>
  <c r="Q131" i="19"/>
  <c r="N131" i="19"/>
  <c r="Y130" i="19"/>
  <c r="X130" i="19"/>
  <c r="W130" i="19"/>
  <c r="T130" i="19"/>
  <c r="Q130" i="19"/>
  <c r="N130" i="19"/>
  <c r="Y129" i="19"/>
  <c r="X129" i="19"/>
  <c r="W129"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Y123" i="19"/>
  <c r="X123" i="19"/>
  <c r="W123" i="19"/>
  <c r="T123" i="19"/>
  <c r="Q123" i="19"/>
  <c r="N123" i="19"/>
  <c r="Y122" i="19"/>
  <c r="X122" i="19"/>
  <c r="T122" i="19"/>
  <c r="Q122" i="19"/>
  <c r="N122" i="19"/>
  <c r="Y121" i="19"/>
  <c r="X121" i="19"/>
  <c r="W121" i="19"/>
  <c r="T121" i="19"/>
  <c r="Q121" i="19"/>
  <c r="N121" i="19"/>
  <c r="T120" i="19"/>
  <c r="Q120" i="19"/>
  <c r="N120" i="19"/>
  <c r="D120" i="19"/>
  <c r="D121" i="19" s="1"/>
  <c r="D122" i="19" s="1"/>
  <c r="C120" i="19"/>
  <c r="T119" i="19"/>
  <c r="Q119" i="19"/>
  <c r="N119" i="19"/>
  <c r="T118" i="19"/>
  <c r="Q118" i="19"/>
  <c r="N118" i="19"/>
  <c r="Y117" i="19"/>
  <c r="X117" i="19"/>
  <c r="W117" i="19"/>
  <c r="T117" i="19"/>
  <c r="Q117" i="19"/>
  <c r="N117" i="19"/>
  <c r="T116" i="19"/>
  <c r="Q116" i="19"/>
  <c r="N116" i="19"/>
  <c r="D116" i="19"/>
  <c r="D117" i="19" s="1"/>
  <c r="D118" i="19" s="1"/>
  <c r="C116" i="19"/>
  <c r="C117" i="19" s="1"/>
  <c r="C118" i="19" s="1"/>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X92" i="19"/>
  <c r="N92" i="19"/>
  <c r="Y91" i="19"/>
  <c r="X91" i="19"/>
  <c r="W91" i="19"/>
  <c r="N91" i="19"/>
  <c r="Y90" i="19"/>
  <c r="X90" i="19"/>
  <c r="W90" i="19"/>
  <c r="N90" i="19"/>
  <c r="Y89" i="19"/>
  <c r="X89" i="19"/>
  <c r="W89" i="19"/>
  <c r="N89" i="19"/>
  <c r="Y88" i="19"/>
  <c r="X88" i="19"/>
  <c r="W88" i="19"/>
  <c r="N88" i="19"/>
  <c r="Y87" i="19"/>
  <c r="X87" i="19"/>
  <c r="N87" i="19"/>
  <c r="Y86" i="19"/>
  <c r="X86" i="19"/>
  <c r="N86" i="19"/>
  <c r="Y85"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AD62" i="19"/>
  <c r="W62" i="19"/>
  <c r="I62" i="19"/>
  <c r="I61" i="19"/>
  <c r="A61" i="19"/>
  <c r="AD32" i="19"/>
  <c r="B20" i="21" s="1"/>
  <c r="W32" i="19"/>
  <c r="B18" i="21" s="1"/>
  <c r="P32" i="19"/>
  <c r="B16" i="21" s="1"/>
  <c r="I32" i="19"/>
  <c r="B14" i="21" s="1"/>
  <c r="A32" i="19"/>
  <c r="B12" i="21" s="1"/>
  <c r="AD6" i="19"/>
  <c r="B19" i="21" s="1"/>
  <c r="W6" i="19"/>
  <c r="B17" i="21" s="1"/>
  <c r="I6" i="19"/>
  <c r="B13" i="21" s="1"/>
  <c r="A6" i="19"/>
  <c r="B11" i="21" s="1"/>
  <c r="B123" i="21"/>
  <c r="AD61" i="19" s="1"/>
  <c r="H26" i="21"/>
  <c r="H28" i="21" s="1"/>
  <c r="H29" i="21" s="1"/>
  <c r="H31" i="21" s="1"/>
  <c r="H24" i="21"/>
  <c r="B15" i="21"/>
  <c r="M232" i="19" l="1"/>
  <c r="W115" i="19"/>
  <c r="W104" i="19"/>
  <c r="Y78" i="19"/>
  <c r="X115" i="19"/>
  <c r="X78" i="19"/>
  <c r="Y104" i="19"/>
  <c r="Z78" i="19"/>
  <c r="X104" i="19"/>
  <c r="X93" i="19"/>
  <c r="X95" i="19" s="1"/>
  <c r="Y115" i="19"/>
  <c r="Y93" i="19"/>
  <c r="Y95" i="19" s="1"/>
  <c r="H33" i="21"/>
  <c r="H34" i="21" s="1"/>
  <c r="H35" i="21" s="1"/>
  <c r="H36" i="21" s="1"/>
  <c r="H37" i="21" s="1"/>
  <c r="H38" i="21" s="1"/>
  <c r="H40" i="21" s="1"/>
  <c r="H32" i="21"/>
  <c r="Y131" i="19"/>
  <c r="H27" i="21"/>
  <c r="P61" i="19"/>
  <c r="X82" i="19"/>
  <c r="X100" i="19" s="1"/>
  <c r="X111" i="19" s="1"/>
  <c r="W133" i="19"/>
  <c r="W122" i="19"/>
  <c r="G233" i="19"/>
  <c r="H53" i="24"/>
  <c r="A53" i="24"/>
  <c r="C125" i="19"/>
  <c r="C126" i="19" s="1"/>
  <c r="C129" i="19"/>
  <c r="C130" i="19" s="1"/>
  <c r="A52" i="24"/>
  <c r="H52" i="24"/>
  <c r="W61" i="19"/>
  <c r="B61" i="21"/>
  <c r="B62" i="21"/>
  <c r="A51" i="23"/>
  <c r="A62" i="19"/>
  <c r="D125" i="19"/>
  <c r="D126" i="19" s="1"/>
  <c r="D129" i="19"/>
  <c r="D130" i="19" s="1"/>
  <c r="O233" i="19"/>
  <c r="C121" i="19"/>
  <c r="C122" i="19" s="1"/>
  <c r="P62" i="19"/>
  <c r="W87" i="19"/>
  <c r="S233" i="19"/>
  <c r="Y82" i="19"/>
  <c r="Y100" i="19" s="1"/>
  <c r="Y111" i="19" s="1"/>
  <c r="P233" i="19"/>
  <c r="L233" i="19"/>
  <c r="H43" i="21" l="1"/>
  <c r="H41" i="21"/>
  <c r="R233" i="19"/>
  <c r="M233" i="19"/>
  <c r="W92" i="19"/>
  <c r="W93" i="19" s="1"/>
  <c r="W95" i="19" s="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<sst xmlns="http://schemas.openxmlformats.org/spreadsheetml/2006/main" count="1538" uniqueCount="246">
  <si>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</si>
  <si>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</si>
  <si>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</si>
  <si>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</si>
  <si>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</si>
  <si>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</si>
  <si>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</si>
  <si>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</si>
  <si>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</si>
  <si>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</si>
  <si>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</si>
  <si>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</si>
  <si>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</si>
  <si>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</si>
  <si>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</si>
  <si>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</si>
  <si>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</si>
  <si>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</si>
  <si>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</si>
  <si>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</si>
  <si>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</si>
  <si>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</si>
  <si>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</si>
  <si>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</si>
  <si>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</si>
  <si>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</si>
  <si>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</si>
  <si>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</si>
  <si>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</si>
  <si>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</si>
  <si>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</si>
  <si>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</si>
  <si>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</si>
  <si>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</si>
  <si>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</si>
  <si>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</si>
  <si>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</si>
  <si>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</si>
  <si>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</si>
  <si>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</si>
  <si>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</si>
  <si>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</si>
  <si>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</si>
  <si>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</si>
  <si>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</si>
  <si>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</si>
  <si>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</si>
  <si>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</si>
  <si>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</si>
  <si>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</si>
  <si>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</si>
  <si>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</si>
  <si>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</si>
  <si>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</si>
  <si>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</si>
  <si>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</si>
  <si>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</si>
  <si>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</si>
  <si>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</si>
  <si>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</si>
  <si>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</si>
  <si>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</si>
  <si>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</si>
  <si>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</si>
  <si>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</si>
  <si>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</si>
  <si>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</si>
  <si>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</si>
  <si>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</si>
  <si>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</si>
  <si>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</si>
  <si>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</si>
  <si>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</si>
  <si>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</si>
  <si>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</si>
  <si>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</si>
  <si>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</si>
  <si>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</si>
  <si>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</si>
  <si>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</si>
  <si>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</si>
  <si>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</si>
  <si>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</si>
  <si>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</si>
  <si>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</si>
  <si>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</si>
  <si>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</si>
  <si>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</si>
  <si>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</si>
  <si>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</si>
  <si>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</si>
  <si>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</si>
  <si>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</si>
  <si>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</si>
  <si>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</si>
  <si>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</si>
  <si>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</si>
  <si>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</si>
  <si>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</si>
  <si>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</si>
  <si>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</si>
  <si>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</si>
  <si>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</si>
  <si>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</si>
  <si>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</si>
  <si>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</si>
  <si>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</si>
  <si>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</si>
  <si>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</si>
  <si>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</si>
  <si>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</si>
  <si>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</si>
  <si>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</si>
  <si>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</si>
  <si>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</si>
  <si>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</si>
  <si>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</si>
  <si>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</si>
  <si>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</si>
  <si>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</si>
  <si>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</si>
  <si>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</si>
  <si>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</si>
  <si>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</si>
  <si>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</si>
  <si>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</si>
  <si>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</si>
  <si>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</si>
  <si>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</si>
  <si>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</si>
  <si>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</si>
  <si>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</si>
  <si>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</si>
  <si>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</si>
  <si>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</si>
  <si>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</si>
  <si>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</si>
  <si>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</si>
  <si>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</si>
  <si>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</si>
  <si>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</si>
  <si>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</si>
  <si>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</si>
  <si>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</si>
  <si>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</si>
  <si>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</si>
  <si>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</si>
  <si>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</si>
  <si>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</si>
  <si>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</si>
  <si>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</si>
  <si>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</si>
  <si>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</si>
  <si>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</si>
  <si>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</si>
  <si>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</si>
  <si>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</si>
  <si>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</si>
  <si>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</si>
  <si>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</si>
  <si>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</si>
  <si>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</si>
  <si>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</si>
  <si>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</si>
  <si>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</si>
  <si>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</si>
  <si>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</si>
  <si>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</si>
  <si>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</si>
  <si>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</si>
  <si>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</si>
  <si>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</si>
  <si>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</si>
  <si>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</si>
  <si>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</si>
  <si>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</si>
  <si>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</si>
  <si>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</si>
  <si>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</si>
  <si>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</si>
  <si>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</si>
  <si>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</si>
  <si>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</si>
  <si>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</si>
  <si>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</si>
  <si>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</si>
  <si>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</si>
  <si>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</si>
  <si>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</si>
  <si>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</si>
  <si>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</si>
  <si>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</si>
  <si>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</si>
  <si>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</si>
  <si>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</si>
  <si>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</si>
  <si>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</si>
  <si>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</si>
  <si>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</si>
  <si>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</si>
  <si>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</si>
  <si>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</si>
  <si>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</si>
  <si>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</si>
  <si>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</si>
  <si>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</si>
  <si>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</si>
  <si>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</si>
  <si>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</si>
  <si>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</si>
  <si>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</si>
  <si>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</si>
  <si>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</si>
  <si>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</si>
  <si>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</si>
  <si>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</si>
  <si>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</si>
  <si>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</si>
  <si>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</si>
  <si>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</si>
  <si>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</si>
  <si>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</si>
  <si>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</si>
  <si>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</si>
  <si>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</si>
  <si>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</si>
  <si>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</si>
  <si>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</si>
  <si>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</si>
  <si>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</si>
  <si>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</si>
  <si>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</si>
  <si>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</si>
  <si>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punkt 4. Prinsipper, begreper og definisjoner på side 27.</t>
  </si>
  <si>
    <t>Fysioterapeut/kiropraktor</t>
  </si>
  <si>
    <t>(2018)</t>
  </si>
  <si>
    <t>2017</t>
  </si>
  <si>
    <t>2018</t>
  </si>
  <si>
    <t>2019</t>
  </si>
  <si>
    <t>17-19</t>
  </si>
  <si>
    <t>18-19</t>
  </si>
  <si>
    <t>*</t>
  </si>
  <si>
    <t>Hittil i år</t>
  </si>
  <si>
    <t>Finans Norge / Skadestatistikk</t>
  </si>
  <si>
    <t>Skadestatistikk for landbasert forsikring 2. kvartal 2019</t>
  </si>
  <si>
    <t>Skadestatistikk for landbasert forsikring 28. kvartal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</si>
</sst>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4"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sz val="10"/>
      <name val="Arial"/>
      <family val="2"/>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1"/>
      <name val="Arial"/>
      <family val="2"/>
    </font>
    <font>
      <sz val="10"/>
      <color theme="1"/>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45">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12" fillId="0" borderId="0" xfId="0" applyFont="1"/>
    <xf numFmtId="171" fontId="5" fillId="0" borderId="0" xfId="0" applyNumberFormat="1" applyFont="1"/>
    <xf numFmtId="170" fontId="5" fillId="0" borderId="0" xfId="0" applyNumberFormat="1" applyFont="1"/>
    <xf numFmtId="0" fontId="22" fillId="0" borderId="0" xfId="0" applyFont="1"/>
    <xf numFmtId="0" fontId="26"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25" fillId="0" borderId="0" xfId="0" applyFont="1"/>
    <xf numFmtId="170" fontId="22" fillId="0" borderId="0" xfId="0" applyNumberFormat="1" applyFont="1"/>
    <xf numFmtId="170" fontId="25" fillId="0" borderId="0" xfId="0" applyNumberFormat="1" applyFont="1"/>
    <xf numFmtId="167" fontId="25" fillId="0" borderId="0" xfId="0" applyNumberFormat="1" applyFont="1"/>
    <xf numFmtId="0" fontId="0" fillId="0" borderId="0" xfId="0" applyFont="1"/>
    <xf numFmtId="0" fontId="3" fillId="0" borderId="0" xfId="4"/>
    <xf numFmtId="0" fontId="5" fillId="0" borderId="0" xfId="0" applyFont="1" applyAlignment="1">
      <alignment horizontal="right"/>
    </xf>
    <xf numFmtId="3" fontId="5" fillId="0" borderId="0" xfId="0" applyNumberFormat="1" applyFont="1"/>
    <xf numFmtId="167" fontId="5" fillId="0" borderId="0" xfId="0" applyNumberFormat="1" applyFont="1"/>
    <xf numFmtId="0" fontId="12" fillId="0" borderId="0" xfId="0" applyFont="1" applyAlignment="1">
      <alignment horizontal="right"/>
    </xf>
    <xf numFmtId="0" fontId="12" fillId="0" borderId="0" xfId="0" quotePrefix="1" applyFont="1"/>
    <xf numFmtId="0" fontId="3" fillId="0" borderId="0" xfId="0" applyFont="1"/>
    <xf numFmtId="3" fontId="5" fillId="0" borderId="0" xfId="0" applyNumberFormat="1" applyFont="1" applyBorder="1"/>
    <xf numFmtId="167" fontId="5" fillId="0" borderId="0" xfId="0" applyNumberFormat="1" applyFont="1" applyBorder="1"/>
    <xf numFmtId="0" fontId="5" fillId="0" borderId="28" xfId="0" applyFont="1" applyBorder="1" applyAlignment="1">
      <alignment horizontal="left" indent="1"/>
    </xf>
    <xf numFmtId="0" fontId="5" fillId="0" borderId="0" xfId="0" applyFont="1" applyAlignment="1">
      <alignment horizontal="left" indent="1"/>
    </xf>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1" fontId="5" fillId="0" borderId="0" xfId="0" applyNumberFormat="1" applyFont="1"/>
    <xf numFmtId="169" fontId="5" fillId="0" borderId="0" xfId="0" applyNumberFormat="1" applyFont="1"/>
    <xf numFmtId="0" fontId="5" fillId="0" borderId="28" xfId="0" applyFont="1" applyBorder="1"/>
    <xf numFmtId="0" fontId="12" fillId="0" borderId="28" xfId="0" applyFont="1" applyBorder="1" applyAlignment="1">
      <alignment horizontal="right"/>
    </xf>
    <xf numFmtId="0" fontId="27" fillId="0" borderId="0" xfId="9" applyFont="1"/>
    <xf numFmtId="0" fontId="3" fillId="0" borderId="0" xfId="9"/>
    <xf numFmtId="0" fontId="0" fillId="0" borderId="0" xfId="9" applyFont="1"/>
    <xf numFmtId="0" fontId="28" fillId="0" borderId="0" xfId="9" applyFont="1" applyAlignment="1">
      <alignment horizontal="right"/>
    </xf>
    <xf numFmtId="0" fontId="30" fillId="0" borderId="0" xfId="9" applyFont="1" applyAlignment="1">
      <alignment horizontal="left"/>
    </xf>
    <xf numFmtId="0" fontId="33"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1" fillId="0" borderId="0" xfId="9" applyFont="1" applyAlignment="1">
      <alignment horizontal="left"/>
    </xf>
    <xf numFmtId="14" fontId="32" fillId="0" borderId="0" xfId="9" applyNumberFormat="1" applyFont="1" applyAlignment="1">
      <alignment horizontal="left"/>
    </xf>
    <xf numFmtId="0" fontId="32" fillId="0" borderId="0" xfId="9" applyFont="1" applyAlignment="1">
      <alignment horizontal="left"/>
    </xf>
    <xf numFmtId="0" fontId="34" fillId="0" borderId="0" xfId="4" applyFont="1" applyAlignment="1">
      <alignment vertical="center"/>
    </xf>
    <xf numFmtId="0" fontId="35" fillId="0" borderId="0" xfId="4" applyFont="1" applyAlignment="1">
      <alignment vertical="center"/>
    </xf>
    <xf numFmtId="0" fontId="36" fillId="0" borderId="0" xfId="4" applyFont="1"/>
    <xf numFmtId="14" fontId="29" fillId="0" borderId="0" xfId="9" applyNumberFormat="1" applyFont="1"/>
    <xf numFmtId="14" fontId="37"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9" fillId="0" borderId="0" xfId="0" applyFont="1"/>
    <xf numFmtId="170" fontId="38" fillId="0" borderId="0" xfId="0" applyNumberFormat="1" applyFont="1"/>
    <xf numFmtId="0" fontId="38" fillId="0" borderId="0" xfId="0" applyFont="1"/>
    <xf numFmtId="170" fontId="38" fillId="0" borderId="0" xfId="0" applyNumberFormat="1" applyFont="1" applyFill="1"/>
    <xf numFmtId="170" fontId="22" fillId="0" borderId="0" xfId="0" applyNumberFormat="1" applyFont="1" applyFill="1"/>
    <xf numFmtId="0" fontId="5" fillId="0" borderId="0" xfId="0" applyFont="1" applyFill="1"/>
    <xf numFmtId="1" fontId="5" fillId="0" borderId="0" xfId="0" applyNumberFormat="1" applyFont="1" applyFill="1"/>
    <xf numFmtId="1" fontId="39" fillId="0" borderId="0" xfId="0" applyNumberFormat="1" applyFont="1" applyFill="1"/>
    <xf numFmtId="167" fontId="5" fillId="0" borderId="0" xfId="0" applyNumberFormat="1" applyFont="1" applyFill="1"/>
    <xf numFmtId="167" fontId="39" fillId="0" borderId="0" xfId="0" applyNumberFormat="1" applyFont="1" applyFill="1"/>
    <xf numFmtId="3" fontId="5" fillId="0" borderId="28" xfId="0" applyNumberFormat="1" applyFont="1" applyFill="1" applyBorder="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3" fontId="5" fillId="0" borderId="0" xfId="0" applyNumberFormat="1" applyFont="1" applyFill="1"/>
    <xf numFmtId="0" fontId="40" fillId="0" borderId="0" xfId="0" applyFont="1"/>
    <xf numFmtId="0" fontId="41" fillId="0" borderId="0" xfId="0" applyFont="1" applyAlignment="1">
      <alignment horizontal="right"/>
    </xf>
    <xf numFmtId="0" fontId="42" fillId="0" borderId="0" xfId="0" applyFont="1"/>
    <xf numFmtId="0" fontId="43" fillId="0" borderId="0" xfId="0" applyFont="1"/>
    <xf numFmtId="0" fontId="40" fillId="0" borderId="0" xfId="0" applyFont="1" applyAlignment="1">
      <alignment horizontal="right"/>
    </xf>
    <xf numFmtId="1" fontId="43" fillId="0" borderId="0" xfId="0" applyNumberFormat="1" applyFont="1"/>
    <xf numFmtId="169" fontId="43" fillId="0" borderId="0" xfId="0" applyNumberFormat="1" applyFont="1"/>
    <xf numFmtId="170" fontId="43" fillId="0" borderId="0" xfId="0" applyNumberFormat="1" applyFont="1"/>
    <xf numFmtId="167" fontId="43" fillId="0" borderId="0" xfId="0" applyNumberFormat="1" applyFont="1"/>
    <xf numFmtId="3" fontId="43" fillId="0" borderId="0" xfId="0" applyNumberFormat="1" applyFont="1"/>
    <xf numFmtId="167" fontId="40" fillId="0" borderId="0" xfId="0" applyNumberFormat="1" applyFont="1"/>
    <xf numFmtId="3" fontId="40" fillId="0" borderId="0" xfId="0" applyNumberFormat="1" applyFont="1"/>
    <xf numFmtId="168" fontId="43" fillId="0" borderId="0" xfId="1" applyNumberFormat="1" applyFont="1"/>
    <xf numFmtId="167" fontId="43" fillId="0" borderId="0" xfId="1" applyNumberFormat="1" applyFont="1"/>
    <xf numFmtId="3" fontId="40" fillId="0" borderId="0" xfId="0" applyNumberFormat="1" applyFont="1" applyBorder="1"/>
    <xf numFmtId="169" fontId="40" fillId="0" borderId="0" xfId="0" applyNumberFormat="1" applyFont="1"/>
    <xf numFmtId="1" fontId="40" fillId="0" borderId="0" xfId="0" applyNumberFormat="1" applyFont="1"/>
    <xf numFmtId="1" fontId="40" fillId="0" borderId="0" xfId="0" applyNumberFormat="1" applyFont="1" applyFill="1"/>
    <xf numFmtId="167" fontId="40" fillId="0" borderId="0" xfId="0" applyNumberFormat="1" applyFont="1" applyFill="1"/>
    <xf numFmtId="167" fontId="40" fillId="3" borderId="0" xfId="0" applyNumberFormat="1" applyFont="1" applyFill="1"/>
    <xf numFmtId="3" fontId="40" fillId="0" borderId="28" xfId="0" applyNumberFormat="1" applyFont="1" applyFill="1" applyBorder="1"/>
    <xf numFmtId="0" fontId="40" fillId="0" borderId="28" xfId="0" applyFont="1" applyFill="1" applyBorder="1" applyAlignment="1">
      <alignment horizontal="left" indent="1"/>
    </xf>
    <xf numFmtId="167" fontId="40" fillId="0" borderId="28" xfId="0" applyNumberFormat="1" applyFont="1" applyBorder="1"/>
    <xf numFmtId="0" fontId="40" fillId="0" borderId="0" xfId="0" applyFont="1" applyFill="1" applyAlignment="1">
      <alignment horizontal="left" indent="1"/>
    </xf>
    <xf numFmtId="3" fontId="40" fillId="0" borderId="0" xfId="0" applyNumberFormat="1" applyFont="1" applyFill="1"/>
    <xf numFmtId="0" fontId="40" fillId="0" borderId="0" xfId="0" applyFont="1" applyAlignment="1">
      <alignment horizontal="left" indent="1"/>
    </xf>
    <xf numFmtId="0" fontId="40" fillId="0" borderId="0" xfId="0" applyFont="1" applyFill="1"/>
  </cellXfs>
  <cellStyles count="15">
    <cellStyle name="Comma 2" xfId="5" xr:uid="{00000000-0005-0000-0000-000000000000}"/>
    <cellStyle name="Hyperkobling" xfId="3" builtinId="8"/>
    <cellStyle name="Hyperkobling_Test_skadestat_tabeller" xfId="2" xr:uid="{00000000-0005-0000-0000-000002000000}"/>
    <cellStyle name="Hyperlink 2" xfId="6" xr:uid="{00000000-0005-0000-0000-000003000000}"/>
    <cellStyle name="Komma" xfId="1" builtinId="3"/>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'Tab2'!$B$71:$B$216</c:f>
              <c:numCache>
                <c:formatCode>General</c:formatCode>
                <c:ptCount val="14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'Tab2'!$C$71:$C$216</c:f>
              <c:numCache>
                <c:formatCode>General</c:formatCode>
                <c:ptCount val="146"/>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230.04425590433505</c:v>
                </c:pt>
                <c:pt idx="143" formatCode="0.000">
                  <c:v>212.66674917787793</c:v>
                </c:pt>
                <c:pt idx="144" formatCode="0.000">
                  <c:v>242.05576995515699</c:v>
                </c:pt>
                <c:pt idx="145" formatCode="0.000">
                  <c:v>221.71122705530601</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'Tab2'!$B$71:$B$216</c:f>
              <c:numCache>
                <c:formatCode>General</c:formatCode>
                <c:ptCount val="14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'Tab2'!$D$71:$D$216</c:f>
              <c:numCache>
                <c:formatCode>General</c:formatCode>
                <c:ptCount val="146"/>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c:v>222.678</c:v>
                </c:pt>
                <c:pt idx="141">
                  <c:v>208.83864191330298</c:v>
                </c:pt>
                <c:pt idx="142" formatCode="0.000">
                  <c:v>207.39460472346803</c:v>
                </c:pt>
                <c:pt idx="143" formatCode="0.000">
                  <c:v>195.66619934230198</c:v>
                </c:pt>
                <c:pt idx="144" formatCode="0.000">
                  <c:v>223.58363596412599</c:v>
                </c:pt>
                <c:pt idx="145" formatCode="0.000">
                  <c:v>199.97176164424499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'Tab2'!$K$103:$K$216</c:f>
              <c:numCache>
                <c:formatCode>General</c:formatCode>
                <c:ptCount val="11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'Tab2'!$T$103:$T$216</c:f>
              <c:numCache>
                <c:formatCode>#\ ##0.0</c:formatCode>
                <c:ptCount val="114"/>
                <c:pt idx="0">
                  <c:v>248.09206042884986</c:v>
                </c:pt>
                <c:pt idx="1">
                  <c:v>308.67089876828322</c:v>
                </c:pt>
                <c:pt idx="2">
                  <c:v>358.74456697459584</c:v>
                </c:pt>
                <c:pt idx="3">
                  <c:v>321.30593738067961</c:v>
                </c:pt>
                <c:pt idx="4">
                  <c:v>312.77383809523803</c:v>
                </c:pt>
                <c:pt idx="5">
                  <c:v>285.78801730624525</c:v>
                </c:pt>
                <c:pt idx="6">
                  <c:v>374.52431980458465</c:v>
                </c:pt>
                <c:pt idx="7">
                  <c:v>185.7492758491974</c:v>
                </c:pt>
                <c:pt idx="8">
                  <c:v>296.32074053452112</c:v>
                </c:pt>
                <c:pt idx="9">
                  <c:v>319.27381791483111</c:v>
                </c:pt>
                <c:pt idx="10">
                  <c:v>362.98829470198666</c:v>
                </c:pt>
                <c:pt idx="11">
                  <c:v>274.08532051282049</c:v>
                </c:pt>
                <c:pt idx="12">
                  <c:v>269.42003846153841</c:v>
                </c:pt>
                <c:pt idx="13">
                  <c:v>324.4075354416575</c:v>
                </c:pt>
                <c:pt idx="14">
                  <c:v>361.85062251176265</c:v>
                </c:pt>
                <c:pt idx="15">
                  <c:v>351.05491720662337</c:v>
                </c:pt>
                <c:pt idx="16">
                  <c:v>297.23690756602423</c:v>
                </c:pt>
                <c:pt idx="17">
                  <c:v>343.84764789231309</c:v>
                </c:pt>
                <c:pt idx="18">
                  <c:v>361.08836875664167</c:v>
                </c:pt>
                <c:pt idx="19">
                  <c:v>330.65063248766762</c:v>
                </c:pt>
                <c:pt idx="20">
                  <c:v>319.66096602972397</c:v>
                </c:pt>
                <c:pt idx="21">
                  <c:v>350.91407816333674</c:v>
                </c:pt>
                <c:pt idx="22">
                  <c:v>370.24264572425824</c:v>
                </c:pt>
                <c:pt idx="23">
                  <c:v>296.00076150917289</c:v>
                </c:pt>
                <c:pt idx="24">
                  <c:v>292.64695786228157</c:v>
                </c:pt>
                <c:pt idx="25">
                  <c:v>348.55912316615473</c:v>
                </c:pt>
                <c:pt idx="26">
                  <c:v>308.51982940975785</c:v>
                </c:pt>
                <c:pt idx="27">
                  <c:v>285.21514735772337</c:v>
                </c:pt>
                <c:pt idx="28">
                  <c:v>283.08818731117822</c:v>
                </c:pt>
                <c:pt idx="29">
                  <c:v>310.54307255098627</c:v>
                </c:pt>
                <c:pt idx="30">
                  <c:v>318.43588510354039</c:v>
                </c:pt>
                <c:pt idx="31">
                  <c:v>309.86831181727894</c:v>
                </c:pt>
                <c:pt idx="32">
                  <c:v>243.43202498356339</c:v>
                </c:pt>
                <c:pt idx="33">
                  <c:v>295.38037018917146</c:v>
                </c:pt>
                <c:pt idx="34">
                  <c:v>339.4715191740413</c:v>
                </c:pt>
                <c:pt idx="35">
                  <c:v>281.56216747181952</c:v>
                </c:pt>
                <c:pt idx="36">
                  <c:v>287.00850860420644</c:v>
                </c:pt>
                <c:pt idx="37">
                  <c:v>266.16743577545191</c:v>
                </c:pt>
                <c:pt idx="38">
                  <c:v>279.1969721430832</c:v>
                </c:pt>
                <c:pt idx="39">
                  <c:v>305.23088327091131</c:v>
                </c:pt>
                <c:pt idx="40">
                  <c:v>229.53058579335789</c:v>
                </c:pt>
                <c:pt idx="41">
                  <c:v>263.26280261557173</c:v>
                </c:pt>
                <c:pt idx="42">
                  <c:v>222.3129895158803</c:v>
                </c:pt>
                <c:pt idx="43">
                  <c:v>360.5722247776755</c:v>
                </c:pt>
                <c:pt idx="44">
                  <c:v>274.52815949984745</c:v>
                </c:pt>
                <c:pt idx="45">
                  <c:v>321.85144696969689</c:v>
                </c:pt>
                <c:pt idx="46">
                  <c:v>255.23902828467152</c:v>
                </c:pt>
                <c:pt idx="47">
                  <c:v>264.99642642642652</c:v>
                </c:pt>
                <c:pt idx="48">
                  <c:v>242.11836823734725</c:v>
                </c:pt>
                <c:pt idx="49">
                  <c:v>274.35015731671115</c:v>
                </c:pt>
                <c:pt idx="50">
                  <c:v>255.81921954125701</c:v>
                </c:pt>
                <c:pt idx="51">
                  <c:v>297.45316311426888</c:v>
                </c:pt>
                <c:pt idx="52">
                  <c:v>240.8980121373593</c:v>
                </c:pt>
                <c:pt idx="53">
                  <c:v>305.38261610817159</c:v>
                </c:pt>
                <c:pt idx="54">
                  <c:v>215.75897345132728</c:v>
                </c:pt>
                <c:pt idx="55">
                  <c:v>216.65938157894746</c:v>
                </c:pt>
                <c:pt idx="56">
                  <c:v>212.96376575784222</c:v>
                </c:pt>
                <c:pt idx="57">
                  <c:v>200.71444589120375</c:v>
                </c:pt>
                <c:pt idx="58">
                  <c:v>201.54748045178096</c:v>
                </c:pt>
                <c:pt idx="59">
                  <c:v>185.60583333333338</c:v>
                </c:pt>
                <c:pt idx="60">
                  <c:v>195.83381646655229</c:v>
                </c:pt>
                <c:pt idx="61">
                  <c:v>226.46798558100079</c:v>
                </c:pt>
                <c:pt idx="62">
                  <c:v>215.9930136402387</c:v>
                </c:pt>
                <c:pt idx="63">
                  <c:v>183.6023711484593</c:v>
                </c:pt>
                <c:pt idx="64">
                  <c:v>216.01248510638294</c:v>
                </c:pt>
                <c:pt idx="65">
                  <c:v>206.34901380670607</c:v>
                </c:pt>
                <c:pt idx="66">
                  <c:v>196.79926004527439</c:v>
                </c:pt>
                <c:pt idx="67">
                  <c:v>179.23488410596033</c:v>
                </c:pt>
                <c:pt idx="68">
                  <c:v>199.13559338255396</c:v>
                </c:pt>
                <c:pt idx="69">
                  <c:v>234.14362295081966</c:v>
                </c:pt>
                <c:pt idx="70">
                  <c:v>229.46479691307871</c:v>
                </c:pt>
                <c:pt idx="71">
                  <c:v>327.80434108527146</c:v>
                </c:pt>
                <c:pt idx="72">
                  <c:v>258.60591466666665</c:v>
                </c:pt>
                <c:pt idx="73">
                  <c:v>283.82321532749933</c:v>
                </c:pt>
                <c:pt idx="74">
                  <c:v>280.27035353535342</c:v>
                </c:pt>
                <c:pt idx="75">
                  <c:v>331.02866245392318</c:v>
                </c:pt>
                <c:pt idx="76">
                  <c:v>286.39648148148149</c:v>
                </c:pt>
                <c:pt idx="77">
                  <c:v>237.13675717610548</c:v>
                </c:pt>
                <c:pt idx="78">
                  <c:v>238.11008215962428</c:v>
                </c:pt>
                <c:pt idx="79">
                  <c:v>240.94916020671829</c:v>
                </c:pt>
                <c:pt idx="80">
                  <c:v>182.24877752176138</c:v>
                </c:pt>
                <c:pt idx="81">
                  <c:v>228.93714249363856</c:v>
                </c:pt>
                <c:pt idx="82">
                  <c:v>196.03017645543522</c:v>
                </c:pt>
                <c:pt idx="83">
                  <c:v>210.41538109297693</c:v>
                </c:pt>
                <c:pt idx="84">
                  <c:v>202.32072064153073</c:v>
                </c:pt>
                <c:pt idx="85">
                  <c:v>212.07167604551165</c:v>
                </c:pt>
                <c:pt idx="86">
                  <c:v>221.63424750156202</c:v>
                </c:pt>
                <c:pt idx="87">
                  <c:v>218.7226677745501</c:v>
                </c:pt>
                <c:pt idx="88">
                  <c:v>191.34859428078676</c:v>
                </c:pt>
                <c:pt idx="89">
                  <c:v>198.88892253350443</c:v>
                </c:pt>
                <c:pt idx="90">
                  <c:v>194.80110443778298</c:v>
                </c:pt>
                <c:pt idx="91">
                  <c:v>201.82644851877453</c:v>
                </c:pt>
                <c:pt idx="92">
                  <c:v>184.40525727391199</c:v>
                </c:pt>
                <c:pt idx="93">
                  <c:v>185.58517338833471</c:v>
                </c:pt>
                <c:pt idx="94">
                  <c:v>195.92600787176548</c:v>
                </c:pt>
                <c:pt idx="95">
                  <c:v>192.87619233220741</c:v>
                </c:pt>
                <c:pt idx="96">
                  <c:v>170.21254251759368</c:v>
                </c:pt>
                <c:pt idx="97">
                  <c:v>183.39353905748283</c:v>
                </c:pt>
                <c:pt idx="98">
                  <c:v>142.35638169713138</c:v>
                </c:pt>
                <c:pt idx="99">
                  <c:v>169.66049749127581</c:v>
                </c:pt>
                <c:pt idx="100">
                  <c:v>136.63264594646796</c:v>
                </c:pt>
                <c:pt idx="101">
                  <c:v>160.35826928264632</c:v>
                </c:pt>
                <c:pt idx="102">
                  <c:v>155.64114209862186</c:v>
                </c:pt>
                <c:pt idx="103">
                  <c:v>152.82543593333477</c:v>
                </c:pt>
                <c:pt idx="104">
                  <c:v>146.18405814213867</c:v>
                </c:pt>
                <c:pt idx="105">
                  <c:v>123.38153182598164</c:v>
                </c:pt>
                <c:pt idx="106">
                  <c:v>131.75541977823033</c:v>
                </c:pt>
                <c:pt idx="107">
                  <c:v>126.69195867026053</c:v>
                </c:pt>
                <c:pt idx="108">
                  <c:v>117.48906702293475</c:v>
                </c:pt>
                <c:pt idx="109">
                  <c:v>136.35670539648072</c:v>
                </c:pt>
                <c:pt idx="110">
                  <c:v>149.60199564054926</c:v>
                </c:pt>
                <c:pt idx="111">
                  <c:v>115.03120238921264</c:v>
                </c:pt>
                <c:pt idx="112">
                  <c:v>120.47001686609487</c:v>
                </c:pt>
                <c:pt idx="113">
                  <c:v>138.80889541833147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'Tab2'!$K$103:$K$216</c:f>
              <c:numCache>
                <c:formatCode>General</c:formatCode>
                <c:ptCount val="11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'Tab2'!$R$103:$R$216</c:f>
              <c:numCache>
                <c:formatCode>#,##0</c:formatCode>
                <c:ptCount val="114"/>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135.29004225738475</c:v>
                </c:pt>
                <c:pt idx="1">
                  <c:v>818.78967411403482</c:v>
                </c:pt>
                <c:pt idx="2">
                  <c:v>145.16111418247914</c:v>
                </c:pt>
                <c:pt idx="3">
                  <c:v>778.14138494012491</c:v>
                </c:pt>
                <c:pt idx="4" formatCode="0.000">
                  <c:v>6169.1597024622661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3523.3386332618038</c:v>
                </c:pt>
                <c:pt idx="1">
                  <c:v>2985.4874299653161</c:v>
                </c:pt>
                <c:pt idx="2">
                  <c:v>1025.8261380934614</c:v>
                </c:pt>
                <c:pt idx="3">
                  <c:v>908.11823416283517</c:v>
                </c:pt>
                <c:pt idx="4">
                  <c:v>259.13745973651857</c:v>
                </c:pt>
                <c:pt idx="5">
                  <c:v>1010.1918736481808</c:v>
                </c:pt>
                <c:pt idx="6">
                  <c:v>194.09698577243887</c:v>
                </c:pt>
                <c:pt idx="7">
                  <c:v>461.43342745910428</c:v>
                </c:pt>
                <c:pt idx="8">
                  <c:v>46.489193005827374</c:v>
                </c:pt>
                <c:pt idx="9">
                  <c:v>363.98026173149066</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4388.2652719303578</c:v>
                </c:pt>
                <c:pt idx="1">
                  <c:v>2968.4968054676524</c:v>
                </c:pt>
                <c:pt idx="2">
                  <c:v>928.78469140608354</c:v>
                </c:pt>
                <c:pt idx="3">
                  <c:v>908.02671589401086</c:v>
                </c:pt>
                <c:pt idx="4">
                  <c:v>288.4880988246839</c:v>
                </c:pt>
                <c:pt idx="5">
                  <c:v>1085.106374696466</c:v>
                </c:pt>
                <c:pt idx="6">
                  <c:v>211.62650225395549</c:v>
                </c:pt>
                <c:pt idx="7">
                  <c:v>509.7572695697923</c:v>
                </c:pt>
                <c:pt idx="8">
                  <c:v>116.93261019898026</c:v>
                </c:pt>
                <c:pt idx="9">
                  <c:v>407.53106160619541</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2019</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4062.097701355669</c:v>
                </c:pt>
                <c:pt idx="1">
                  <c:v>3198.9516949800391</c:v>
                </c:pt>
                <c:pt idx="2">
                  <c:v>1082.4285095044327</c:v>
                </c:pt>
                <c:pt idx="3">
                  <c:v>844.52767250232239</c:v>
                </c:pt>
                <c:pt idx="4">
                  <c:v>305.60577524503333</c:v>
                </c:pt>
                <c:pt idx="5">
                  <c:v>1164.6768455025992</c:v>
                </c:pt>
                <c:pt idx="6">
                  <c:v>210.51216448811601</c:v>
                </c:pt>
                <c:pt idx="7">
                  <c:v>585.27563423107085</c:v>
                </c:pt>
                <c:pt idx="8">
                  <c:v>235.6731699503423</c:v>
                </c:pt>
                <c:pt idx="9">
                  <c:v>512.81725711120714</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12131.619408748789</c:v>
                </c:pt>
                <c:pt idx="1">
                  <c:v>36546.508659846164</c:v>
                </c:pt>
                <c:pt idx="2">
                  <c:v>13316.301288021919</c:v>
                </c:pt>
                <c:pt idx="3" formatCode="_ * #\ ##0_ ;_ * \-#\ ##0_ ;_ * &quot;-&quot;??_ ;_ @_ ">
                  <c:v>102813.99864433738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12186.599271014493</c:v>
                </c:pt>
                <c:pt idx="1">
                  <c:v>46084.437462450587</c:v>
                </c:pt>
                <c:pt idx="2">
                  <c:v>14752.683947204969</c:v>
                </c:pt>
                <c:pt idx="3" formatCode="_ * #\ ##0_ ;_ * \-#\ ##0_ ;_ * &quot;-&quot;??_ ;_ @_ ">
                  <c:v>119937.32143189397</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2019</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14807.767015942027</c:v>
                </c:pt>
                <c:pt idx="1">
                  <c:v>42098.168316205534</c:v>
                </c:pt>
                <c:pt idx="2">
                  <c:v>17067.714015527949</c:v>
                </c:pt>
                <c:pt idx="3" formatCode="_ * #\ ##0_ ;_ * \-#\ ##0_ ;_ * &quot;-&quot;??_ ;_ @_ ">
                  <c:v>151351.72026880819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2017</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2978.2659125529899</c:v>
                </c:pt>
                <c:pt idx="1">
                  <c:v>1797.6562683560687</c:v>
                </c:pt>
                <c:pt idx="2">
                  <c:v>261.09582339725051</c:v>
                </c:pt>
                <c:pt idx="3">
                  <c:v>1471.8080589208121</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2018</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2733.9660798480263</c:v>
                </c:pt>
                <c:pt idx="1">
                  <c:v>2251.7915513602879</c:v>
                </c:pt>
                <c:pt idx="2">
                  <c:v>251.61776245964279</c:v>
                </c:pt>
                <c:pt idx="3">
                  <c:v>2119.3866837300511</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2019</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2731.2454755245499</c:v>
                </c:pt>
                <c:pt idx="1">
                  <c:v>2158.0585421578689</c:v>
                </c:pt>
                <c:pt idx="2">
                  <c:v>263.97470566479683</c:v>
                </c:pt>
                <c:pt idx="3">
                  <c:v>2107.7706729884922</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2017</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148449</c:v>
                </c:pt>
                <c:pt idx="1">
                  <c:v>52500.265517265732</c:v>
                </c:pt>
                <c:pt idx="2">
                  <c:v>69216.435027459491</c:v>
                </c:pt>
                <c:pt idx="3">
                  <c:v>19019.623626183151</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2018</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154340</c:v>
                </c:pt>
                <c:pt idx="1">
                  <c:v>64737.309980990249</c:v>
                </c:pt>
                <c:pt idx="2">
                  <c:v>79397.7951655941</c:v>
                </c:pt>
                <c:pt idx="3">
                  <c:v>22608.497212931994</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2019</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164509.61538461538</c:v>
                </c:pt>
                <c:pt idx="1">
                  <c:v>62005.236871937072</c:v>
                </c:pt>
                <c:pt idx="2">
                  <c:v>98699.424545248432</c:v>
                </c:pt>
                <c:pt idx="3">
                  <c:v>23125.531931836278</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2017</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3833.5464347256857</c:v>
                </c:pt>
                <c:pt idx="1">
                  <c:v>4864.4012554765559</c:v>
                </c:pt>
                <c:pt idx="2">
                  <c:v>5397.5735274385315</c:v>
                </c:pt>
                <c:pt idx="3">
                  <c:v>7122.0658691989747</c:v>
                </c:pt>
                <c:pt idx="4">
                  <c:v>12623.589153783334</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2018</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4529.9239401496261</c:v>
                </c:pt>
                <c:pt idx="1">
                  <c:v>5414.37</c:v>
                </c:pt>
                <c:pt idx="2">
                  <c:v>5650.9223836734691</c:v>
                </c:pt>
                <c:pt idx="3">
                  <c:v>9512.47684821849</c:v>
                </c:pt>
                <c:pt idx="4">
                  <c:v>11956.071666666667</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2019</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4431.5187032418953</c:v>
                </c:pt>
                <c:pt idx="1">
                  <c:v>5862.3879999999999</c:v>
                </c:pt>
                <c:pt idx="2">
                  <c:v>5021.5564408163264</c:v>
                </c:pt>
                <c:pt idx="3">
                  <c:v>7919.3159106367393</c:v>
                </c:pt>
                <c:pt idx="4">
                  <c:v>13899.584999999999</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'Tab2'!$K$71:$K$216</c:f>
              <c:numCache>
                <c:formatCode>General</c:formatCode>
                <c:ptCount val="14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'Tab2'!$N$71:$N$216</c:f>
              <c:numCache>
                <c:formatCode>#\ ##0.0</c:formatCode>
                <c:ptCount val="146"/>
                <c:pt idx="0">
                  <c:v>227.99614931846344</c:v>
                </c:pt>
                <c:pt idx="1">
                  <c:v>190.9823187081048</c:v>
                </c:pt>
                <c:pt idx="2">
                  <c:v>174.65280590717299</c:v>
                </c:pt>
                <c:pt idx="3">
                  <c:v>213.94302787663105</c:v>
                </c:pt>
                <c:pt idx="4">
                  <c:v>229.41707678883071</c:v>
                </c:pt>
                <c:pt idx="5">
                  <c:v>217.01176689576167</c:v>
                </c:pt>
                <c:pt idx="6">
                  <c:v>215.16328506530374</c:v>
                </c:pt>
                <c:pt idx="7">
                  <c:v>240.66123601789701</c:v>
                </c:pt>
                <c:pt idx="8">
                  <c:v>260.06630242825599</c:v>
                </c:pt>
                <c:pt idx="9">
                  <c:v>284.25980758807583</c:v>
                </c:pt>
                <c:pt idx="10">
                  <c:v>251.88760752688168</c:v>
                </c:pt>
                <c:pt idx="11">
                  <c:v>285.67447354497347</c:v>
                </c:pt>
                <c:pt idx="12">
                  <c:v>264.86409895833327</c:v>
                </c:pt>
                <c:pt idx="13">
                  <c:v>283.41588461538458</c:v>
                </c:pt>
                <c:pt idx="14">
                  <c:v>228.11140298507459</c:v>
                </c:pt>
                <c:pt idx="15">
                  <c:v>266.94267153284665</c:v>
                </c:pt>
                <c:pt idx="16">
                  <c:v>291.62975886524816</c:v>
                </c:pt>
                <c:pt idx="17">
                  <c:v>287.78469972067035</c:v>
                </c:pt>
                <c:pt idx="18">
                  <c:v>235.50640617796216</c:v>
                </c:pt>
                <c:pt idx="19">
                  <c:v>277.08035552536228</c:v>
                </c:pt>
                <c:pt idx="20">
                  <c:v>263.72492021276594</c:v>
                </c:pt>
                <c:pt idx="21">
                  <c:v>187.99505215123855</c:v>
                </c:pt>
                <c:pt idx="22">
                  <c:v>292.80703679653675</c:v>
                </c:pt>
                <c:pt idx="23">
                  <c:v>387.8874391805378</c:v>
                </c:pt>
                <c:pt idx="24">
                  <c:v>274.03358259400079</c:v>
                </c:pt>
                <c:pt idx="25">
                  <c:v>221.48470112079698</c:v>
                </c:pt>
                <c:pt idx="26">
                  <c:v>194.88839536807274</c:v>
                </c:pt>
                <c:pt idx="27">
                  <c:v>245.87297297297292</c:v>
                </c:pt>
                <c:pt idx="28">
                  <c:v>263.26532401782094</c:v>
                </c:pt>
                <c:pt idx="29">
                  <c:v>211.79765187849716</c:v>
                </c:pt>
                <c:pt idx="30">
                  <c:v>183.68502986857825</c:v>
                </c:pt>
                <c:pt idx="31">
                  <c:v>213.80258519388951</c:v>
                </c:pt>
                <c:pt idx="32">
                  <c:v>230.71320272904484</c:v>
                </c:pt>
                <c:pt idx="33">
                  <c:v>221.82985180908378</c:v>
                </c:pt>
                <c:pt idx="34">
                  <c:v>232.15973441108545</c:v>
                </c:pt>
                <c:pt idx="35">
                  <c:v>240.02421916762128</c:v>
                </c:pt>
                <c:pt idx="36">
                  <c:v>224.22678476190472</c:v>
                </c:pt>
                <c:pt idx="37">
                  <c:v>193.20639014296464</c:v>
                </c:pt>
                <c:pt idx="38">
                  <c:v>223.24452837279208</c:v>
                </c:pt>
                <c:pt idx="39">
                  <c:v>184.22117394550213</c:v>
                </c:pt>
                <c:pt idx="40">
                  <c:v>231.14706198960647</c:v>
                </c:pt>
                <c:pt idx="41">
                  <c:v>192.36581497797357</c:v>
                </c:pt>
                <c:pt idx="42">
                  <c:v>222.24456217807207</c:v>
                </c:pt>
                <c:pt idx="43">
                  <c:v>262.9219670329669</c:v>
                </c:pt>
                <c:pt idx="44">
                  <c:v>314.90653846153845</c:v>
                </c:pt>
                <c:pt idx="45">
                  <c:v>275.29997273718641</c:v>
                </c:pt>
                <c:pt idx="46">
                  <c:v>279.70164133188558</c:v>
                </c:pt>
                <c:pt idx="47">
                  <c:v>230.54352771778264</c:v>
                </c:pt>
                <c:pt idx="48">
                  <c:v>277.75660778015697</c:v>
                </c:pt>
                <c:pt idx="49">
                  <c:v>238.95316861494868</c:v>
                </c:pt>
                <c:pt idx="50">
                  <c:v>290.35307474318085</c:v>
                </c:pt>
                <c:pt idx="51">
                  <c:v>275.67575757575764</c:v>
                </c:pt>
                <c:pt idx="52">
                  <c:v>604.55518046709108</c:v>
                </c:pt>
                <c:pt idx="53">
                  <c:v>374.35086575534524</c:v>
                </c:pt>
                <c:pt idx="54">
                  <c:v>381.03874345549752</c:v>
                </c:pt>
                <c:pt idx="55">
                  <c:v>367.48179646936666</c:v>
                </c:pt>
                <c:pt idx="56">
                  <c:v>397.83156731757447</c:v>
                </c:pt>
                <c:pt idx="57">
                  <c:v>436.55245479358587</c:v>
                </c:pt>
                <c:pt idx="58">
                  <c:v>462.31417093142261</c:v>
                </c:pt>
                <c:pt idx="59">
                  <c:v>412.49105860433599</c:v>
                </c:pt>
                <c:pt idx="60">
                  <c:v>435.16792547834837</c:v>
                </c:pt>
                <c:pt idx="61">
                  <c:v>385.5174774322968</c:v>
                </c:pt>
                <c:pt idx="62">
                  <c:v>391.81591015364052</c:v>
                </c:pt>
                <c:pt idx="63">
                  <c:v>450.3479692154915</c:v>
                </c:pt>
                <c:pt idx="64">
                  <c:v>491.20036982248519</c:v>
                </c:pt>
                <c:pt idx="65">
                  <c:v>493.58638454011731</c:v>
                </c:pt>
                <c:pt idx="66">
                  <c:v>664.1834070796458</c:v>
                </c:pt>
                <c:pt idx="67">
                  <c:v>601.50585829307511</c:v>
                </c:pt>
                <c:pt idx="68">
                  <c:v>501.39516730401522</c:v>
                </c:pt>
                <c:pt idx="69">
                  <c:v>364.12282270853149</c:v>
                </c:pt>
                <c:pt idx="70">
                  <c:v>451.40923551756879</c:v>
                </c:pt>
                <c:pt idx="71">
                  <c:v>688.26014981273386</c:v>
                </c:pt>
                <c:pt idx="72">
                  <c:v>944.55822416974138</c:v>
                </c:pt>
                <c:pt idx="73">
                  <c:v>625.30103406326032</c:v>
                </c:pt>
                <c:pt idx="74">
                  <c:v>561.60328707986434</c:v>
                </c:pt>
                <c:pt idx="75">
                  <c:v>710.54348666053318</c:v>
                </c:pt>
                <c:pt idx="76">
                  <c:v>647.13181610247011</c:v>
                </c:pt>
                <c:pt idx="77">
                  <c:v>563.06773484848475</c:v>
                </c:pt>
                <c:pt idx="78">
                  <c:v>695.85491180048655</c:v>
                </c:pt>
                <c:pt idx="79">
                  <c:v>634.07907807807806</c:v>
                </c:pt>
                <c:pt idx="80">
                  <c:v>829.28848749272811</c:v>
                </c:pt>
                <c:pt idx="81">
                  <c:v>548.29527010982497</c:v>
                </c:pt>
                <c:pt idx="82">
                  <c:v>583.31659964253788</c:v>
                </c:pt>
                <c:pt idx="83">
                  <c:v>635.43751776198906</c:v>
                </c:pt>
                <c:pt idx="84">
                  <c:v>697.10956335109506</c:v>
                </c:pt>
                <c:pt idx="85">
                  <c:v>460.88173280423263</c:v>
                </c:pt>
                <c:pt idx="86">
                  <c:v>609.30441445427698</c:v>
                </c:pt>
                <c:pt idx="87">
                  <c:v>569.51226023391837</c:v>
                </c:pt>
                <c:pt idx="88">
                  <c:v>557.4129873937261</c:v>
                </c:pt>
                <c:pt idx="89">
                  <c:v>425.38300925925921</c:v>
                </c:pt>
                <c:pt idx="90">
                  <c:v>590.54729076165631</c:v>
                </c:pt>
                <c:pt idx="91">
                  <c:v>625.83149999999989</c:v>
                </c:pt>
                <c:pt idx="92">
                  <c:v>760.70904802744417</c:v>
                </c:pt>
                <c:pt idx="93">
                  <c:v>557.87513994910921</c:v>
                </c:pt>
                <c:pt idx="94">
                  <c:v>641.90383347541888</c:v>
                </c:pt>
                <c:pt idx="95">
                  <c:v>669.68359663865556</c:v>
                </c:pt>
                <c:pt idx="96">
                  <c:v>838.24199716312035</c:v>
                </c:pt>
                <c:pt idx="97">
                  <c:v>659.03517328825012</c:v>
                </c:pt>
                <c:pt idx="98">
                  <c:v>842.02796547821197</c:v>
                </c:pt>
                <c:pt idx="99">
                  <c:v>711.91895143487807</c:v>
                </c:pt>
                <c:pt idx="100">
                  <c:v>736.21710008203422</c:v>
                </c:pt>
                <c:pt idx="101">
                  <c:v>681.55181967213105</c:v>
                </c:pt>
                <c:pt idx="102">
                  <c:v>890.14604792851367</c:v>
                </c:pt>
                <c:pt idx="103">
                  <c:v>854.89329457364352</c:v>
                </c:pt>
                <c:pt idx="104">
                  <c:v>897.11507733333315</c:v>
                </c:pt>
                <c:pt idx="105">
                  <c:v>728.31473614425886</c:v>
                </c:pt>
                <c:pt idx="106">
                  <c:v>962.08421185539567</c:v>
                </c:pt>
                <c:pt idx="107">
                  <c:v>909.37070695102693</c:v>
                </c:pt>
                <c:pt idx="108">
                  <c:v>1994.7910949615971</c:v>
                </c:pt>
                <c:pt idx="109">
                  <c:v>1017.4425364533149</c:v>
                </c:pt>
                <c:pt idx="110">
                  <c:v>1022.3371648150384</c:v>
                </c:pt>
                <c:pt idx="111">
                  <c:v>1045.8944243186575</c:v>
                </c:pt>
                <c:pt idx="112">
                  <c:v>1236.0554050712963</c:v>
                </c:pt>
                <c:pt idx="113">
                  <c:v>898.83070334518754</c:v>
                </c:pt>
                <c:pt idx="114">
                  <c:v>1071.7175948897905</c:v>
                </c:pt>
                <c:pt idx="115">
                  <c:v>903.20526930648066</c:v>
                </c:pt>
                <c:pt idx="116">
                  <c:v>1000.6277276066699</c:v>
                </c:pt>
                <c:pt idx="117">
                  <c:v>731.55039274483795</c:v>
                </c:pt>
                <c:pt idx="118">
                  <c:v>1008.6032723025593</c:v>
                </c:pt>
                <c:pt idx="119">
                  <c:v>949.69549308152739</c:v>
                </c:pt>
                <c:pt idx="120">
                  <c:v>1166.3254030952282</c:v>
                </c:pt>
                <c:pt idx="121">
                  <c:v>1142.0527339242212</c:v>
                </c:pt>
                <c:pt idx="122">
                  <c:v>831.01020550142584</c:v>
                </c:pt>
                <c:pt idx="123">
                  <c:v>1003.7633426863365</c:v>
                </c:pt>
                <c:pt idx="124">
                  <c:v>989.98059848313346</c:v>
                </c:pt>
                <c:pt idx="125">
                  <c:v>812.96949932422251</c:v>
                </c:pt>
                <c:pt idx="126">
                  <c:v>1195.9212302254789</c:v>
                </c:pt>
                <c:pt idx="127">
                  <c:v>956.21074248978766</c:v>
                </c:pt>
                <c:pt idx="128">
                  <c:v>1049.0874090941882</c:v>
                </c:pt>
                <c:pt idx="129">
                  <c:v>803.41652446032674</c:v>
                </c:pt>
                <c:pt idx="130">
                  <c:v>1063.49483674867</c:v>
                </c:pt>
                <c:pt idx="131">
                  <c:v>944.2615386984121</c:v>
                </c:pt>
                <c:pt idx="132">
                  <c:v>1085.5027907443286</c:v>
                </c:pt>
                <c:pt idx="133">
                  <c:v>835.55193490849956</c:v>
                </c:pt>
                <c:pt idx="134">
                  <c:v>1465.4094742541645</c:v>
                </c:pt>
                <c:pt idx="135">
                  <c:v>994.2809401635725</c:v>
                </c:pt>
                <c:pt idx="136">
                  <c:v>1065.8552644912804</c:v>
                </c:pt>
                <c:pt idx="137">
                  <c:v>790.51851275708145</c:v>
                </c:pt>
                <c:pt idx="138">
                  <c:v>933.61066983480407</c:v>
                </c:pt>
                <c:pt idx="139">
                  <c:v>1165.7703616352198</c:v>
                </c:pt>
                <c:pt idx="140">
                  <c:v>1190.0832219995546</c:v>
                </c:pt>
                <c:pt idx="141">
                  <c:v>1082.658684812923</c:v>
                </c:pt>
                <c:pt idx="142" formatCode="0">
                  <c:v>1206.7894081076811</c:v>
                </c:pt>
                <c:pt idx="143">
                  <c:v>1064.7415441253311</c:v>
                </c:pt>
                <c:pt idx="144">
                  <c:v>1132.6009215156744</c:v>
                </c:pt>
                <c:pt idx="145">
                  <c:v>987.54612497184689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'Tab2'!$K$71:$K$216</c:f>
              <c:numCache>
                <c:formatCode>General</c:formatCode>
                <c:ptCount val="14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numCache>
            </c:numRef>
          </c:cat>
          <c:val>
            <c:numRef>
              <c:f>'Tab2'!$L$71:$L$216</c:f>
              <c:numCache>
                <c:formatCode>#,##0</c:formatCode>
                <c:ptCount val="146"/>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'Tab2'!$K$103:$K$216</c:f>
              <c:numCache>
                <c:formatCode>General</c:formatCode>
                <c:ptCount val="11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numCache>
            </c:numRef>
          </c:cat>
          <c:val>
            <c:numRef>
              <c:f>'Tab2'!$Q$103:$Q$216</c:f>
              <c:numCache>
                <c:formatCode>#\ ##0.0</c:formatCode>
                <c:ptCount val="114"/>
                <c:pt idx="0">
                  <c:v>668.3766803118906</c:v>
                </c:pt>
                <c:pt idx="1">
                  <c:v>646.58061778290971</c:v>
                </c:pt>
                <c:pt idx="2">
                  <c:v>754.43159545804451</c:v>
                </c:pt>
                <c:pt idx="3">
                  <c:v>741.60883925162307</c:v>
                </c:pt>
                <c:pt idx="4">
                  <c:v>709.58939999999984</c:v>
                </c:pt>
                <c:pt idx="5">
                  <c:v>705.05786305492836</c:v>
                </c:pt>
                <c:pt idx="6">
                  <c:v>752.80926719278466</c:v>
                </c:pt>
                <c:pt idx="7">
                  <c:v>722.62241134751741</c:v>
                </c:pt>
                <c:pt idx="8">
                  <c:v>758.78370824053434</c:v>
                </c:pt>
                <c:pt idx="9">
                  <c:v>589.28729258443457</c:v>
                </c:pt>
                <c:pt idx="10">
                  <c:v>650.16575607064044</c:v>
                </c:pt>
                <c:pt idx="11">
                  <c:v>778.10239926739882</c:v>
                </c:pt>
                <c:pt idx="12">
                  <c:v>712.45521611721608</c:v>
                </c:pt>
                <c:pt idx="13">
                  <c:v>817.30196110505267</c:v>
                </c:pt>
                <c:pt idx="14">
                  <c:v>700.48880745566407</c:v>
                </c:pt>
                <c:pt idx="15">
                  <c:v>639.56180345572341</c:v>
                </c:pt>
                <c:pt idx="16">
                  <c:v>881.48356531049239</c:v>
                </c:pt>
                <c:pt idx="17">
                  <c:v>745.05694651080421</c:v>
                </c:pt>
                <c:pt idx="18">
                  <c:v>786.14464576691432</c:v>
                </c:pt>
                <c:pt idx="19">
                  <c:v>592.86315539112024</c:v>
                </c:pt>
                <c:pt idx="20">
                  <c:v>772.43352264685052</c:v>
                </c:pt>
                <c:pt idx="21">
                  <c:v>933.1667875920084</c:v>
                </c:pt>
                <c:pt idx="22">
                  <c:v>923.86018673647436</c:v>
                </c:pt>
                <c:pt idx="23">
                  <c:v>1048.2835479404639</c:v>
                </c:pt>
                <c:pt idx="24">
                  <c:v>975.0223723878039</c:v>
                </c:pt>
                <c:pt idx="25">
                  <c:v>1031.0894097577614</c:v>
                </c:pt>
                <c:pt idx="26">
                  <c:v>1117.8412128966224</c:v>
                </c:pt>
                <c:pt idx="27">
                  <c:v>869.05101626016244</c:v>
                </c:pt>
                <c:pt idx="28">
                  <c:v>915.53223900637784</c:v>
                </c:pt>
                <c:pt idx="29">
                  <c:v>877.33740722166476</c:v>
                </c:pt>
                <c:pt idx="30">
                  <c:v>657.53364061456261</c:v>
                </c:pt>
                <c:pt idx="31">
                  <c:v>1112.0929791459771</c:v>
                </c:pt>
                <c:pt idx="32">
                  <c:v>1030.3993145956606</c:v>
                </c:pt>
                <c:pt idx="33">
                  <c:v>1297.5372765818654</c:v>
                </c:pt>
                <c:pt idx="34">
                  <c:v>845.32433628318529</c:v>
                </c:pt>
                <c:pt idx="35">
                  <c:v>1370.4547745571656</c:v>
                </c:pt>
                <c:pt idx="36">
                  <c:v>1188.4761424474186</c:v>
                </c:pt>
                <c:pt idx="37">
                  <c:v>972.62918807484914</c:v>
                </c:pt>
                <c:pt idx="38">
                  <c:v>1016.8586989553659</c:v>
                </c:pt>
                <c:pt idx="39">
                  <c:v>1049.4263670411981</c:v>
                </c:pt>
                <c:pt idx="40">
                  <c:v>1226.6808271832715</c:v>
                </c:pt>
                <c:pt idx="41">
                  <c:v>1276.8868461070556</c:v>
                </c:pt>
                <c:pt idx="42">
                  <c:v>1644.134298489053</c:v>
                </c:pt>
                <c:pt idx="43">
                  <c:v>1120.4938807114384</c:v>
                </c:pt>
                <c:pt idx="44">
                  <c:v>1138.0641842025007</c:v>
                </c:pt>
                <c:pt idx="45">
                  <c:v>949.84082272727244</c:v>
                </c:pt>
                <c:pt idx="46">
                  <c:v>1239.3964522506083</c:v>
                </c:pt>
                <c:pt idx="47">
                  <c:v>1281.9543618618616</c:v>
                </c:pt>
                <c:pt idx="48">
                  <c:v>1438.4212565445025</c:v>
                </c:pt>
                <c:pt idx="49">
                  <c:v>1104.151371326803</c:v>
                </c:pt>
                <c:pt idx="50">
                  <c:v>1165.5492195412567</c:v>
                </c:pt>
                <c:pt idx="51">
                  <c:v>1026.4759902309058</c:v>
                </c:pt>
                <c:pt idx="52">
                  <c:v>989.98445233866187</c:v>
                </c:pt>
                <c:pt idx="53">
                  <c:v>947.03374338624315</c:v>
                </c:pt>
                <c:pt idx="54">
                  <c:v>875.78284808259559</c:v>
                </c:pt>
                <c:pt idx="55">
                  <c:v>943.51237134502981</c:v>
                </c:pt>
                <c:pt idx="56">
                  <c:v>953.73628847845191</c:v>
                </c:pt>
                <c:pt idx="57">
                  <c:v>981.19750434027753</c:v>
                </c:pt>
                <c:pt idx="58">
                  <c:v>1096.1284868230525</c:v>
                </c:pt>
                <c:pt idx="59">
                  <c:v>1040.1769166666661</c:v>
                </c:pt>
                <c:pt idx="60">
                  <c:v>1231.6984791309319</c:v>
                </c:pt>
                <c:pt idx="61">
                  <c:v>1043.2187955894824</c:v>
                </c:pt>
                <c:pt idx="62">
                  <c:v>1106.3340537084398</c:v>
                </c:pt>
                <c:pt idx="63">
                  <c:v>1052.432745098039</c:v>
                </c:pt>
                <c:pt idx="64">
                  <c:v>1409.3717815602834</c:v>
                </c:pt>
                <c:pt idx="65">
                  <c:v>1335.1165694561846</c:v>
                </c:pt>
                <c:pt idx="66">
                  <c:v>874.72058290888549</c:v>
                </c:pt>
                <c:pt idx="67">
                  <c:v>1144.316833609271</c:v>
                </c:pt>
                <c:pt idx="68">
                  <c:v>1198.5450205086136</c:v>
                </c:pt>
                <c:pt idx="69">
                  <c:v>1433.9432704918033</c:v>
                </c:pt>
                <c:pt idx="70">
                  <c:v>1830.9147644191705</c:v>
                </c:pt>
                <c:pt idx="71">
                  <c:v>1410.4341085271317</c:v>
                </c:pt>
                <c:pt idx="72">
                  <c:v>1273.5007026666665</c:v>
                </c:pt>
                <c:pt idx="73">
                  <c:v>1300.1829315831342</c:v>
                </c:pt>
                <c:pt idx="74">
                  <c:v>1545.3560778841038</c:v>
                </c:pt>
                <c:pt idx="75">
                  <c:v>1427.8305766192736</c:v>
                </c:pt>
                <c:pt idx="76">
                  <c:v>1942.1003690753689</c:v>
                </c:pt>
                <c:pt idx="77">
                  <c:v>1625.2572291181789</c:v>
                </c:pt>
                <c:pt idx="78">
                  <c:v>1525.9451304121019</c:v>
                </c:pt>
                <c:pt idx="79">
                  <c:v>1540.6641912144712</c:v>
                </c:pt>
                <c:pt idx="80">
                  <c:v>1978.1852931387607</c:v>
                </c:pt>
                <c:pt idx="81">
                  <c:v>1774.7836921119592</c:v>
                </c:pt>
                <c:pt idx="82">
                  <c:v>1506.1398016486341</c:v>
                </c:pt>
                <c:pt idx="83">
                  <c:v>1495.1438081716512</c:v>
                </c:pt>
                <c:pt idx="84">
                  <c:v>1324.316891095651</c:v>
                </c:pt>
                <c:pt idx="85">
                  <c:v>1194.779961147078</c:v>
                </c:pt>
                <c:pt idx="86">
                  <c:v>1320.3458743488168</c:v>
                </c:pt>
                <c:pt idx="87">
                  <c:v>1230.2166885406734</c:v>
                </c:pt>
                <c:pt idx="88">
                  <c:v>1308.9442399423406</c:v>
                </c:pt>
                <c:pt idx="89">
                  <c:v>1279.9290532426726</c:v>
                </c:pt>
                <c:pt idx="90">
                  <c:v>1495.1895603895471</c:v>
                </c:pt>
                <c:pt idx="91">
                  <c:v>1358.9504169131756</c:v>
                </c:pt>
                <c:pt idx="92">
                  <c:v>1657.9182010039053</c:v>
                </c:pt>
                <c:pt idx="93">
                  <c:v>1285.2545664427782</c:v>
                </c:pt>
                <c:pt idx="94">
                  <c:v>1394.3372490251329</c:v>
                </c:pt>
                <c:pt idx="95">
                  <c:v>1216.9873623784506</c:v>
                </c:pt>
                <c:pt idx="96">
                  <c:v>1402.1016529171804</c:v>
                </c:pt>
                <c:pt idx="97">
                  <c:v>1310.6594409597487</c:v>
                </c:pt>
                <c:pt idx="98">
                  <c:v>1455.5516910284111</c:v>
                </c:pt>
                <c:pt idx="99">
                  <c:v>1525.1381074181288</c:v>
                </c:pt>
                <c:pt idx="100">
                  <c:v>1346.4013655378233</c:v>
                </c:pt>
                <c:pt idx="101">
                  <c:v>1041.827208726377</c:v>
                </c:pt>
                <c:pt idx="102">
                  <c:v>1557.3865356939077</c:v>
                </c:pt>
                <c:pt idx="103">
                  <c:v>1263.1159251707695</c:v>
                </c:pt>
                <c:pt idx="104">
                  <c:v>1342.687407365117</c:v>
                </c:pt>
                <c:pt idx="105">
                  <c:v>1729.9878222483173</c:v>
                </c:pt>
                <c:pt idx="106">
                  <c:v>981.98961303462295</c:v>
                </c:pt>
                <c:pt idx="107">
                  <c:v>1231.15975965858</c:v>
                </c:pt>
                <c:pt idx="108">
                  <c:v>1278.2000222667557</c:v>
                </c:pt>
                <c:pt idx="109">
                  <c:v>1479.9864078471712</c:v>
                </c:pt>
                <c:pt idx="110">
                  <c:v>1814.3346381369879</c:v>
                </c:pt>
                <c:pt idx="111">
                  <c:v>1433.3780656118029</c:v>
                </c:pt>
                <c:pt idx="112">
                  <c:v>1362.2366097736142</c:v>
                </c:pt>
                <c:pt idx="113">
                  <c:v>1320.7977329153352</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'Tab2'!$O$103:$O$216</c:f>
              <c:numCache>
                <c:formatCode>#,##0</c:formatCode>
                <c:ptCount val="114"/>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NULL"/></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742950</xdr:colOff>
      <xdr:row>54</xdr:row>
      <xdr:rowOff>152400</xdr:rowOff>
    </xdr:to>
    <xdr:pic>
      <xdr:nvPicPr>
        <xdr:cNvPr id="2" name="Picture 1" descr="Statistikk_forside.pd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6591300" cy="11382375"/>
        </a:xfrm>
        <a:prstGeom prst="rect">
          <a:avLst/>
        </a:prstGeom>
        <a:noFill/>
        <a:ln w="9525">
          <a:noFill/>
          <a:miter lim="800000"/>
          <a:headEnd/>
          <a:tailEnd/>
        </a:ln>
      </xdr:spPr>
    </xdr:pic>
    <xdr:clientData/>
  </xdr:twoCellAnchor>
  <xdr:twoCellAnchor editAs="oneCell">
    <xdr:from>
      <xdr:col>0</xdr:col>
      <xdr:colOff>0</xdr:colOff>
      <xdr:row>0</xdr:row>
      <xdr:rowOff>9525</xdr:rowOff>
    </xdr:from>
    <xdr:to>
      <xdr:col>7</xdr:col>
      <xdr:colOff>687128</xdr:colOff>
      <xdr:row>54</xdr:row>
      <xdr:rowOff>15452</xdr:rowOff>
    </xdr:to>
    <xdr:pic>
      <xdr:nvPicPr>
        <xdr:cNvPr id="8" name="Picture 6">
          <a:extLst>
            <a:ext uri="{FF2B5EF4-FFF2-40B4-BE49-F238E27FC236}">
              <a16:creationId xmlns:a16="http://schemas.microsoft.com/office/drawing/2014/main" id="{E8101920-C29F-49E1-B76F-4E22E701AD18}"/>
            </a:ext>
          </a:extLst>
        </xdr:cNvPr>
        <xdr:cNvPicPr>
          <a:picLocks noChangeAspect="1"/>
        </xdr:cNvPicPr>
      </xdr:nvPicPr>
      <xdr:blipFill>
        <a:blip xmlns:r="http://schemas.openxmlformats.org/officeDocument/2006/relationships" r:embed="rId2"/>
        <a:stretch>
          <a:fillRect/>
        </a:stretch>
      </xdr:blipFill>
      <xdr:spPr>
        <a:xfrm>
          <a:off x="0" y="9525"/>
          <a:ext cx="6535478" cy="11235902"/>
        </a:xfrm>
        <a:prstGeom prst="rect">
          <a:avLst/>
        </a:prstGeom>
      </xdr:spPr>
    </xdr:pic>
    <xdr:clientData/>
  </xdr:twoCellAnchor>
  <xdr:twoCellAnchor>
    <xdr:from>
      <xdr:col>0</xdr:col>
      <xdr:colOff>695325</xdr:colOff>
      <xdr:row>41</xdr:row>
      <xdr:rowOff>38101</xdr:rowOff>
    </xdr:from>
    <xdr:to>
      <xdr:col>4</xdr:col>
      <xdr:colOff>815992</xdr:colOff>
      <xdr:row>44</xdr:row>
      <xdr:rowOff>85726</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086851"/>
          <a:ext cx="3502042" cy="6096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2019 </a:t>
          </a:r>
          <a:r>
            <a:rPr lang="nb-NO" sz="1000">
              <a:effectLst/>
              <a:latin typeface="Arial"/>
              <a:ea typeface="ＭＳ 明朝"/>
              <a:cs typeface="Times New Roman"/>
            </a:rPr>
            <a:t>(28. august 2019)</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76200</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23900"/>
          <a:ext cx="2094850" cy="692603"/>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126051</xdr:colOff>
      <xdr:row>3</xdr:row>
      <xdr:rowOff>85725</xdr:rowOff>
    </xdr:from>
    <xdr:to>
      <xdr:col>1</xdr:col>
      <xdr:colOff>676275</xdr:colOff>
      <xdr:row>43</xdr:row>
      <xdr:rowOff>171450</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126051" y="428625"/>
          <a:ext cx="2359974" cy="7705725"/>
        </a:xfrm>
        <a:prstGeom prst="rect">
          <a:avLst/>
        </a:prstGeom>
        <a:solidFill>
          <a:srgbClr val="FFFFFF"/>
        </a:solidFill>
        <a:ln w="9525">
          <a:noFill/>
          <a:miter lim="800000"/>
          <a:headEnd/>
          <a:tailEnd/>
        </a:ln>
      </xdr:spPr>
      <xdr:txBody>
        <a:bodyPr vertOverflow="clip" wrap="square" lIns="27432" tIns="27432" rIns="0" bIns="0" anchor="t" upright="1"/>
        <a:lstStyle/>
        <a:p>
          <a:r>
            <a:rPr lang="nb-NO" sz="1100" b="1">
              <a:effectLst/>
              <a:latin typeface="Times New Roman" panose="02020603050405020304" pitchFamily="18" charset="0"/>
              <a:ea typeface="+mn-ea"/>
              <a:cs typeface="Times New Roman" panose="02020603050405020304" pitchFamily="18" charset="0"/>
            </a:rPr>
            <a:t>Skadeutviklingen første halvår 2019 – normalår for brann- og vannerstatninger, økte erstatninger på behandlingsforsikring</a:t>
          </a:r>
          <a:endParaRPr lang="nb-NO" sz="1100">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r>
            <a:rPr lang="nb-NO" sz="1100" i="1">
              <a:effectLst/>
              <a:latin typeface="Times New Roman" panose="02020603050405020304" pitchFamily="18" charset="0"/>
              <a:ea typeface="+mn-ea"/>
              <a:cs typeface="Times New Roman" panose="02020603050405020304" pitchFamily="18" charset="0"/>
            </a:rPr>
            <a:t>Husk at sommeren i fjor var svært tørr og varm, mens det i år har vært mer normalt. Dessuten var vinteren i fjor kald med mye snø som blant annet ga mye takskader på bygning.</a:t>
          </a:r>
        </a:p>
        <a:p>
          <a:endParaRPr lang="nb-NO" sz="1100">
            <a:effectLst/>
            <a:latin typeface="Times New Roman" panose="02020603050405020304" pitchFamily="18" charset="0"/>
            <a:ea typeface="+mn-ea"/>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Erstatningene for landbasert forsikring totalt hittil i år ble på 21,7 milliarder kr, mot 20,8 milliarder i fjor til samme tid, en økning på 4 prosent. Erstatningsøkningen er på linje med premieveksten i samme periode.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a:effectLst/>
              <a:latin typeface="Times New Roman" panose="02020603050405020304" pitchFamily="18" charset="0"/>
              <a:ea typeface="+mn-ea"/>
              <a:cs typeface="Times New Roman" panose="02020603050405020304" pitchFamily="18" charset="0"/>
            </a:rPr>
            <a:t>På motorkjøretøy er antall meldte skader 1 prosent lavere enn i fjor, mens erstatningsbeløpet økte med 4,5 prosent til 8,047 mrd. kr og hvor kaskoskadene utgjør 48 prosent av erstatningene. Erstatning etter tyveri av og fra kjøretøy har økt relativt mye fra i fjor og særlig tyveri fra kjøretøyet. Totalt utgjør tyverierstatning 135 mill.kr mot 93 mill.kr til samme tid i fjor. Antall glasskader er redusert med nesten 2 prosent, mens erstatningene økte med nesten 1 prosent.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r>
            <a:rPr lang="nb-NO" sz="1100">
              <a:effectLst/>
              <a:latin typeface="Times New Roman" panose="02020603050405020304" pitchFamily="18" charset="0"/>
              <a:ea typeface="+mn-ea"/>
              <a:cs typeface="Times New Roman" panose="02020603050405020304" pitchFamily="18" charset="0"/>
            </a:rPr>
            <a:t>Erstatninger på private bygninger og innbo ble redusert til en mer normal situasjon uten fjorårets snøtyngde- og frost-skader. Årets erstatninger på 4,062 mrd. kr ble redusert med 7 prosent fra i fjor til samme tid. </a:t>
          </a:r>
        </a:p>
        <a:p>
          <a:endParaRPr lang="nb-NO" sz="1100">
            <a:effectLst/>
            <a:latin typeface="Times New Roman" panose="02020603050405020304" pitchFamily="18" charset="0"/>
            <a:ea typeface="+mn-ea"/>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Antall meldte brannskader økte med 24 prosent, mens</a:t>
          </a:r>
          <a:r>
            <a:rPr lang="nb-NO" sz="1100" baseline="0">
              <a:effectLst/>
              <a:latin typeface="Times New Roman" panose="02020603050405020304" pitchFamily="18" charset="0"/>
              <a:ea typeface="+mn-ea"/>
              <a:cs typeface="Times New Roman" panose="02020603050405020304" pitchFamily="18" charset="0"/>
            </a:rPr>
            <a:t> </a:t>
          </a:r>
          <a:r>
            <a:rPr lang="nb-NO" sz="1100">
              <a:effectLst/>
              <a:latin typeface="Times New Roman" panose="02020603050405020304" pitchFamily="18" charset="0"/>
              <a:ea typeface="+mn-ea"/>
              <a:cs typeface="Times New Roman" panose="02020603050405020304" pitchFamily="18" charset="0"/>
            </a:rPr>
            <a:t>brannerstatningene ble 7 prosent lavere enn i fjor. Mye av økningen i antall brannskader er som følge av skader etter lynnedslag og slike skader er ofte små.</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514351</xdr:colOff>
      <xdr:row>3</xdr:row>
      <xdr:rowOff>85725</xdr:rowOff>
    </xdr:from>
    <xdr:to>
      <xdr:col>6</xdr:col>
      <xdr:colOff>447675</xdr:colOff>
      <xdr:row>43</xdr:row>
      <xdr:rowOff>161924</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3028951" y="428625"/>
          <a:ext cx="2352674" cy="7696199"/>
        </a:xfrm>
        <a:prstGeom prst="rect">
          <a:avLst/>
        </a:prstGeom>
        <a:solidFill>
          <a:srgbClr val="FFFFFF"/>
        </a:solidFill>
        <a:ln w="9525">
          <a:noFill/>
          <a:miter lim="800000"/>
          <a:headEnd/>
          <a:tailEnd/>
        </a:ln>
      </xdr:spPr>
      <xdr:txBody>
        <a:bodyPr vertOverflow="clip" wrap="square" lIns="27432" tIns="27432" rIns="0" bIns="0" anchor="t" upright="1"/>
        <a:lstStyle/>
        <a:p>
          <a:r>
            <a:rPr lang="nb-NO" sz="1100">
              <a:effectLst/>
              <a:latin typeface="Times New Roman" panose="02020603050405020304" pitchFamily="18" charset="0"/>
              <a:ea typeface="+mn-ea"/>
              <a:cs typeface="Times New Roman" panose="02020603050405020304" pitchFamily="18" charset="0"/>
            </a:rPr>
            <a:t>På næring økte erstatningene på bygg og innbo/løsøre med nesten 8 prosent fra i fjor, hvor brann utgjør den største delen. Erstatning totalt hittil er på 3,199 milliarder kr, hvor brann er på 1,336 milliarder med en økning på 8 prosent fra i fjor. </a:t>
          </a:r>
        </a:p>
        <a:p>
          <a:endParaRPr lang="nb-NO" sz="1100">
            <a:effectLst/>
            <a:latin typeface="Times New Roman" panose="02020603050405020304" pitchFamily="18" charset="0"/>
            <a:ea typeface="+mn-ea"/>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På reiseforsikring øker både antall skader og erstatningsbeløp med rundt 7 prosent. Fortsatt er det økning på erstatning etter sykdom på reise, selv om det i sommermånedene er mye tyveri og tap av reisegods. Hittil er det erstattet reiseskader for nesten 1,2 mrd. kr hvor reisesykdom utgjør nesten 550 mill. kr. </a:t>
          </a:r>
        </a:p>
        <a:p>
          <a:endParaRPr lang="nb-NO" sz="1100">
            <a:effectLst/>
            <a:latin typeface="Times New Roman" panose="02020603050405020304" pitchFamily="18" charset="0"/>
            <a:ea typeface="+mn-ea"/>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Porteføljen vokser mye på behandlingsforsikring og dette gjenspeiler seg i erstatningsutviklingen hittil i år. Totalt er det erstatninger på rundt 680 mill.kr hittil i år som er en økning på 37 prosent fra i fjor. </a:t>
          </a:r>
        </a:p>
        <a:p>
          <a:endParaRPr lang="nb-NO" sz="1100">
            <a:effectLst/>
            <a:latin typeface="Times New Roman" panose="02020603050405020304" pitchFamily="18" charset="0"/>
            <a:ea typeface="+mn-ea"/>
            <a:cs typeface="Times New Roman" panose="02020603050405020304" pitchFamily="18" charset="0"/>
          </a:endParaRPr>
        </a:p>
        <a:p>
          <a:r>
            <a:rPr lang="nb-NO" sz="1100">
              <a:effectLst/>
              <a:latin typeface="Times New Roman" panose="02020603050405020304" pitchFamily="18" charset="0"/>
              <a:ea typeface="+mn-ea"/>
              <a:cs typeface="Times New Roman" panose="02020603050405020304" pitchFamily="18" charset="0"/>
            </a:rPr>
            <a:t>Erstatning på fiskeoppdrett fordoblet seg fra i fjor, siden det var mye algeangrep i nord. Men Finans Norge har trolig ikke medlemmer som representerer hele dette markedet, slik at de reelle skadene framkommer ikke av vår statistikk.</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ACE European Group</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Codan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Danica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DNB Livsforsikring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Eika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Euro Insurance LTD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Frende Skadeforsikring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Fremtind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Gjensidige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If Skadeforsikring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Insr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Inter Hannover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Jernbanepersonalets bank og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KLP skadeforsikring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KNIF Trygghet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Landkreditt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Møretrygd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Nordea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Oslo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Oslo Pensjonsforsikring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Protector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Skogbrand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SpareBank 1 Livsforsikring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Storebrand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Telenor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Troll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Tryg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WaterCircles Forsikring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  W R Berkley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topLeftCell="A19" zoomScaleNormal="100" zoomScaleSheetLayoutView="100" workbookViewId="0">
      <selection activeCell="W91" sqref="W91"/>
    </sheetView>
  </sheetViews>
  <sheetFormatPr baseColWidth="10" defaultColWidth="11.42578125" defaultRowHeight="12.75" x14ac:dyDescent="0.2"/>
  <cols>
    <col min="1" max="1" width="16.42578125" style="121" customWidth="1"/>
    <col min="2" max="4" width="11.42578125" style="121"/>
    <col min="5" max="5" width="14.140625" style="121" bestFit="1" customWidth="1"/>
    <col min="6" max="7" width="11.42578125" style="121"/>
    <col min="8" max="8" width="13.42578125" style="121" customWidth="1"/>
    <col min="9" max="9" width="11.42578125" style="121"/>
    <col min="10" max="10" width="13.42578125" style="121" bestFit="1" customWidth="1"/>
    <col min="11" max="256" width="11.42578125" style="121"/>
    <col min="257" max="257" width="16.42578125" style="121" customWidth="1"/>
    <col min="258" max="260" width="11.42578125" style="121"/>
    <col min="261" max="261" width="14.140625" style="121" bestFit="1" customWidth="1"/>
    <col min="262" max="263" width="11.42578125" style="121"/>
    <col min="264" max="264" width="13.42578125" style="121" customWidth="1"/>
    <col min="265" max="265" width="11.42578125" style="121"/>
    <col min="266" max="266" width="13.42578125" style="121" bestFit="1" customWidth="1"/>
    <col min="267" max="512" width="11.42578125" style="121"/>
    <col min="513" max="513" width="16.42578125" style="121" customWidth="1"/>
    <col min="514" max="516" width="11.42578125" style="121"/>
    <col min="517" max="517" width="14.140625" style="121" bestFit="1" customWidth="1"/>
    <col min="518" max="519" width="11.42578125" style="121"/>
    <col min="520" max="520" width="13.42578125" style="121" customWidth="1"/>
    <col min="521" max="521" width="11.42578125" style="121"/>
    <col min="522" max="522" width="13.42578125" style="121" bestFit="1" customWidth="1"/>
    <col min="523" max="768" width="11.42578125" style="121"/>
    <col min="769" max="769" width="16.42578125" style="121" customWidth="1"/>
    <col min="770" max="772" width="11.42578125" style="121"/>
    <col min="773" max="773" width="14.140625" style="121" bestFit="1" customWidth="1"/>
    <col min="774" max="775" width="11.42578125" style="121"/>
    <col min="776" max="776" width="13.42578125" style="121" customWidth="1"/>
    <col min="777" max="777" width="11.42578125" style="121"/>
    <col min="778" max="778" width="13.42578125" style="121" bestFit="1" customWidth="1"/>
    <col min="779" max="1024" width="11.42578125" style="121"/>
    <col min="1025" max="1025" width="16.42578125" style="121" customWidth="1"/>
    <col min="1026" max="1028" width="11.42578125" style="121"/>
    <col min="1029" max="1029" width="14.140625" style="121" bestFit="1" customWidth="1"/>
    <col min="1030" max="1031" width="11.42578125" style="121"/>
    <col min="1032" max="1032" width="13.42578125" style="121" customWidth="1"/>
    <col min="1033" max="1033" width="11.42578125" style="121"/>
    <col min="1034" max="1034" width="13.42578125" style="121" bestFit="1" customWidth="1"/>
    <col min="1035" max="1280" width="11.42578125" style="121"/>
    <col min="1281" max="1281" width="16.42578125" style="121" customWidth="1"/>
    <col min="1282" max="1284" width="11.42578125" style="121"/>
    <col min="1285" max="1285" width="14.140625" style="121" bestFit="1" customWidth="1"/>
    <col min="1286" max="1287" width="11.42578125" style="121"/>
    <col min="1288" max="1288" width="13.42578125" style="121" customWidth="1"/>
    <col min="1289" max="1289" width="11.42578125" style="121"/>
    <col min="1290" max="1290" width="13.42578125" style="121" bestFit="1" customWidth="1"/>
    <col min="1291" max="1536" width="11.42578125" style="121"/>
    <col min="1537" max="1537" width="16.42578125" style="121" customWidth="1"/>
    <col min="1538" max="1540" width="11.42578125" style="121"/>
    <col min="1541" max="1541" width="14.140625" style="121" bestFit="1" customWidth="1"/>
    <col min="1542" max="1543" width="11.42578125" style="121"/>
    <col min="1544" max="1544" width="13.42578125" style="121" customWidth="1"/>
    <col min="1545" max="1545" width="11.42578125" style="121"/>
    <col min="1546" max="1546" width="13.42578125" style="121" bestFit="1" customWidth="1"/>
    <col min="1547" max="1792" width="11.42578125" style="121"/>
    <col min="1793" max="1793" width="16.42578125" style="121" customWidth="1"/>
    <col min="1794" max="1796" width="11.42578125" style="121"/>
    <col min="1797" max="1797" width="14.140625" style="121" bestFit="1" customWidth="1"/>
    <col min="1798" max="1799" width="11.42578125" style="121"/>
    <col min="1800" max="1800" width="13.42578125" style="121" customWidth="1"/>
    <col min="1801" max="1801" width="11.42578125" style="121"/>
    <col min="1802" max="1802" width="13.42578125" style="121" bestFit="1" customWidth="1"/>
    <col min="1803" max="2048" width="11.42578125" style="121"/>
    <col min="2049" max="2049" width="16.42578125" style="121" customWidth="1"/>
    <col min="2050" max="2052" width="11.42578125" style="121"/>
    <col min="2053" max="2053" width="14.140625" style="121" bestFit="1" customWidth="1"/>
    <col min="2054" max="2055" width="11.42578125" style="121"/>
    <col min="2056" max="2056" width="13.42578125" style="121" customWidth="1"/>
    <col min="2057" max="2057" width="11.42578125" style="121"/>
    <col min="2058" max="2058" width="13.42578125" style="121" bestFit="1" customWidth="1"/>
    <col min="2059" max="2304" width="11.42578125" style="121"/>
    <col min="2305" max="2305" width="16.42578125" style="121" customWidth="1"/>
    <col min="2306" max="2308" width="11.42578125" style="121"/>
    <col min="2309" max="2309" width="14.140625" style="121" bestFit="1" customWidth="1"/>
    <col min="2310" max="2311" width="11.42578125" style="121"/>
    <col min="2312" max="2312" width="13.42578125" style="121" customWidth="1"/>
    <col min="2313" max="2313" width="11.42578125" style="121"/>
    <col min="2314" max="2314" width="13.42578125" style="121" bestFit="1" customWidth="1"/>
    <col min="2315" max="2560" width="11.42578125" style="121"/>
    <col min="2561" max="2561" width="16.42578125" style="121" customWidth="1"/>
    <col min="2562" max="2564" width="11.42578125" style="121"/>
    <col min="2565" max="2565" width="14.140625" style="121" bestFit="1" customWidth="1"/>
    <col min="2566" max="2567" width="11.42578125" style="121"/>
    <col min="2568" max="2568" width="13.42578125" style="121" customWidth="1"/>
    <col min="2569" max="2569" width="11.42578125" style="121"/>
    <col min="2570" max="2570" width="13.42578125" style="121" bestFit="1" customWidth="1"/>
    <col min="2571" max="2816" width="11.42578125" style="121"/>
    <col min="2817" max="2817" width="16.42578125" style="121" customWidth="1"/>
    <col min="2818" max="2820" width="11.42578125" style="121"/>
    <col min="2821" max="2821" width="14.140625" style="121" bestFit="1" customWidth="1"/>
    <col min="2822" max="2823" width="11.42578125" style="121"/>
    <col min="2824" max="2824" width="13.42578125" style="121" customWidth="1"/>
    <col min="2825" max="2825" width="11.42578125" style="121"/>
    <col min="2826" max="2826" width="13.42578125" style="121" bestFit="1" customWidth="1"/>
    <col min="2827" max="3072" width="11.42578125" style="121"/>
    <col min="3073" max="3073" width="16.42578125" style="121" customWidth="1"/>
    <col min="3074" max="3076" width="11.42578125" style="121"/>
    <col min="3077" max="3077" width="14.140625" style="121" bestFit="1" customWidth="1"/>
    <col min="3078" max="3079" width="11.42578125" style="121"/>
    <col min="3080" max="3080" width="13.42578125" style="121" customWidth="1"/>
    <col min="3081" max="3081" width="11.42578125" style="121"/>
    <col min="3082" max="3082" width="13.42578125" style="121" bestFit="1" customWidth="1"/>
    <col min="3083" max="3328" width="11.42578125" style="121"/>
    <col min="3329" max="3329" width="16.42578125" style="121" customWidth="1"/>
    <col min="3330" max="3332" width="11.42578125" style="121"/>
    <col min="3333" max="3333" width="14.140625" style="121" bestFit="1" customWidth="1"/>
    <col min="3334" max="3335" width="11.42578125" style="121"/>
    <col min="3336" max="3336" width="13.42578125" style="121" customWidth="1"/>
    <col min="3337" max="3337" width="11.42578125" style="121"/>
    <col min="3338" max="3338" width="13.42578125" style="121" bestFit="1" customWidth="1"/>
    <col min="3339" max="3584" width="11.42578125" style="121"/>
    <col min="3585" max="3585" width="16.42578125" style="121" customWidth="1"/>
    <col min="3586" max="3588" width="11.42578125" style="121"/>
    <col min="3589" max="3589" width="14.140625" style="121" bestFit="1" customWidth="1"/>
    <col min="3590" max="3591" width="11.42578125" style="121"/>
    <col min="3592" max="3592" width="13.42578125" style="121" customWidth="1"/>
    <col min="3593" max="3593" width="11.42578125" style="121"/>
    <col min="3594" max="3594" width="13.42578125" style="121" bestFit="1" customWidth="1"/>
    <col min="3595" max="3840" width="11.42578125" style="121"/>
    <col min="3841" max="3841" width="16.42578125" style="121" customWidth="1"/>
    <col min="3842" max="3844" width="11.42578125" style="121"/>
    <col min="3845" max="3845" width="14.140625" style="121" bestFit="1" customWidth="1"/>
    <col min="3846" max="3847" width="11.42578125" style="121"/>
    <col min="3848" max="3848" width="13.42578125" style="121" customWidth="1"/>
    <col min="3849" max="3849" width="11.42578125" style="121"/>
    <col min="3850" max="3850" width="13.42578125" style="121" bestFit="1" customWidth="1"/>
    <col min="3851" max="4096" width="11.42578125" style="121"/>
    <col min="4097" max="4097" width="16.42578125" style="121" customWidth="1"/>
    <col min="4098" max="4100" width="11.42578125" style="121"/>
    <col min="4101" max="4101" width="14.140625" style="121" bestFit="1" customWidth="1"/>
    <col min="4102" max="4103" width="11.42578125" style="121"/>
    <col min="4104" max="4104" width="13.42578125" style="121" customWidth="1"/>
    <col min="4105" max="4105" width="11.42578125" style="121"/>
    <col min="4106" max="4106" width="13.42578125" style="121" bestFit="1" customWidth="1"/>
    <col min="4107" max="4352" width="11.42578125" style="121"/>
    <col min="4353" max="4353" width="16.42578125" style="121" customWidth="1"/>
    <col min="4354" max="4356" width="11.42578125" style="121"/>
    <col min="4357" max="4357" width="14.140625" style="121" bestFit="1" customWidth="1"/>
    <col min="4358" max="4359" width="11.42578125" style="121"/>
    <col min="4360" max="4360" width="13.42578125" style="121" customWidth="1"/>
    <col min="4361" max="4361" width="11.42578125" style="121"/>
    <col min="4362" max="4362" width="13.42578125" style="121" bestFit="1" customWidth="1"/>
    <col min="4363" max="4608" width="11.42578125" style="121"/>
    <col min="4609" max="4609" width="16.42578125" style="121" customWidth="1"/>
    <col min="4610" max="4612" width="11.42578125" style="121"/>
    <col min="4613" max="4613" width="14.140625" style="121" bestFit="1" customWidth="1"/>
    <col min="4614" max="4615" width="11.42578125" style="121"/>
    <col min="4616" max="4616" width="13.42578125" style="121" customWidth="1"/>
    <col min="4617" max="4617" width="11.42578125" style="121"/>
    <col min="4618" max="4618" width="13.42578125" style="121" bestFit="1" customWidth="1"/>
    <col min="4619" max="4864" width="11.42578125" style="121"/>
    <col min="4865" max="4865" width="16.42578125" style="121" customWidth="1"/>
    <col min="4866" max="4868" width="11.42578125" style="121"/>
    <col min="4869" max="4869" width="14.140625" style="121" bestFit="1" customWidth="1"/>
    <col min="4870" max="4871" width="11.42578125" style="121"/>
    <col min="4872" max="4872" width="13.42578125" style="121" customWidth="1"/>
    <col min="4873" max="4873" width="11.42578125" style="121"/>
    <col min="4874" max="4874" width="13.42578125" style="121" bestFit="1" customWidth="1"/>
    <col min="4875" max="5120" width="11.42578125" style="121"/>
    <col min="5121" max="5121" width="16.42578125" style="121" customWidth="1"/>
    <col min="5122" max="5124" width="11.42578125" style="121"/>
    <col min="5125" max="5125" width="14.140625" style="121" bestFit="1" customWidth="1"/>
    <col min="5126" max="5127" width="11.42578125" style="121"/>
    <col min="5128" max="5128" width="13.42578125" style="121" customWidth="1"/>
    <col min="5129" max="5129" width="11.42578125" style="121"/>
    <col min="5130" max="5130" width="13.42578125" style="121" bestFit="1" customWidth="1"/>
    <col min="5131" max="5376" width="11.42578125" style="121"/>
    <col min="5377" max="5377" width="16.42578125" style="121" customWidth="1"/>
    <col min="5378" max="5380" width="11.42578125" style="121"/>
    <col min="5381" max="5381" width="14.140625" style="121" bestFit="1" customWidth="1"/>
    <col min="5382" max="5383" width="11.42578125" style="121"/>
    <col min="5384" max="5384" width="13.42578125" style="121" customWidth="1"/>
    <col min="5385" max="5385" width="11.42578125" style="121"/>
    <col min="5386" max="5386" width="13.42578125" style="121" bestFit="1" customWidth="1"/>
    <col min="5387" max="5632" width="11.42578125" style="121"/>
    <col min="5633" max="5633" width="16.42578125" style="121" customWidth="1"/>
    <col min="5634" max="5636" width="11.42578125" style="121"/>
    <col min="5637" max="5637" width="14.140625" style="121" bestFit="1" customWidth="1"/>
    <col min="5638" max="5639" width="11.42578125" style="121"/>
    <col min="5640" max="5640" width="13.42578125" style="121" customWidth="1"/>
    <col min="5641" max="5641" width="11.42578125" style="121"/>
    <col min="5642" max="5642" width="13.42578125" style="121" bestFit="1" customWidth="1"/>
    <col min="5643" max="5888" width="11.42578125" style="121"/>
    <col min="5889" max="5889" width="16.42578125" style="121" customWidth="1"/>
    <col min="5890" max="5892" width="11.42578125" style="121"/>
    <col min="5893" max="5893" width="14.140625" style="121" bestFit="1" customWidth="1"/>
    <col min="5894" max="5895" width="11.42578125" style="121"/>
    <col min="5896" max="5896" width="13.42578125" style="121" customWidth="1"/>
    <col min="5897" max="5897" width="11.42578125" style="121"/>
    <col min="5898" max="5898" width="13.42578125" style="121" bestFit="1" customWidth="1"/>
    <col min="5899" max="6144" width="11.42578125" style="121"/>
    <col min="6145" max="6145" width="16.42578125" style="121" customWidth="1"/>
    <col min="6146" max="6148" width="11.42578125" style="121"/>
    <col min="6149" max="6149" width="14.140625" style="121" bestFit="1" customWidth="1"/>
    <col min="6150" max="6151" width="11.42578125" style="121"/>
    <col min="6152" max="6152" width="13.42578125" style="121" customWidth="1"/>
    <col min="6153" max="6153" width="11.42578125" style="121"/>
    <col min="6154" max="6154" width="13.42578125" style="121" bestFit="1" customWidth="1"/>
    <col min="6155" max="6400" width="11.42578125" style="121"/>
    <col min="6401" max="6401" width="16.42578125" style="121" customWidth="1"/>
    <col min="6402" max="6404" width="11.42578125" style="121"/>
    <col min="6405" max="6405" width="14.140625" style="121" bestFit="1" customWidth="1"/>
    <col min="6406" max="6407" width="11.42578125" style="121"/>
    <col min="6408" max="6408" width="13.42578125" style="121" customWidth="1"/>
    <col min="6409" max="6409" width="11.42578125" style="121"/>
    <col min="6410" max="6410" width="13.42578125" style="121" bestFit="1" customWidth="1"/>
    <col min="6411" max="6656" width="11.42578125" style="121"/>
    <col min="6657" max="6657" width="16.42578125" style="121" customWidth="1"/>
    <col min="6658" max="6660" width="11.42578125" style="121"/>
    <col min="6661" max="6661" width="14.140625" style="121" bestFit="1" customWidth="1"/>
    <col min="6662" max="6663" width="11.42578125" style="121"/>
    <col min="6664" max="6664" width="13.42578125" style="121" customWidth="1"/>
    <col min="6665" max="6665" width="11.42578125" style="121"/>
    <col min="6666" max="6666" width="13.42578125" style="121" bestFit="1" customWidth="1"/>
    <col min="6667" max="6912" width="11.42578125" style="121"/>
    <col min="6913" max="6913" width="16.42578125" style="121" customWidth="1"/>
    <col min="6914" max="6916" width="11.42578125" style="121"/>
    <col min="6917" max="6917" width="14.140625" style="121" bestFit="1" customWidth="1"/>
    <col min="6918" max="6919" width="11.42578125" style="121"/>
    <col min="6920" max="6920" width="13.42578125" style="121" customWidth="1"/>
    <col min="6921" max="6921" width="11.42578125" style="121"/>
    <col min="6922" max="6922" width="13.42578125" style="121" bestFit="1" customWidth="1"/>
    <col min="6923" max="7168" width="11.42578125" style="121"/>
    <col min="7169" max="7169" width="16.42578125" style="121" customWidth="1"/>
    <col min="7170" max="7172" width="11.42578125" style="121"/>
    <col min="7173" max="7173" width="14.140625" style="121" bestFit="1" customWidth="1"/>
    <col min="7174" max="7175" width="11.42578125" style="121"/>
    <col min="7176" max="7176" width="13.42578125" style="121" customWidth="1"/>
    <col min="7177" max="7177" width="11.42578125" style="121"/>
    <col min="7178" max="7178" width="13.42578125" style="121" bestFit="1" customWidth="1"/>
    <col min="7179" max="7424" width="11.42578125" style="121"/>
    <col min="7425" max="7425" width="16.42578125" style="121" customWidth="1"/>
    <col min="7426" max="7428" width="11.42578125" style="121"/>
    <col min="7429" max="7429" width="14.140625" style="121" bestFit="1" customWidth="1"/>
    <col min="7430" max="7431" width="11.42578125" style="121"/>
    <col min="7432" max="7432" width="13.42578125" style="121" customWidth="1"/>
    <col min="7433" max="7433" width="11.42578125" style="121"/>
    <col min="7434" max="7434" width="13.42578125" style="121" bestFit="1" customWidth="1"/>
    <col min="7435" max="7680" width="11.42578125" style="121"/>
    <col min="7681" max="7681" width="16.42578125" style="121" customWidth="1"/>
    <col min="7682" max="7684" width="11.42578125" style="121"/>
    <col min="7685" max="7685" width="14.140625" style="121" bestFit="1" customWidth="1"/>
    <col min="7686" max="7687" width="11.42578125" style="121"/>
    <col min="7688" max="7688" width="13.42578125" style="121" customWidth="1"/>
    <col min="7689" max="7689" width="11.42578125" style="121"/>
    <col min="7690" max="7690" width="13.42578125" style="121" bestFit="1" customWidth="1"/>
    <col min="7691" max="7936" width="11.42578125" style="121"/>
    <col min="7937" max="7937" width="16.42578125" style="121" customWidth="1"/>
    <col min="7938" max="7940" width="11.42578125" style="121"/>
    <col min="7941" max="7941" width="14.140625" style="121" bestFit="1" customWidth="1"/>
    <col min="7942" max="7943" width="11.42578125" style="121"/>
    <col min="7944" max="7944" width="13.42578125" style="121" customWidth="1"/>
    <col min="7945" max="7945" width="11.42578125" style="121"/>
    <col min="7946" max="7946" width="13.42578125" style="121" bestFit="1" customWidth="1"/>
    <col min="7947" max="8192" width="11.42578125" style="121"/>
    <col min="8193" max="8193" width="16.42578125" style="121" customWidth="1"/>
    <col min="8194" max="8196" width="11.42578125" style="121"/>
    <col min="8197" max="8197" width="14.140625" style="121" bestFit="1" customWidth="1"/>
    <col min="8198" max="8199" width="11.42578125" style="121"/>
    <col min="8200" max="8200" width="13.42578125" style="121" customWidth="1"/>
    <col min="8201" max="8201" width="11.42578125" style="121"/>
    <col min="8202" max="8202" width="13.42578125" style="121" bestFit="1" customWidth="1"/>
    <col min="8203" max="8448" width="11.42578125" style="121"/>
    <col min="8449" max="8449" width="16.42578125" style="121" customWidth="1"/>
    <col min="8450" max="8452" width="11.42578125" style="121"/>
    <col min="8453" max="8453" width="14.140625" style="121" bestFit="1" customWidth="1"/>
    <col min="8454" max="8455" width="11.42578125" style="121"/>
    <col min="8456" max="8456" width="13.42578125" style="121" customWidth="1"/>
    <col min="8457" max="8457" width="11.42578125" style="121"/>
    <col min="8458" max="8458" width="13.42578125" style="121" bestFit="1" customWidth="1"/>
    <col min="8459" max="8704" width="11.42578125" style="121"/>
    <col min="8705" max="8705" width="16.42578125" style="121" customWidth="1"/>
    <col min="8706" max="8708" width="11.42578125" style="121"/>
    <col min="8709" max="8709" width="14.140625" style="121" bestFit="1" customWidth="1"/>
    <col min="8710" max="8711" width="11.42578125" style="121"/>
    <col min="8712" max="8712" width="13.42578125" style="121" customWidth="1"/>
    <col min="8713" max="8713" width="11.42578125" style="121"/>
    <col min="8714" max="8714" width="13.42578125" style="121" bestFit="1" customWidth="1"/>
    <col min="8715" max="8960" width="11.42578125" style="121"/>
    <col min="8961" max="8961" width="16.42578125" style="121" customWidth="1"/>
    <col min="8962" max="8964" width="11.42578125" style="121"/>
    <col min="8965" max="8965" width="14.140625" style="121" bestFit="1" customWidth="1"/>
    <col min="8966" max="8967" width="11.42578125" style="121"/>
    <col min="8968" max="8968" width="13.42578125" style="121" customWidth="1"/>
    <col min="8969" max="8969" width="11.42578125" style="121"/>
    <col min="8970" max="8970" width="13.42578125" style="121" bestFit="1" customWidth="1"/>
    <col min="8971" max="9216" width="11.42578125" style="121"/>
    <col min="9217" max="9217" width="16.42578125" style="121" customWidth="1"/>
    <col min="9218" max="9220" width="11.42578125" style="121"/>
    <col min="9221" max="9221" width="14.140625" style="121" bestFit="1" customWidth="1"/>
    <col min="9222" max="9223" width="11.42578125" style="121"/>
    <col min="9224" max="9224" width="13.42578125" style="121" customWidth="1"/>
    <col min="9225" max="9225" width="11.42578125" style="121"/>
    <col min="9226" max="9226" width="13.42578125" style="121" bestFit="1" customWidth="1"/>
    <col min="9227" max="9472" width="11.42578125" style="121"/>
    <col min="9473" max="9473" width="16.42578125" style="121" customWidth="1"/>
    <col min="9474" max="9476" width="11.42578125" style="121"/>
    <col min="9477" max="9477" width="14.140625" style="121" bestFit="1" customWidth="1"/>
    <col min="9478" max="9479" width="11.42578125" style="121"/>
    <col min="9480" max="9480" width="13.42578125" style="121" customWidth="1"/>
    <col min="9481" max="9481" width="11.42578125" style="121"/>
    <col min="9482" max="9482" width="13.42578125" style="121" bestFit="1" customWidth="1"/>
    <col min="9483" max="9728" width="11.42578125" style="121"/>
    <col min="9729" max="9729" width="16.42578125" style="121" customWidth="1"/>
    <col min="9730" max="9732" width="11.42578125" style="121"/>
    <col min="9733" max="9733" width="14.140625" style="121" bestFit="1" customWidth="1"/>
    <col min="9734" max="9735" width="11.42578125" style="121"/>
    <col min="9736" max="9736" width="13.42578125" style="121" customWidth="1"/>
    <col min="9737" max="9737" width="11.42578125" style="121"/>
    <col min="9738" max="9738" width="13.42578125" style="121" bestFit="1" customWidth="1"/>
    <col min="9739" max="9984" width="11.42578125" style="121"/>
    <col min="9985" max="9985" width="16.42578125" style="121" customWidth="1"/>
    <col min="9986" max="9988" width="11.42578125" style="121"/>
    <col min="9989" max="9989" width="14.140625" style="121" bestFit="1" customWidth="1"/>
    <col min="9990" max="9991" width="11.42578125" style="121"/>
    <col min="9992" max="9992" width="13.42578125" style="121" customWidth="1"/>
    <col min="9993" max="9993" width="11.42578125" style="121"/>
    <col min="9994" max="9994" width="13.42578125" style="121" bestFit="1" customWidth="1"/>
    <col min="9995" max="10240" width="11.42578125" style="121"/>
    <col min="10241" max="10241" width="16.42578125" style="121" customWidth="1"/>
    <col min="10242" max="10244" width="11.42578125" style="121"/>
    <col min="10245" max="10245" width="14.140625" style="121" bestFit="1" customWidth="1"/>
    <col min="10246" max="10247" width="11.42578125" style="121"/>
    <col min="10248" max="10248" width="13.42578125" style="121" customWidth="1"/>
    <col min="10249" max="10249" width="11.42578125" style="121"/>
    <col min="10250" max="10250" width="13.42578125" style="121" bestFit="1" customWidth="1"/>
    <col min="10251" max="10496" width="11.42578125" style="121"/>
    <col min="10497" max="10497" width="16.42578125" style="121" customWidth="1"/>
    <col min="10498" max="10500" width="11.42578125" style="121"/>
    <col min="10501" max="10501" width="14.140625" style="121" bestFit="1" customWidth="1"/>
    <col min="10502" max="10503" width="11.42578125" style="121"/>
    <col min="10504" max="10504" width="13.42578125" style="121" customWidth="1"/>
    <col min="10505" max="10505" width="11.42578125" style="121"/>
    <col min="10506" max="10506" width="13.42578125" style="121" bestFit="1" customWidth="1"/>
    <col min="10507" max="10752" width="11.42578125" style="121"/>
    <col min="10753" max="10753" width="16.42578125" style="121" customWidth="1"/>
    <col min="10754" max="10756" width="11.42578125" style="121"/>
    <col min="10757" max="10757" width="14.140625" style="121" bestFit="1" customWidth="1"/>
    <col min="10758" max="10759" width="11.42578125" style="121"/>
    <col min="10760" max="10760" width="13.42578125" style="121" customWidth="1"/>
    <col min="10761" max="10761" width="11.42578125" style="121"/>
    <col min="10762" max="10762" width="13.42578125" style="121" bestFit="1" customWidth="1"/>
    <col min="10763" max="11008" width="11.42578125" style="121"/>
    <col min="11009" max="11009" width="16.42578125" style="121" customWidth="1"/>
    <col min="11010" max="11012" width="11.42578125" style="121"/>
    <col min="11013" max="11013" width="14.140625" style="121" bestFit="1" customWidth="1"/>
    <col min="11014" max="11015" width="11.42578125" style="121"/>
    <col min="11016" max="11016" width="13.42578125" style="121" customWidth="1"/>
    <col min="11017" max="11017" width="11.42578125" style="121"/>
    <col min="11018" max="11018" width="13.42578125" style="121" bestFit="1" customWidth="1"/>
    <col min="11019" max="11264" width="11.42578125" style="121"/>
    <col min="11265" max="11265" width="16.42578125" style="121" customWidth="1"/>
    <col min="11266" max="11268" width="11.42578125" style="121"/>
    <col min="11269" max="11269" width="14.140625" style="121" bestFit="1" customWidth="1"/>
    <col min="11270" max="11271" width="11.42578125" style="121"/>
    <col min="11272" max="11272" width="13.42578125" style="121" customWidth="1"/>
    <col min="11273" max="11273" width="11.42578125" style="121"/>
    <col min="11274" max="11274" width="13.42578125" style="121" bestFit="1" customWidth="1"/>
    <col min="11275" max="11520" width="11.42578125" style="121"/>
    <col min="11521" max="11521" width="16.42578125" style="121" customWidth="1"/>
    <col min="11522" max="11524" width="11.42578125" style="121"/>
    <col min="11525" max="11525" width="14.140625" style="121" bestFit="1" customWidth="1"/>
    <col min="11526" max="11527" width="11.42578125" style="121"/>
    <col min="11528" max="11528" width="13.42578125" style="121" customWidth="1"/>
    <col min="11529" max="11529" width="11.42578125" style="121"/>
    <col min="11530" max="11530" width="13.42578125" style="121" bestFit="1" customWidth="1"/>
    <col min="11531" max="11776" width="11.42578125" style="121"/>
    <col min="11777" max="11777" width="16.42578125" style="121" customWidth="1"/>
    <col min="11778" max="11780" width="11.42578125" style="121"/>
    <col min="11781" max="11781" width="14.140625" style="121" bestFit="1" customWidth="1"/>
    <col min="11782" max="11783" width="11.42578125" style="121"/>
    <col min="11784" max="11784" width="13.42578125" style="121" customWidth="1"/>
    <col min="11785" max="11785" width="11.42578125" style="121"/>
    <col min="11786" max="11786" width="13.42578125" style="121" bestFit="1" customWidth="1"/>
    <col min="11787" max="12032" width="11.42578125" style="121"/>
    <col min="12033" max="12033" width="16.42578125" style="121" customWidth="1"/>
    <col min="12034" max="12036" width="11.42578125" style="121"/>
    <col min="12037" max="12037" width="14.140625" style="121" bestFit="1" customWidth="1"/>
    <col min="12038" max="12039" width="11.42578125" style="121"/>
    <col min="12040" max="12040" width="13.42578125" style="121" customWidth="1"/>
    <col min="12041" max="12041" width="11.42578125" style="121"/>
    <col min="12042" max="12042" width="13.42578125" style="121" bestFit="1" customWidth="1"/>
    <col min="12043" max="12288" width="11.42578125" style="121"/>
    <col min="12289" max="12289" width="16.42578125" style="121" customWidth="1"/>
    <col min="12290" max="12292" width="11.42578125" style="121"/>
    <col min="12293" max="12293" width="14.140625" style="121" bestFit="1" customWidth="1"/>
    <col min="12294" max="12295" width="11.42578125" style="121"/>
    <col min="12296" max="12296" width="13.42578125" style="121" customWidth="1"/>
    <col min="12297" max="12297" width="11.42578125" style="121"/>
    <col min="12298" max="12298" width="13.42578125" style="121" bestFit="1" customWidth="1"/>
    <col min="12299" max="12544" width="11.42578125" style="121"/>
    <col min="12545" max="12545" width="16.42578125" style="121" customWidth="1"/>
    <col min="12546" max="12548" width="11.42578125" style="121"/>
    <col min="12549" max="12549" width="14.140625" style="121" bestFit="1" customWidth="1"/>
    <col min="12550" max="12551" width="11.42578125" style="121"/>
    <col min="12552" max="12552" width="13.42578125" style="121" customWidth="1"/>
    <col min="12553" max="12553" width="11.42578125" style="121"/>
    <col min="12554" max="12554" width="13.42578125" style="121" bestFit="1" customWidth="1"/>
    <col min="12555" max="12800" width="11.42578125" style="121"/>
    <col min="12801" max="12801" width="16.42578125" style="121" customWidth="1"/>
    <col min="12802" max="12804" width="11.42578125" style="121"/>
    <col min="12805" max="12805" width="14.140625" style="121" bestFit="1" customWidth="1"/>
    <col min="12806" max="12807" width="11.42578125" style="121"/>
    <col min="12808" max="12808" width="13.42578125" style="121" customWidth="1"/>
    <col min="12809" max="12809" width="11.42578125" style="121"/>
    <col min="12810" max="12810" width="13.42578125" style="121" bestFit="1" customWidth="1"/>
    <col min="12811" max="13056" width="11.42578125" style="121"/>
    <col min="13057" max="13057" width="16.42578125" style="121" customWidth="1"/>
    <col min="13058" max="13060" width="11.42578125" style="121"/>
    <col min="13061" max="13061" width="14.140625" style="121" bestFit="1" customWidth="1"/>
    <col min="13062" max="13063" width="11.42578125" style="121"/>
    <col min="13064" max="13064" width="13.42578125" style="121" customWidth="1"/>
    <col min="13065" max="13065" width="11.42578125" style="121"/>
    <col min="13066" max="13066" width="13.42578125" style="121" bestFit="1" customWidth="1"/>
    <col min="13067" max="13312" width="11.42578125" style="121"/>
    <col min="13313" max="13313" width="16.42578125" style="121" customWidth="1"/>
    <col min="13314" max="13316" width="11.42578125" style="121"/>
    <col min="13317" max="13317" width="14.140625" style="121" bestFit="1" customWidth="1"/>
    <col min="13318" max="13319" width="11.42578125" style="121"/>
    <col min="13320" max="13320" width="13.42578125" style="121" customWidth="1"/>
    <col min="13321" max="13321" width="11.42578125" style="121"/>
    <col min="13322" max="13322" width="13.42578125" style="121" bestFit="1" customWidth="1"/>
    <col min="13323" max="13568" width="11.42578125" style="121"/>
    <col min="13569" max="13569" width="16.42578125" style="121" customWidth="1"/>
    <col min="13570" max="13572" width="11.42578125" style="121"/>
    <col min="13573" max="13573" width="14.140625" style="121" bestFit="1" customWidth="1"/>
    <col min="13574" max="13575" width="11.42578125" style="121"/>
    <col min="13576" max="13576" width="13.42578125" style="121" customWidth="1"/>
    <col min="13577" max="13577" width="11.42578125" style="121"/>
    <col min="13578" max="13578" width="13.42578125" style="121" bestFit="1" customWidth="1"/>
    <col min="13579" max="13824" width="11.42578125" style="121"/>
    <col min="13825" max="13825" width="16.42578125" style="121" customWidth="1"/>
    <col min="13826" max="13828" width="11.42578125" style="121"/>
    <col min="13829" max="13829" width="14.140625" style="121" bestFit="1" customWidth="1"/>
    <col min="13830" max="13831" width="11.42578125" style="121"/>
    <col min="13832" max="13832" width="13.42578125" style="121" customWidth="1"/>
    <col min="13833" max="13833" width="11.42578125" style="121"/>
    <col min="13834" max="13834" width="13.42578125" style="121" bestFit="1" customWidth="1"/>
    <col min="13835" max="14080" width="11.42578125" style="121"/>
    <col min="14081" max="14081" width="16.42578125" style="121" customWidth="1"/>
    <col min="14082" max="14084" width="11.42578125" style="121"/>
    <col min="14085" max="14085" width="14.140625" style="121" bestFit="1" customWidth="1"/>
    <col min="14086" max="14087" width="11.42578125" style="121"/>
    <col min="14088" max="14088" width="13.42578125" style="121" customWidth="1"/>
    <col min="14089" max="14089" width="11.42578125" style="121"/>
    <col min="14090" max="14090" width="13.42578125" style="121" bestFit="1" customWidth="1"/>
    <col min="14091" max="14336" width="11.42578125" style="121"/>
    <col min="14337" max="14337" width="16.42578125" style="121" customWidth="1"/>
    <col min="14338" max="14340" width="11.42578125" style="121"/>
    <col min="14341" max="14341" width="14.140625" style="121" bestFit="1" customWidth="1"/>
    <col min="14342" max="14343" width="11.42578125" style="121"/>
    <col min="14344" max="14344" width="13.42578125" style="121" customWidth="1"/>
    <col min="14345" max="14345" width="11.42578125" style="121"/>
    <col min="14346" max="14346" width="13.42578125" style="121" bestFit="1" customWidth="1"/>
    <col min="14347" max="14592" width="11.42578125" style="121"/>
    <col min="14593" max="14593" width="16.42578125" style="121" customWidth="1"/>
    <col min="14594" max="14596" width="11.42578125" style="121"/>
    <col min="14597" max="14597" width="14.140625" style="121" bestFit="1" customWidth="1"/>
    <col min="14598" max="14599" width="11.42578125" style="121"/>
    <col min="14600" max="14600" width="13.42578125" style="121" customWidth="1"/>
    <col min="14601" max="14601" width="11.42578125" style="121"/>
    <col min="14602" max="14602" width="13.42578125" style="121" bestFit="1" customWidth="1"/>
    <col min="14603" max="14848" width="11.42578125" style="121"/>
    <col min="14849" max="14849" width="16.42578125" style="121" customWidth="1"/>
    <col min="14850" max="14852" width="11.42578125" style="121"/>
    <col min="14853" max="14853" width="14.140625" style="121" bestFit="1" customWidth="1"/>
    <col min="14854" max="14855" width="11.42578125" style="121"/>
    <col min="14856" max="14856" width="13.42578125" style="121" customWidth="1"/>
    <col min="14857" max="14857" width="11.42578125" style="121"/>
    <col min="14858" max="14858" width="13.42578125" style="121" bestFit="1" customWidth="1"/>
    <col min="14859" max="15104" width="11.42578125" style="121"/>
    <col min="15105" max="15105" width="16.42578125" style="121" customWidth="1"/>
    <col min="15106" max="15108" width="11.42578125" style="121"/>
    <col min="15109" max="15109" width="14.140625" style="121" bestFit="1" customWidth="1"/>
    <col min="15110" max="15111" width="11.42578125" style="121"/>
    <col min="15112" max="15112" width="13.42578125" style="121" customWidth="1"/>
    <col min="15113" max="15113" width="11.42578125" style="121"/>
    <col min="15114" max="15114" width="13.42578125" style="121" bestFit="1" customWidth="1"/>
    <col min="15115" max="15360" width="11.42578125" style="121"/>
    <col min="15361" max="15361" width="16.42578125" style="121" customWidth="1"/>
    <col min="15362" max="15364" width="11.42578125" style="121"/>
    <col min="15365" max="15365" width="14.140625" style="121" bestFit="1" customWidth="1"/>
    <col min="15366" max="15367" width="11.42578125" style="121"/>
    <col min="15368" max="15368" width="13.42578125" style="121" customWidth="1"/>
    <col min="15369" max="15369" width="11.42578125" style="121"/>
    <col min="15370" max="15370" width="13.42578125" style="121" bestFit="1" customWidth="1"/>
    <col min="15371" max="15616" width="11.42578125" style="121"/>
    <col min="15617" max="15617" width="16.42578125" style="121" customWidth="1"/>
    <col min="15618" max="15620" width="11.42578125" style="121"/>
    <col min="15621" max="15621" width="14.140625" style="121" bestFit="1" customWidth="1"/>
    <col min="15622" max="15623" width="11.42578125" style="121"/>
    <col min="15624" max="15624" width="13.42578125" style="121" customWidth="1"/>
    <col min="15625" max="15625" width="11.42578125" style="121"/>
    <col min="15626" max="15626" width="13.42578125" style="121" bestFit="1" customWidth="1"/>
    <col min="15627" max="15872" width="11.42578125" style="121"/>
    <col min="15873" max="15873" width="16.42578125" style="121" customWidth="1"/>
    <col min="15874" max="15876" width="11.42578125" style="121"/>
    <col min="15877" max="15877" width="14.140625" style="121" bestFit="1" customWidth="1"/>
    <col min="15878" max="15879" width="11.42578125" style="121"/>
    <col min="15880" max="15880" width="13.42578125" style="121" customWidth="1"/>
    <col min="15881" max="15881" width="11.42578125" style="121"/>
    <col min="15882" max="15882" width="13.42578125" style="121" bestFit="1" customWidth="1"/>
    <col min="15883" max="16128" width="11.42578125" style="121"/>
    <col min="16129" max="16129" width="16.42578125" style="121" customWidth="1"/>
    <col min="16130" max="16132" width="11.42578125" style="121"/>
    <col min="16133" max="16133" width="14.140625" style="121" bestFit="1" customWidth="1"/>
    <col min="16134" max="16135" width="11.42578125" style="121"/>
    <col min="16136" max="16136" width="13.42578125" style="121" customWidth="1"/>
    <col min="16137" max="16137" width="11.42578125" style="121"/>
    <col min="16138" max="16138" width="13.42578125" style="121" bestFit="1" customWidth="1"/>
    <col min="16139" max="16384" width="11.42578125" style="121"/>
  </cols>
  <sheetData>
    <row r="5" spans="2:9" x14ac:dyDescent="0.2">
      <c r="B5" s="120"/>
      <c r="C5" s="120"/>
      <c r="D5" s="120"/>
      <c r="E5" s="120"/>
      <c r="F5" s="120"/>
      <c r="G5" s="120"/>
      <c r="H5" s="120"/>
    </row>
    <row r="6" spans="2:9" ht="23.25" x14ac:dyDescent="0.35">
      <c r="B6" s="122"/>
      <c r="C6" s="120"/>
      <c r="D6" s="120"/>
      <c r="E6" s="120"/>
      <c r="F6" s="120"/>
      <c r="G6" s="120"/>
      <c r="H6" s="120"/>
      <c r="I6" s="123"/>
    </row>
    <row r="7" spans="2:9" x14ac:dyDescent="0.2">
      <c r="B7" s="120"/>
      <c r="C7" s="120"/>
      <c r="D7" s="120"/>
      <c r="E7" s="120"/>
      <c r="F7" s="120"/>
      <c r="G7" s="120"/>
      <c r="H7" s="120"/>
      <c r="I7" s="120"/>
    </row>
    <row r="8" spans="2:9" x14ac:dyDescent="0.2">
      <c r="B8" s="120"/>
      <c r="C8" s="120"/>
      <c r="D8" s="120"/>
      <c r="F8" s="120"/>
      <c r="G8" s="120"/>
      <c r="H8" s="120"/>
    </row>
    <row r="9" spans="2:9" x14ac:dyDescent="0.2">
      <c r="B9" s="120"/>
      <c r="C9" s="120"/>
      <c r="D9" s="120"/>
      <c r="E9" s="120"/>
      <c r="F9" s="120"/>
      <c r="G9" s="120"/>
      <c r="H9" s="120"/>
    </row>
    <row r="10" spans="2:9" ht="23.25" x14ac:dyDescent="0.35">
      <c r="B10" s="120"/>
      <c r="C10" s="120"/>
      <c r="D10" s="120"/>
      <c r="I10" s="123"/>
    </row>
    <row r="11" spans="2:9" x14ac:dyDescent="0.2">
      <c r="B11" s="120"/>
      <c r="C11" s="120"/>
      <c r="D11" s="120"/>
    </row>
    <row r="12" spans="2:9" ht="27" customHeight="1" x14ac:dyDescent="0.35">
      <c r="B12" s="120"/>
      <c r="C12" s="120"/>
      <c r="D12" s="120"/>
      <c r="E12" s="120"/>
      <c r="F12" s="120"/>
      <c r="G12" s="120"/>
      <c r="H12" s="120"/>
      <c r="I12" s="123"/>
    </row>
    <row r="13" spans="2:9" ht="19.5" customHeight="1" x14ac:dyDescent="0.35">
      <c r="B13" s="120"/>
      <c r="C13" s="102"/>
      <c r="D13" s="102"/>
      <c r="E13" s="102"/>
      <c r="F13" s="102"/>
      <c r="G13" s="102"/>
      <c r="H13" s="102"/>
      <c r="I13" s="123"/>
    </row>
    <row r="14" spans="2:9" x14ac:dyDescent="0.2">
      <c r="B14" s="120"/>
      <c r="C14" s="120"/>
      <c r="D14" s="120"/>
      <c r="F14" s="120"/>
      <c r="G14" s="120"/>
      <c r="H14" s="120"/>
    </row>
    <row r="15" spans="2:9" x14ac:dyDescent="0.2">
      <c r="B15" s="120"/>
      <c r="C15" s="120"/>
      <c r="D15" s="120"/>
      <c r="F15" s="120"/>
      <c r="G15" s="120"/>
      <c r="H15" s="120"/>
      <c r="I15" s="120"/>
    </row>
    <row r="16" spans="2:9" ht="34.5" x14ac:dyDescent="0.45">
      <c r="B16" s="120"/>
      <c r="C16" s="120"/>
      <c r="D16" s="120"/>
      <c r="E16" s="124"/>
      <c r="F16" s="120"/>
      <c r="G16" s="120"/>
      <c r="H16" s="120"/>
      <c r="I16" s="120"/>
    </row>
    <row r="17" spans="2:9" ht="33" x14ac:dyDescent="0.45">
      <c r="B17" s="120"/>
      <c r="C17" s="120"/>
      <c r="D17" s="120"/>
      <c r="E17" s="125"/>
      <c r="F17" s="120"/>
      <c r="G17" s="120"/>
      <c r="H17" s="120"/>
      <c r="I17" s="120"/>
    </row>
    <row r="18" spans="2:9" ht="33" x14ac:dyDescent="0.45">
      <c r="D18" s="125"/>
    </row>
    <row r="19" spans="2:9" ht="18.75" x14ac:dyDescent="0.3">
      <c r="E19" s="126"/>
      <c r="I19" s="127"/>
    </row>
    <row r="21" spans="2:9" x14ac:dyDescent="0.2">
      <c r="E21" s="128"/>
    </row>
    <row r="22" spans="2:9" ht="26.25" x14ac:dyDescent="0.4">
      <c r="E22" s="129"/>
    </row>
    <row r="25" spans="2:9" ht="18.75" x14ac:dyDescent="0.3">
      <c r="E25" s="130"/>
    </row>
    <row r="26" spans="2:9" ht="18.75" x14ac:dyDescent="0.3">
      <c r="E26" s="131"/>
    </row>
    <row r="28" spans="2:9" x14ac:dyDescent="0.2">
      <c r="D28" s="102"/>
      <c r="E28" s="102"/>
      <c r="F28" s="102"/>
      <c r="G28" s="102"/>
      <c r="H28" s="102"/>
    </row>
    <row r="33" spans="1:9" ht="35.25" x14ac:dyDescent="0.2">
      <c r="A33" s="132"/>
    </row>
    <row r="36" spans="1:9" ht="33" x14ac:dyDescent="0.2">
      <c r="B36" s="133"/>
    </row>
    <row r="39" spans="1:9" ht="18" x14ac:dyDescent="0.25">
      <c r="B39" s="134"/>
    </row>
    <row r="41" spans="1:9" ht="18.75" x14ac:dyDescent="0.3">
      <c r="I41" s="135"/>
    </row>
    <row r="43" spans="1:9" ht="18.75" x14ac:dyDescent="0.3">
      <c r="B43" s="196"/>
      <c r="C43" s="196"/>
      <c r="D43" s="196"/>
    </row>
    <row r="57" spans="10:10" ht="18.75" x14ac:dyDescent="0.3">
      <c r="J57" s="136"/>
    </row>
  </sheetData>
  <mergeCells count="1">
    <mergeCell ref="B43:D43"/>
  </mergeCells>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42</v>
      </c>
      <c r="B7" s="19" t="s">
        <v>3</v>
      </c>
      <c r="C7" s="20">
        <v>154164.24328634961</v>
      </c>
      <c r="D7" s="20">
        <v>177509.24782434295</v>
      </c>
      <c r="E7" s="21">
        <v>220384.88758269281</v>
      </c>
      <c r="F7" s="22" t="s">
        <v>241</v>
      </c>
      <c r="G7" s="23">
        <v>42.954606648535787</v>
      </c>
      <c r="H7" s="24">
        <v>24.154031569542852</v>
      </c>
    </row>
    <row r="8" spans="1:8" x14ac:dyDescent="0.2">
      <c r="A8" s="203"/>
      <c r="B8" s="25" t="s">
        <v>242</v>
      </c>
      <c r="C8" s="26">
        <v>69216.435027459491</v>
      </c>
      <c r="D8" s="26">
        <v>79397.7951655941</v>
      </c>
      <c r="E8" s="26">
        <v>98699.424545248432</v>
      </c>
      <c r="F8" s="27"/>
      <c r="G8" s="28">
        <v>42.59535976692888</v>
      </c>
      <c r="H8" s="29">
        <v>24.310031959197815</v>
      </c>
    </row>
    <row r="9" spans="1:8" x14ac:dyDescent="0.2">
      <c r="A9" s="30" t="s">
        <v>18</v>
      </c>
      <c r="B9" s="31" t="s">
        <v>3</v>
      </c>
      <c r="C9" s="20">
        <v>9654.8295664633042</v>
      </c>
      <c r="D9" s="20">
        <v>9931.9197217391302</v>
      </c>
      <c r="E9" s="21">
        <v>13381.164482739176</v>
      </c>
      <c r="F9" s="22" t="s">
        <v>241</v>
      </c>
      <c r="G9" s="32">
        <v>38.595553558185458</v>
      </c>
      <c r="H9" s="33">
        <v>34.728882810543524</v>
      </c>
    </row>
    <row r="10" spans="1:8" x14ac:dyDescent="0.2">
      <c r="A10" s="34"/>
      <c r="B10" s="25" t="s">
        <v>242</v>
      </c>
      <c r="C10" s="26">
        <v>3966.3980348444347</v>
      </c>
      <c r="D10" s="26">
        <v>3781.4303565217392</v>
      </c>
      <c r="E10" s="26">
        <v>5222.1544260869568</v>
      </c>
      <c r="F10" s="27"/>
      <c r="G10" s="35">
        <v>31.659868228322523</v>
      </c>
      <c r="H10" s="29">
        <v>38.099976298133754</v>
      </c>
    </row>
    <row r="11" spans="1:8" x14ac:dyDescent="0.2">
      <c r="A11" s="30" t="s">
        <v>19</v>
      </c>
      <c r="B11" s="31" t="s">
        <v>3</v>
      </c>
      <c r="C11" s="20">
        <v>6431.7652215443477</v>
      </c>
      <c r="D11" s="20">
        <v>6782.0657391304348</v>
      </c>
      <c r="E11" s="21">
        <v>7969.8044798630281</v>
      </c>
      <c r="F11" s="22" t="s">
        <v>241</v>
      </c>
      <c r="G11" s="37">
        <v>23.913174771472427</v>
      </c>
      <c r="H11" s="33">
        <v>17.512934648800368</v>
      </c>
    </row>
    <row r="12" spans="1:8" x14ac:dyDescent="0.2">
      <c r="A12" s="34"/>
      <c r="B12" s="25" t="s">
        <v>242</v>
      </c>
      <c r="C12" s="26">
        <v>2746.3267828147827</v>
      </c>
      <c r="D12" s="26">
        <v>3030.4345217391306</v>
      </c>
      <c r="E12" s="26">
        <v>3506.8480869565219</v>
      </c>
      <c r="F12" s="27"/>
      <c r="G12" s="28">
        <v>27.692309192799726</v>
      </c>
      <c r="H12" s="29">
        <v>15.720965485305499</v>
      </c>
    </row>
    <row r="13" spans="1:8" x14ac:dyDescent="0.2">
      <c r="A13" s="30" t="s">
        <v>20</v>
      </c>
      <c r="B13" s="31" t="s">
        <v>3</v>
      </c>
      <c r="C13" s="20">
        <v>20706.316772163977</v>
      </c>
      <c r="D13" s="20">
        <v>22790.459875776396</v>
      </c>
      <c r="E13" s="21">
        <v>26557.998922339357</v>
      </c>
      <c r="F13" s="22" t="s">
        <v>241</v>
      </c>
      <c r="G13" s="23">
        <v>28.260372013828885</v>
      </c>
      <c r="H13" s="24">
        <v>16.531211160716495</v>
      </c>
    </row>
    <row r="14" spans="1:8" x14ac:dyDescent="0.2">
      <c r="A14" s="34"/>
      <c r="B14" s="25" t="s">
        <v>242</v>
      </c>
      <c r="C14" s="26">
        <v>9026.6318013403725</v>
      </c>
      <c r="D14" s="26">
        <v>10307.683105590062</v>
      </c>
      <c r="E14" s="26">
        <v>11863.403850931678</v>
      </c>
      <c r="F14" s="27"/>
      <c r="G14" s="38">
        <v>31.426695051082845</v>
      </c>
      <c r="H14" s="24">
        <v>15.092826675064529</v>
      </c>
    </row>
    <row r="15" spans="1:8" x14ac:dyDescent="0.2">
      <c r="A15" s="30" t="s">
        <v>21</v>
      </c>
      <c r="B15" s="31" t="s">
        <v>3</v>
      </c>
      <c r="C15" s="20">
        <v>1533.384058547826</v>
      </c>
      <c r="D15" s="20">
        <v>1303.4257971014492</v>
      </c>
      <c r="E15" s="21">
        <v>1416.2605098867152</v>
      </c>
      <c r="F15" s="22" t="s">
        <v>241</v>
      </c>
      <c r="G15" s="37">
        <v>-7.6382396183270203</v>
      </c>
      <c r="H15" s="33">
        <v>8.6567806956243487</v>
      </c>
    </row>
    <row r="16" spans="1:8" x14ac:dyDescent="0.2">
      <c r="A16" s="34"/>
      <c r="B16" s="25" t="s">
        <v>242</v>
      </c>
      <c r="C16" s="26">
        <v>877.18427539094205</v>
      </c>
      <c r="D16" s="26">
        <v>566.19923913043476</v>
      </c>
      <c r="E16" s="26">
        <v>668.86778985507249</v>
      </c>
      <c r="F16" s="27"/>
      <c r="G16" s="28">
        <v>-23.748315078154747</v>
      </c>
      <c r="H16" s="29">
        <v>18.132936893789449</v>
      </c>
    </row>
    <row r="17" spans="1:8" x14ac:dyDescent="0.2">
      <c r="A17" s="30" t="s">
        <v>22</v>
      </c>
      <c r="B17" s="31" t="s">
        <v>3</v>
      </c>
      <c r="C17" s="20">
        <v>5296.3840585478265</v>
      </c>
      <c r="D17" s="20">
        <v>7081.4257971014495</v>
      </c>
      <c r="E17" s="21">
        <v>14045.068359000992</v>
      </c>
      <c r="F17" s="22" t="s">
        <v>241</v>
      </c>
      <c r="G17" s="37">
        <v>165.18221117922286</v>
      </c>
      <c r="H17" s="33">
        <v>98.336729938621716</v>
      </c>
    </row>
    <row r="18" spans="1:8" x14ac:dyDescent="0.2">
      <c r="A18" s="34"/>
      <c r="B18" s="25" t="s">
        <v>242</v>
      </c>
      <c r="C18" s="26">
        <v>2116.1842753909418</v>
      </c>
      <c r="D18" s="26">
        <v>2640.1992391304348</v>
      </c>
      <c r="E18" s="26">
        <v>5355.8677898550723</v>
      </c>
      <c r="F18" s="27"/>
      <c r="G18" s="28">
        <v>153.0908036761418</v>
      </c>
      <c r="H18" s="29">
        <v>102.85847031828777</v>
      </c>
    </row>
    <row r="19" spans="1:8" x14ac:dyDescent="0.2">
      <c r="A19" s="30" t="s">
        <v>190</v>
      </c>
      <c r="B19" s="31" t="s">
        <v>3</v>
      </c>
      <c r="C19" s="20">
        <v>78412.291930409934</v>
      </c>
      <c r="D19" s="20">
        <v>79580.649689440994</v>
      </c>
      <c r="E19" s="21">
        <v>108109.8991126832</v>
      </c>
      <c r="F19" s="22" t="s">
        <v>241</v>
      </c>
      <c r="G19" s="23">
        <v>37.873662982112023</v>
      </c>
      <c r="H19" s="24">
        <v>35.849480413361789</v>
      </c>
    </row>
    <row r="20" spans="1:8" x14ac:dyDescent="0.2">
      <c r="A20" s="30"/>
      <c r="B20" s="25" t="s">
        <v>242</v>
      </c>
      <c r="C20" s="26">
        <v>35140.579503350935</v>
      </c>
      <c r="D20" s="26">
        <v>41522.707763975159</v>
      </c>
      <c r="E20" s="26">
        <v>53480.009627329193</v>
      </c>
      <c r="F20" s="27"/>
      <c r="G20" s="38">
        <v>52.188752670482984</v>
      </c>
      <c r="H20" s="24">
        <v>28.797018564690319</v>
      </c>
    </row>
    <row r="21" spans="1:8" x14ac:dyDescent="0.2">
      <c r="A21" s="39" t="s">
        <v>12</v>
      </c>
      <c r="B21" s="31" t="s">
        <v>3</v>
      </c>
      <c r="C21" s="20">
        <v>1364.2304351286957</v>
      </c>
      <c r="D21" s="20">
        <v>1491.2554782608695</v>
      </c>
      <c r="E21" s="21">
        <v>1426.1132666123206</v>
      </c>
      <c r="F21" s="22" t="s">
        <v>241</v>
      </c>
      <c r="G21" s="37">
        <v>4.5360981466292571</v>
      </c>
      <c r="H21" s="33">
        <v>-4.3682797882840987</v>
      </c>
    </row>
    <row r="22" spans="1:8" x14ac:dyDescent="0.2">
      <c r="A22" s="34"/>
      <c r="B22" s="25" t="s">
        <v>242</v>
      </c>
      <c r="C22" s="26">
        <v>620.11056523456523</v>
      </c>
      <c r="D22" s="26">
        <v>681.11954347826088</v>
      </c>
      <c r="E22" s="26">
        <v>650.32067391304349</v>
      </c>
      <c r="F22" s="27"/>
      <c r="G22" s="28">
        <v>4.8717293934591908</v>
      </c>
      <c r="H22" s="29">
        <v>-4.5218008879817688</v>
      </c>
    </row>
    <row r="23" spans="1:8" x14ac:dyDescent="0.2">
      <c r="A23" s="39" t="s">
        <v>23</v>
      </c>
      <c r="B23" s="31" t="s">
        <v>3</v>
      </c>
      <c r="C23" s="20">
        <v>4566.3840585478265</v>
      </c>
      <c r="D23" s="20">
        <v>4781.4257971014495</v>
      </c>
      <c r="E23" s="21">
        <v>5276.2461040892631</v>
      </c>
      <c r="F23" s="22" t="s">
        <v>241</v>
      </c>
      <c r="G23" s="23">
        <v>15.545386380995339</v>
      </c>
      <c r="H23" s="24">
        <v>10.348802386262676</v>
      </c>
    </row>
    <row r="24" spans="1:8" x14ac:dyDescent="0.2">
      <c r="A24" s="34"/>
      <c r="B24" s="25" t="s">
        <v>242</v>
      </c>
      <c r="C24" s="26">
        <v>2199.1842753909423</v>
      </c>
      <c r="D24" s="26">
        <v>2389.1992391304348</v>
      </c>
      <c r="E24" s="26">
        <v>2603.8677898550723</v>
      </c>
      <c r="F24" s="27"/>
      <c r="G24" s="28">
        <v>18.401528193547605</v>
      </c>
      <c r="H24" s="29">
        <v>8.9849581068327922</v>
      </c>
    </row>
    <row r="25" spans="1:8" x14ac:dyDescent="0.2">
      <c r="A25" s="30" t="s">
        <v>24</v>
      </c>
      <c r="B25" s="31" t="s">
        <v>3</v>
      </c>
      <c r="C25" s="20">
        <v>27731.768117095653</v>
      </c>
      <c r="D25" s="20">
        <v>47693.851594202897</v>
      </c>
      <c r="E25" s="21">
        <v>45943.829393204367</v>
      </c>
      <c r="F25" s="22" t="s">
        <v>241</v>
      </c>
      <c r="G25" s="23">
        <v>65.672196591322376</v>
      </c>
      <c r="H25" s="24">
        <v>-3.669282606673022</v>
      </c>
    </row>
    <row r="26" spans="1:8" ht="13.5" thickBot="1" x14ac:dyDescent="0.25">
      <c r="A26" s="41"/>
      <c r="B26" s="42" t="s">
        <v>242</v>
      </c>
      <c r="C26" s="43">
        <v>13270.368550781885</v>
      </c>
      <c r="D26" s="43">
        <v>15244.39847826087</v>
      </c>
      <c r="E26" s="43">
        <v>16512.735579710145</v>
      </c>
      <c r="F26" s="44"/>
      <c r="G26" s="45">
        <v>24.433134743173525</v>
      </c>
      <c r="H26" s="46">
        <v>8.3200206505883187</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42</v>
      </c>
      <c r="B35" s="19" t="s">
        <v>3</v>
      </c>
      <c r="C35" s="80">
        <v>1382.3195291147865</v>
      </c>
      <c r="D35" s="80">
        <v>1546.2412040680647</v>
      </c>
      <c r="E35" s="83">
        <v>1595.9773674580292</v>
      </c>
      <c r="F35" s="22" t="s">
        <v>241</v>
      </c>
      <c r="G35" s="23">
        <v>15.456472533529592</v>
      </c>
      <c r="H35" s="24">
        <v>3.2165850488987076</v>
      </c>
    </row>
    <row r="36" spans="1:8" ht="12.75" customHeight="1" x14ac:dyDescent="0.2">
      <c r="A36" s="203"/>
      <c r="B36" s="25" t="s">
        <v>242</v>
      </c>
      <c r="C36" s="82">
        <v>661.83725309372505</v>
      </c>
      <c r="D36" s="82">
        <v>733.69584512389565</v>
      </c>
      <c r="E36" s="82">
        <v>759.56154011375577</v>
      </c>
      <c r="F36" s="27"/>
      <c r="G36" s="28">
        <v>14.765606886469968</v>
      </c>
      <c r="H36" s="29">
        <v>3.525397501125596</v>
      </c>
    </row>
    <row r="37" spans="1:8" x14ac:dyDescent="0.2">
      <c r="A37" s="30" t="s">
        <v>18</v>
      </c>
      <c r="B37" s="31" t="s">
        <v>3</v>
      </c>
      <c r="C37" s="80">
        <v>442.97258612085278</v>
      </c>
      <c r="D37" s="80">
        <v>492.17972909280644</v>
      </c>
      <c r="E37" s="83">
        <v>466.90855463912465</v>
      </c>
      <c r="F37" s="22" t="s">
        <v>241</v>
      </c>
      <c r="G37" s="32">
        <v>5.4034875448797095</v>
      </c>
      <c r="H37" s="33">
        <v>-5.1345419081484778</v>
      </c>
    </row>
    <row r="38" spans="1:8" x14ac:dyDescent="0.2">
      <c r="A38" s="34"/>
      <c r="B38" s="25" t="s">
        <v>242</v>
      </c>
      <c r="C38" s="82">
        <v>229.66247704277885</v>
      </c>
      <c r="D38" s="82">
        <v>242.7819810643343</v>
      </c>
      <c r="E38" s="82">
        <v>234.10595361832418</v>
      </c>
      <c r="F38" s="27"/>
      <c r="G38" s="35">
        <v>1.9347856179038132</v>
      </c>
      <c r="H38" s="29">
        <v>-3.5735878782993638</v>
      </c>
    </row>
    <row r="39" spans="1:8" x14ac:dyDescent="0.2">
      <c r="A39" s="30" t="s">
        <v>19</v>
      </c>
      <c r="B39" s="31" t="s">
        <v>3</v>
      </c>
      <c r="C39" s="80">
        <v>139.92775588724291</v>
      </c>
      <c r="D39" s="80">
        <v>143.40503966759906</v>
      </c>
      <c r="E39" s="83">
        <v>145.93412511522538</v>
      </c>
      <c r="F39" s="22" t="s">
        <v>241</v>
      </c>
      <c r="G39" s="37">
        <v>4.2924787794228223</v>
      </c>
      <c r="H39" s="33">
        <v>1.7635959332311586</v>
      </c>
    </row>
    <row r="40" spans="1:8" x14ac:dyDescent="0.2">
      <c r="A40" s="34"/>
      <c r="B40" s="25" t="s">
        <v>242</v>
      </c>
      <c r="C40" s="82">
        <v>55.494148507901173</v>
      </c>
      <c r="D40" s="82">
        <v>57.783624658166374</v>
      </c>
      <c r="E40" s="82">
        <v>58.490592326255118</v>
      </c>
      <c r="F40" s="27"/>
      <c r="G40" s="28">
        <v>5.3995671596390338</v>
      </c>
      <c r="H40" s="29">
        <v>1.2234740763858127</v>
      </c>
    </row>
    <row r="41" spans="1:8" x14ac:dyDescent="0.2">
      <c r="A41" s="30" t="s">
        <v>20</v>
      </c>
      <c r="B41" s="31" t="s">
        <v>3</v>
      </c>
      <c r="C41" s="80">
        <v>246.86392278839622</v>
      </c>
      <c r="D41" s="80">
        <v>244.72721945667442</v>
      </c>
      <c r="E41" s="83">
        <v>248.38328089332938</v>
      </c>
      <c r="F41" s="22" t="s">
        <v>241</v>
      </c>
      <c r="G41" s="23">
        <v>0.61546381009083007</v>
      </c>
      <c r="H41" s="24">
        <v>1.4939333045060863</v>
      </c>
    </row>
    <row r="42" spans="1:8" x14ac:dyDescent="0.2">
      <c r="A42" s="34"/>
      <c r="B42" s="25" t="s">
        <v>242</v>
      </c>
      <c r="C42" s="82">
        <v>112.55345645746424</v>
      </c>
      <c r="D42" s="82">
        <v>116.00342582761908</v>
      </c>
      <c r="E42" s="82">
        <v>116.20063870806969</v>
      </c>
      <c r="F42" s="27"/>
      <c r="G42" s="38">
        <v>3.2404000422534978</v>
      </c>
      <c r="H42" s="24">
        <v>0.17000608304765308</v>
      </c>
    </row>
    <row r="43" spans="1:8" x14ac:dyDescent="0.2">
      <c r="A43" s="30" t="s">
        <v>21</v>
      </c>
      <c r="B43" s="31" t="s">
        <v>3</v>
      </c>
      <c r="C43" s="80">
        <v>8.9882224831339776</v>
      </c>
      <c r="D43" s="80">
        <v>9.2872953346467124</v>
      </c>
      <c r="E43" s="83">
        <v>4.2168685184205454</v>
      </c>
      <c r="F43" s="22" t="s">
        <v>241</v>
      </c>
      <c r="G43" s="37">
        <v>-53.08451113294845</v>
      </c>
      <c r="H43" s="33">
        <v>-54.595300714845258</v>
      </c>
    </row>
    <row r="44" spans="1:8" x14ac:dyDescent="0.2">
      <c r="A44" s="34"/>
      <c r="B44" s="25" t="s">
        <v>242</v>
      </c>
      <c r="C44" s="82">
        <v>4.7521733500432735</v>
      </c>
      <c r="D44" s="82">
        <v>14.286629177256868</v>
      </c>
      <c r="E44" s="82">
        <v>3.9638058773314699</v>
      </c>
      <c r="F44" s="27"/>
      <c r="G44" s="28">
        <v>-16.589619414969874</v>
      </c>
      <c r="H44" s="29">
        <v>-72.255135706598168</v>
      </c>
    </row>
    <row r="45" spans="1:8" x14ac:dyDescent="0.2">
      <c r="A45" s="30" t="s">
        <v>22</v>
      </c>
      <c r="B45" s="31" t="s">
        <v>3</v>
      </c>
      <c r="C45" s="80">
        <v>24.568454492397105</v>
      </c>
      <c r="D45" s="80">
        <v>33.964077106086407</v>
      </c>
      <c r="E45" s="83">
        <v>56.537932477477788</v>
      </c>
      <c r="F45" s="22" t="s">
        <v>241</v>
      </c>
      <c r="G45" s="37">
        <v>130.12409060966323</v>
      </c>
      <c r="H45" s="33">
        <v>66.463915097360683</v>
      </c>
    </row>
    <row r="46" spans="1:8" x14ac:dyDescent="0.2">
      <c r="A46" s="34"/>
      <c r="B46" s="25" t="s">
        <v>242</v>
      </c>
      <c r="C46" s="82">
        <v>9.951934779188889</v>
      </c>
      <c r="D46" s="82">
        <v>12.297096323816316</v>
      </c>
      <c r="E46" s="82">
        <v>21.221275928881699</v>
      </c>
      <c r="F46" s="27"/>
      <c r="G46" s="28">
        <v>113.23769095893627</v>
      </c>
      <c r="H46" s="29">
        <v>72.571437761136679</v>
      </c>
    </row>
    <row r="47" spans="1:8" x14ac:dyDescent="0.2">
      <c r="A47" s="30" t="s">
        <v>190</v>
      </c>
      <c r="B47" s="31" t="s">
        <v>3</v>
      </c>
      <c r="C47" s="80">
        <v>265.384559319164</v>
      </c>
      <c r="D47" s="80">
        <v>283.32529641478544</v>
      </c>
      <c r="E47" s="83">
        <v>340.39658682590363</v>
      </c>
      <c r="F47" s="22" t="s">
        <v>241</v>
      </c>
      <c r="G47" s="23">
        <v>28.265407640587938</v>
      </c>
      <c r="H47" s="24">
        <v>20.143379759344327</v>
      </c>
    </row>
    <row r="48" spans="1:8" x14ac:dyDescent="0.2">
      <c r="A48" s="30"/>
      <c r="B48" s="25" t="s">
        <v>242</v>
      </c>
      <c r="C48" s="82">
        <v>128.12103210651833</v>
      </c>
      <c r="D48" s="82">
        <v>149.32298593366264</v>
      </c>
      <c r="E48" s="82">
        <v>174.08157660594449</v>
      </c>
      <c r="F48" s="27"/>
      <c r="G48" s="38">
        <v>35.8727554280199</v>
      </c>
      <c r="H48" s="24">
        <v>16.580562274103585</v>
      </c>
    </row>
    <row r="49" spans="1:8" x14ac:dyDescent="0.2">
      <c r="A49" s="39" t="s">
        <v>12</v>
      </c>
      <c r="B49" s="31" t="s">
        <v>3</v>
      </c>
      <c r="C49" s="80">
        <v>11.175463042254536</v>
      </c>
      <c r="D49" s="80">
        <v>14.339730904194479</v>
      </c>
      <c r="E49" s="83">
        <v>14.730642966513171</v>
      </c>
      <c r="F49" s="22" t="s">
        <v>241</v>
      </c>
      <c r="G49" s="37">
        <v>31.81237243429166</v>
      </c>
      <c r="H49" s="33">
        <v>2.7260766950957702</v>
      </c>
    </row>
    <row r="50" spans="1:8" x14ac:dyDescent="0.2">
      <c r="A50" s="34"/>
      <c r="B50" s="25" t="s">
        <v>242</v>
      </c>
      <c r="C50" s="82">
        <v>8.4809494232241835</v>
      </c>
      <c r="D50" s="82">
        <v>9.5335032489841218</v>
      </c>
      <c r="E50" s="82">
        <v>10.215436383958705</v>
      </c>
      <c r="F50" s="27"/>
      <c r="G50" s="28">
        <v>20.451565905873849</v>
      </c>
      <c r="H50" s="29">
        <v>7.1530172819445994</v>
      </c>
    </row>
    <row r="51" spans="1:8" x14ac:dyDescent="0.2">
      <c r="A51" s="39" t="s">
        <v>23</v>
      </c>
      <c r="B51" s="31" t="s">
        <v>3</v>
      </c>
      <c r="C51" s="80">
        <v>97.447353648543157</v>
      </c>
      <c r="D51" s="80">
        <v>106.80605752157328</v>
      </c>
      <c r="E51" s="83">
        <v>111.22975973880777</v>
      </c>
      <c r="F51" s="22" t="s">
        <v>241</v>
      </c>
      <c r="G51" s="23">
        <v>14.143438045503729</v>
      </c>
      <c r="H51" s="24">
        <v>4.1418083579584959</v>
      </c>
    </row>
    <row r="52" spans="1:8" x14ac:dyDescent="0.2">
      <c r="A52" s="34"/>
      <c r="B52" s="25" t="s">
        <v>242</v>
      </c>
      <c r="C52" s="82">
        <v>45.456790512316019</v>
      </c>
      <c r="D52" s="82">
        <v>47.238515453709432</v>
      </c>
      <c r="E52" s="82">
        <v>50.060452908978547</v>
      </c>
      <c r="F52" s="27"/>
      <c r="G52" s="38">
        <v>10.127557059742728</v>
      </c>
      <c r="H52" s="24">
        <v>5.973806391173369</v>
      </c>
    </row>
    <row r="53" spans="1:8" x14ac:dyDescent="0.2">
      <c r="A53" s="30" t="s">
        <v>24</v>
      </c>
      <c r="B53" s="31" t="s">
        <v>3</v>
      </c>
      <c r="C53" s="80">
        <v>144.99121133280178</v>
      </c>
      <c r="D53" s="80">
        <v>218.20675856969845</v>
      </c>
      <c r="E53" s="83">
        <v>222.58660382579743</v>
      </c>
      <c r="F53" s="22" t="s">
        <v>241</v>
      </c>
      <c r="G53" s="37">
        <v>53.517307552448187</v>
      </c>
      <c r="H53" s="33">
        <v>2.0071996324989954</v>
      </c>
    </row>
    <row r="54" spans="1:8" ht="13.5" thickBot="1" x14ac:dyDescent="0.25">
      <c r="A54" s="41"/>
      <c r="B54" s="42" t="s">
        <v>242</v>
      </c>
      <c r="C54" s="86">
        <v>67.364290914290109</v>
      </c>
      <c r="D54" s="86">
        <v>84.448083436346522</v>
      </c>
      <c r="E54" s="86">
        <v>91.221807756011899</v>
      </c>
      <c r="F54" s="44"/>
      <c r="G54" s="45">
        <v>35.415672781409569</v>
      </c>
      <c r="H54" s="46">
        <v>8.021169982822812</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7">
        <v>14</v>
      </c>
    </row>
    <row r="62" spans="1:8"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44</v>
      </c>
      <c r="B7" s="19" t="s">
        <v>3</v>
      </c>
      <c r="C7" s="20">
        <v>110274.26144282252</v>
      </c>
      <c r="D7" s="20">
        <v>130489.07753884791</v>
      </c>
      <c r="E7" s="21">
        <v>126734.41007675642</v>
      </c>
      <c r="F7" s="22" t="s">
        <v>241</v>
      </c>
      <c r="G7" s="23">
        <v>14.92655531632694</v>
      </c>
      <c r="H7" s="24">
        <v>-2.8773806458810185</v>
      </c>
    </row>
    <row r="8" spans="1:8" x14ac:dyDescent="0.2">
      <c r="A8" s="203"/>
      <c r="B8" s="25" t="s">
        <v>242</v>
      </c>
      <c r="C8" s="26">
        <v>52500.265517265732</v>
      </c>
      <c r="D8" s="26">
        <v>64737.309980990249</v>
      </c>
      <c r="E8" s="26">
        <v>62005.236871937072</v>
      </c>
      <c r="F8" s="27"/>
      <c r="G8" s="28">
        <v>18.104615778648679</v>
      </c>
      <c r="H8" s="29">
        <v>-4.2202450331276253</v>
      </c>
    </row>
    <row r="9" spans="1:8" x14ac:dyDescent="0.2">
      <c r="A9" s="30" t="s">
        <v>18</v>
      </c>
      <c r="B9" s="31" t="s">
        <v>3</v>
      </c>
      <c r="C9" s="20">
        <v>11102.819455970435</v>
      </c>
      <c r="D9" s="20">
        <v>12430.674886956522</v>
      </c>
      <c r="E9" s="21">
        <v>14373.860545022131</v>
      </c>
      <c r="F9" s="22" t="s">
        <v>241</v>
      </c>
      <c r="G9" s="32">
        <v>29.461355307301915</v>
      </c>
      <c r="H9" s="33">
        <v>15.632181484406686</v>
      </c>
    </row>
    <row r="10" spans="1:8" x14ac:dyDescent="0.2">
      <c r="A10" s="34"/>
      <c r="B10" s="25" t="s">
        <v>242</v>
      </c>
      <c r="C10" s="26">
        <v>4871.9730856435654</v>
      </c>
      <c r="D10" s="26">
        <v>5314.0540521739131</v>
      </c>
      <c r="E10" s="26">
        <v>6198.0060347826093</v>
      </c>
      <c r="F10" s="27"/>
      <c r="G10" s="35">
        <v>27.217575422296932</v>
      </c>
      <c r="H10" s="29">
        <v>16.634230173987092</v>
      </c>
    </row>
    <row r="11" spans="1:8" x14ac:dyDescent="0.2">
      <c r="A11" s="30" t="s">
        <v>19</v>
      </c>
      <c r="B11" s="31" t="s">
        <v>3</v>
      </c>
      <c r="C11" s="20">
        <v>49201.064853234784</v>
      </c>
      <c r="D11" s="20">
        <v>56876.582956521743</v>
      </c>
      <c r="E11" s="21">
        <v>53238.353184462343</v>
      </c>
      <c r="F11" s="22" t="s">
        <v>241</v>
      </c>
      <c r="G11" s="37">
        <v>8.2056929931713114</v>
      </c>
      <c r="H11" s="33">
        <v>-6.3967094767992165</v>
      </c>
    </row>
    <row r="12" spans="1:8" x14ac:dyDescent="0.2">
      <c r="A12" s="34"/>
      <c r="B12" s="25" t="s">
        <v>242</v>
      </c>
      <c r="C12" s="26">
        <v>22622.576952145217</v>
      </c>
      <c r="D12" s="26">
        <v>28783.180173913042</v>
      </c>
      <c r="E12" s="26">
        <v>26067.686782608696</v>
      </c>
      <c r="F12" s="27"/>
      <c r="G12" s="28">
        <v>15.228635702073689</v>
      </c>
      <c r="H12" s="29">
        <v>-9.4343063375793008</v>
      </c>
    </row>
    <row r="13" spans="1:8" x14ac:dyDescent="0.2">
      <c r="A13" s="30" t="s">
        <v>20</v>
      </c>
      <c r="B13" s="31" t="s">
        <v>3</v>
      </c>
      <c r="C13" s="20">
        <v>3289.2213586832299</v>
      </c>
      <c r="D13" s="20">
        <v>3234.7537888198758</v>
      </c>
      <c r="E13" s="21">
        <v>4201.4633486018365</v>
      </c>
      <c r="F13" s="22" t="s">
        <v>241</v>
      </c>
      <c r="G13" s="23">
        <v>27.734283906140121</v>
      </c>
      <c r="H13" s="24">
        <v>29.885104799108746</v>
      </c>
    </row>
    <row r="14" spans="1:8" x14ac:dyDescent="0.2">
      <c r="A14" s="34"/>
      <c r="B14" s="25" t="s">
        <v>242</v>
      </c>
      <c r="C14" s="26">
        <v>1616.4175962596273</v>
      </c>
      <c r="D14" s="26">
        <v>1434.1334161490684</v>
      </c>
      <c r="E14" s="26">
        <v>1925.5175155279503</v>
      </c>
      <c r="F14" s="27"/>
      <c r="G14" s="38">
        <v>19.122528731658008</v>
      </c>
      <c r="H14" s="24">
        <v>34.263485798855839</v>
      </c>
    </row>
    <row r="15" spans="1:8" x14ac:dyDescent="0.2">
      <c r="A15" s="30" t="s">
        <v>21</v>
      </c>
      <c r="B15" s="31" t="s">
        <v>3</v>
      </c>
      <c r="C15" s="20">
        <v>2811.5645629492756</v>
      </c>
      <c r="D15" s="20">
        <v>3121.8865217391303</v>
      </c>
      <c r="E15" s="21">
        <v>3680.2872837005716</v>
      </c>
      <c r="F15" s="22" t="s">
        <v>241</v>
      </c>
      <c r="G15" s="37">
        <v>30.898195694998464</v>
      </c>
      <c r="H15" s="33">
        <v>17.886645080563952</v>
      </c>
    </row>
    <row r="16" spans="1:8" x14ac:dyDescent="0.2">
      <c r="A16" s="34"/>
      <c r="B16" s="25" t="s">
        <v>242</v>
      </c>
      <c r="C16" s="26">
        <v>1464.0801322423913</v>
      </c>
      <c r="D16" s="26">
        <v>1376.580579710145</v>
      </c>
      <c r="E16" s="26">
        <v>1710.1509420289856</v>
      </c>
      <c r="F16" s="27"/>
      <c r="G16" s="28">
        <v>16.807195478413533</v>
      </c>
      <c r="H16" s="29">
        <v>24.231807947565102</v>
      </c>
    </row>
    <row r="17" spans="1:8" x14ac:dyDescent="0.2">
      <c r="A17" s="30" t="s">
        <v>22</v>
      </c>
      <c r="B17" s="31" t="s">
        <v>3</v>
      </c>
      <c r="C17" s="20">
        <v>492.56456294927534</v>
      </c>
      <c r="D17" s="20">
        <v>548.88652173913044</v>
      </c>
      <c r="E17" s="21">
        <v>3835.4457688255015</v>
      </c>
      <c r="F17" s="22" t="s">
        <v>241</v>
      </c>
      <c r="G17" s="37">
        <v>678.66863703316767</v>
      </c>
      <c r="H17" s="33">
        <v>598.76843699368067</v>
      </c>
    </row>
    <row r="18" spans="1:8" x14ac:dyDescent="0.2">
      <c r="A18" s="34"/>
      <c r="B18" s="25" t="s">
        <v>242</v>
      </c>
      <c r="C18" s="26">
        <v>222.0801322423913</v>
      </c>
      <c r="D18" s="26">
        <v>176.58057971014492</v>
      </c>
      <c r="E18" s="26">
        <v>1364.1509420289856</v>
      </c>
      <c r="F18" s="27"/>
      <c r="G18" s="28">
        <v>514.26068521071988</v>
      </c>
      <c r="H18" s="29">
        <v>672.53735618504845</v>
      </c>
    </row>
    <row r="19" spans="1:8" x14ac:dyDescent="0.2">
      <c r="A19" s="30" t="s">
        <v>190</v>
      </c>
      <c r="B19" s="31" t="s">
        <v>3</v>
      </c>
      <c r="C19" s="20">
        <v>29414.553396708074</v>
      </c>
      <c r="D19" s="20">
        <v>38409.884472049685</v>
      </c>
      <c r="E19" s="21">
        <v>32807.466626969552</v>
      </c>
      <c r="F19" s="22" t="s">
        <v>241</v>
      </c>
      <c r="G19" s="23">
        <v>11.53481130412537</v>
      </c>
      <c r="H19" s="24">
        <v>-14.585875282069466</v>
      </c>
    </row>
    <row r="20" spans="1:8" x14ac:dyDescent="0.2">
      <c r="A20" s="30"/>
      <c r="B20" s="25" t="s">
        <v>242</v>
      </c>
      <c r="C20" s="26">
        <v>14629.543990649068</v>
      </c>
      <c r="D20" s="26">
        <v>20363.833540372671</v>
      </c>
      <c r="E20" s="26">
        <v>17019.293788819876</v>
      </c>
      <c r="F20" s="27"/>
      <c r="G20" s="38">
        <v>16.335094242843738</v>
      </c>
      <c r="H20" s="24">
        <v>-16.423920107783346</v>
      </c>
    </row>
    <row r="21" spans="1:8" x14ac:dyDescent="0.2">
      <c r="A21" s="39" t="s">
        <v>12</v>
      </c>
      <c r="B21" s="31" t="s">
        <v>3</v>
      </c>
      <c r="C21" s="20">
        <v>397.33873776956523</v>
      </c>
      <c r="D21" s="20">
        <v>407.13191304347828</v>
      </c>
      <c r="E21" s="21">
        <v>526.46631093279484</v>
      </c>
      <c r="F21" s="22" t="s">
        <v>241</v>
      </c>
      <c r="G21" s="37">
        <v>32.498108260996332</v>
      </c>
      <c r="H21" s="33">
        <v>29.310990876947699</v>
      </c>
    </row>
    <row r="22" spans="1:8" x14ac:dyDescent="0.2">
      <c r="A22" s="34"/>
      <c r="B22" s="25" t="s">
        <v>242</v>
      </c>
      <c r="C22" s="26">
        <v>173.04807934543479</v>
      </c>
      <c r="D22" s="26">
        <v>192.34834782608695</v>
      </c>
      <c r="E22" s="26">
        <v>241.89056521739133</v>
      </c>
      <c r="F22" s="27"/>
      <c r="G22" s="28">
        <v>39.782288328398437</v>
      </c>
      <c r="H22" s="29">
        <v>25.756507893739908</v>
      </c>
    </row>
    <row r="23" spans="1:8" x14ac:dyDescent="0.2">
      <c r="A23" s="39" t="s">
        <v>23</v>
      </c>
      <c r="B23" s="31" t="s">
        <v>3</v>
      </c>
      <c r="C23" s="20">
        <v>6183.5645629492756</v>
      </c>
      <c r="D23" s="20">
        <v>6115.8865217391303</v>
      </c>
      <c r="E23" s="21">
        <v>6010.4952204477931</v>
      </c>
      <c r="F23" s="22" t="s">
        <v>241</v>
      </c>
      <c r="G23" s="23">
        <v>-2.7988604427045374</v>
      </c>
      <c r="H23" s="24">
        <v>-1.7232383386565573</v>
      </c>
    </row>
    <row r="24" spans="1:8" x14ac:dyDescent="0.2">
      <c r="A24" s="34"/>
      <c r="B24" s="25" t="s">
        <v>242</v>
      </c>
      <c r="C24" s="26">
        <v>3078.0801322423913</v>
      </c>
      <c r="D24" s="26">
        <v>3035.5805797101448</v>
      </c>
      <c r="E24" s="26">
        <v>2986.1509420289858</v>
      </c>
      <c r="F24" s="27"/>
      <c r="G24" s="28">
        <v>-2.9865756011502782</v>
      </c>
      <c r="H24" s="29">
        <v>-1.6283421369719946</v>
      </c>
    </row>
    <row r="25" spans="1:8" x14ac:dyDescent="0.2">
      <c r="A25" s="30" t="s">
        <v>24</v>
      </c>
      <c r="B25" s="31" t="s">
        <v>3</v>
      </c>
      <c r="C25" s="20">
        <v>11500.129125898551</v>
      </c>
      <c r="D25" s="20">
        <v>16033.773043478261</v>
      </c>
      <c r="E25" s="21">
        <v>16399.849001683138</v>
      </c>
      <c r="F25" s="22" t="s">
        <v>241</v>
      </c>
      <c r="G25" s="23">
        <v>42.605781397274114</v>
      </c>
      <c r="H25" s="24">
        <v>2.2831554195771702</v>
      </c>
    </row>
    <row r="26" spans="1:8" ht="13.5" thickBot="1" x14ac:dyDescent="0.25">
      <c r="A26" s="41"/>
      <c r="B26" s="42" t="s">
        <v>242</v>
      </c>
      <c r="C26" s="43">
        <v>5474.1602644847826</v>
      </c>
      <c r="D26" s="43">
        <v>7179.1611594202896</v>
      </c>
      <c r="E26" s="43">
        <v>7491.3018840579716</v>
      </c>
      <c r="F26" s="44"/>
      <c r="G26" s="45">
        <v>36.848420983579643</v>
      </c>
      <c r="H26" s="46">
        <v>4.3478718154710947</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44</v>
      </c>
      <c r="B35" s="19" t="s">
        <v>3</v>
      </c>
      <c r="C35" s="80">
        <v>4897.4303161549897</v>
      </c>
      <c r="D35" s="80">
        <v>6096.22890689415</v>
      </c>
      <c r="E35" s="83">
        <v>5494.2975521128919</v>
      </c>
      <c r="F35" s="22" t="s">
        <v>241</v>
      </c>
      <c r="G35" s="23">
        <v>12.187355356318946</v>
      </c>
      <c r="H35" s="24">
        <v>-9.8738312483729374</v>
      </c>
    </row>
    <row r="36" spans="1:8" ht="12.75" customHeight="1" x14ac:dyDescent="0.2">
      <c r="A36" s="203"/>
      <c r="B36" s="25" t="s">
        <v>242</v>
      </c>
      <c r="C36" s="82">
        <v>2377.2990657679929</v>
      </c>
      <c r="D36" s="82">
        <v>3061.312952404407</v>
      </c>
      <c r="E36" s="82">
        <v>2727.6749200331587</v>
      </c>
      <c r="F36" s="27"/>
      <c r="G36" s="28">
        <v>14.738400368317812</v>
      </c>
      <c r="H36" s="29">
        <v>-10.89852744748633</v>
      </c>
    </row>
    <row r="37" spans="1:8" x14ac:dyDescent="0.2">
      <c r="A37" s="30" t="s">
        <v>18</v>
      </c>
      <c r="B37" s="31" t="s">
        <v>3</v>
      </c>
      <c r="C37" s="80">
        <v>1802.8785468535357</v>
      </c>
      <c r="D37" s="80">
        <v>2186.7087796288638</v>
      </c>
      <c r="E37" s="83">
        <v>1933.8904076472777</v>
      </c>
      <c r="F37" s="22" t="s">
        <v>241</v>
      </c>
      <c r="G37" s="32">
        <v>7.2668156722143067</v>
      </c>
      <c r="H37" s="33">
        <v>-11.561593127389159</v>
      </c>
    </row>
    <row r="38" spans="1:8" x14ac:dyDescent="0.2">
      <c r="A38" s="34"/>
      <c r="B38" s="25" t="s">
        <v>242</v>
      </c>
      <c r="C38" s="82">
        <v>932.21237006707656</v>
      </c>
      <c r="D38" s="82">
        <v>1096.8036028622785</v>
      </c>
      <c r="E38" s="82">
        <v>979.78045675172564</v>
      </c>
      <c r="F38" s="27"/>
      <c r="G38" s="35">
        <v>5.1027092336509554</v>
      </c>
      <c r="H38" s="29">
        <v>-10.669471344291978</v>
      </c>
    </row>
    <row r="39" spans="1:8" x14ac:dyDescent="0.2">
      <c r="A39" s="30" t="s">
        <v>19</v>
      </c>
      <c r="B39" s="31" t="s">
        <v>3</v>
      </c>
      <c r="C39" s="80">
        <v>2124.904571399853</v>
      </c>
      <c r="D39" s="80">
        <v>2512.6743999063692</v>
      </c>
      <c r="E39" s="83">
        <v>2477.6636028816215</v>
      </c>
      <c r="F39" s="22" t="s">
        <v>241</v>
      </c>
      <c r="G39" s="37">
        <v>16.60117052924295</v>
      </c>
      <c r="H39" s="33">
        <v>-1.393367840499053</v>
      </c>
    </row>
    <row r="40" spans="1:8" x14ac:dyDescent="0.2">
      <c r="A40" s="34"/>
      <c r="B40" s="25" t="s">
        <v>242</v>
      </c>
      <c r="C40" s="82">
        <v>964.46020100296721</v>
      </c>
      <c r="D40" s="82">
        <v>1231.0200853241449</v>
      </c>
      <c r="E40" s="82">
        <v>1182.5672374315727</v>
      </c>
      <c r="F40" s="27"/>
      <c r="G40" s="28">
        <v>22.614415421371504</v>
      </c>
      <c r="H40" s="29">
        <v>-3.9359916601047047</v>
      </c>
    </row>
    <row r="41" spans="1:8" x14ac:dyDescent="0.2">
      <c r="A41" s="30" t="s">
        <v>20</v>
      </c>
      <c r="B41" s="31" t="s">
        <v>3</v>
      </c>
      <c r="C41" s="80">
        <v>57.24495489448104</v>
      </c>
      <c r="D41" s="80">
        <v>59.419368311101771</v>
      </c>
      <c r="E41" s="83">
        <v>66.762915412002585</v>
      </c>
      <c r="F41" s="22" t="s">
        <v>241</v>
      </c>
      <c r="G41" s="23">
        <v>16.626723761187151</v>
      </c>
      <c r="H41" s="24">
        <v>12.358844110311367</v>
      </c>
    </row>
    <row r="42" spans="1:8" x14ac:dyDescent="0.2">
      <c r="A42" s="34"/>
      <c r="B42" s="25" t="s">
        <v>242</v>
      </c>
      <c r="C42" s="82">
        <v>32.376885047085857</v>
      </c>
      <c r="D42" s="82">
        <v>28.812136147838217</v>
      </c>
      <c r="E42" s="82">
        <v>33.989369333151274</v>
      </c>
      <c r="F42" s="27"/>
      <c r="G42" s="38">
        <v>4.9803564602350434</v>
      </c>
      <c r="H42" s="24">
        <v>17.968932115092429</v>
      </c>
    </row>
    <row r="43" spans="1:8" x14ac:dyDescent="0.2">
      <c r="A43" s="30" t="s">
        <v>21</v>
      </c>
      <c r="B43" s="31" t="s">
        <v>3</v>
      </c>
      <c r="C43" s="80">
        <v>25.130934273230864</v>
      </c>
      <c r="D43" s="80">
        <v>28.45107324222851</v>
      </c>
      <c r="E43" s="83">
        <v>34.643739171116444</v>
      </c>
      <c r="F43" s="22" t="s">
        <v>241</v>
      </c>
      <c r="G43" s="37">
        <v>37.85296954923993</v>
      </c>
      <c r="H43" s="33">
        <v>21.766018723316449</v>
      </c>
    </row>
    <row r="44" spans="1:8" x14ac:dyDescent="0.2">
      <c r="A44" s="34"/>
      <c r="B44" s="25" t="s">
        <v>242</v>
      </c>
      <c r="C44" s="82">
        <v>13.407229374376035</v>
      </c>
      <c r="D44" s="82">
        <v>13.689972787424646</v>
      </c>
      <c r="E44" s="82">
        <v>17.233075803783503</v>
      </c>
      <c r="F44" s="27"/>
      <c r="G44" s="28">
        <v>28.535697589536625</v>
      </c>
      <c r="H44" s="29">
        <v>25.8810084678436</v>
      </c>
    </row>
    <row r="45" spans="1:8" x14ac:dyDescent="0.2">
      <c r="A45" s="30" t="s">
        <v>22</v>
      </c>
      <c r="B45" s="31" t="s">
        <v>3</v>
      </c>
      <c r="C45" s="80">
        <v>3.1847164883244874</v>
      </c>
      <c r="D45" s="80">
        <v>3.8473118467760594</v>
      </c>
      <c r="E45" s="83">
        <v>51.868560314808093</v>
      </c>
      <c r="F45" s="22" t="s">
        <v>241</v>
      </c>
      <c r="G45" s="37">
        <v>1528.6712021294143</v>
      </c>
      <c r="H45" s="33">
        <v>1248.1766589384354</v>
      </c>
    </row>
    <row r="46" spans="1:8" x14ac:dyDescent="0.2">
      <c r="A46" s="34"/>
      <c r="B46" s="25" t="s">
        <v>242</v>
      </c>
      <c r="C46" s="82">
        <v>1.5528044241982095</v>
      </c>
      <c r="D46" s="82">
        <v>1.3687158072301762</v>
      </c>
      <c r="E46" s="82">
        <v>20.280358463466747</v>
      </c>
      <c r="F46" s="27"/>
      <c r="G46" s="28">
        <v>1206.0471845279878</v>
      </c>
      <c r="H46" s="29">
        <v>1381.707039279938</v>
      </c>
    </row>
    <row r="47" spans="1:8" x14ac:dyDescent="0.2">
      <c r="A47" s="30" t="s">
        <v>190</v>
      </c>
      <c r="B47" s="31" t="s">
        <v>3</v>
      </c>
      <c r="C47" s="80">
        <v>412.2553555697537</v>
      </c>
      <c r="D47" s="80">
        <v>672.03403952948133</v>
      </c>
      <c r="E47" s="83">
        <v>453.90342104238567</v>
      </c>
      <c r="F47" s="22" t="s">
        <v>241</v>
      </c>
      <c r="G47" s="23">
        <v>10.102492280560597</v>
      </c>
      <c r="H47" s="24">
        <v>-32.458269322163773</v>
      </c>
    </row>
    <row r="48" spans="1:8" x14ac:dyDescent="0.2">
      <c r="A48" s="30"/>
      <c r="B48" s="25" t="s">
        <v>242</v>
      </c>
      <c r="C48" s="82">
        <v>216.44140912156456</v>
      </c>
      <c r="D48" s="82">
        <v>398.26716816530961</v>
      </c>
      <c r="E48" s="82">
        <v>257.92471605673222</v>
      </c>
      <c r="F48" s="27"/>
      <c r="G48" s="38">
        <v>19.166067668626425</v>
      </c>
      <c r="H48" s="24">
        <v>-35.23826800865622</v>
      </c>
    </row>
    <row r="49" spans="1:8" x14ac:dyDescent="0.2">
      <c r="A49" s="39" t="s">
        <v>12</v>
      </c>
      <c r="B49" s="31" t="s">
        <v>3</v>
      </c>
      <c r="C49" s="80">
        <v>7.0997260827995694</v>
      </c>
      <c r="D49" s="80">
        <v>6.6752799770858973</v>
      </c>
      <c r="E49" s="83">
        <v>10.389532883239987</v>
      </c>
      <c r="F49" s="22" t="s">
        <v>241</v>
      </c>
      <c r="G49" s="37">
        <v>46.337094728352923</v>
      </c>
      <c r="H49" s="33">
        <v>55.641904443018632</v>
      </c>
    </row>
    <row r="50" spans="1:8" x14ac:dyDescent="0.2">
      <c r="A50" s="34"/>
      <c r="B50" s="25" t="s">
        <v>242</v>
      </c>
      <c r="C50" s="82">
        <v>2.4000673248115723</v>
      </c>
      <c r="D50" s="82">
        <v>2.4798308702856904</v>
      </c>
      <c r="E50" s="82">
        <v>3.7364384522719054</v>
      </c>
      <c r="F50" s="27"/>
      <c r="G50" s="28">
        <v>55.680568359275128</v>
      </c>
      <c r="H50" s="29">
        <v>50.673116342061121</v>
      </c>
    </row>
    <row r="51" spans="1:8" x14ac:dyDescent="0.2">
      <c r="A51" s="39" t="s">
        <v>23</v>
      </c>
      <c r="B51" s="31" t="s">
        <v>3</v>
      </c>
      <c r="C51" s="80">
        <v>157.79113540605209</v>
      </c>
      <c r="D51" s="80">
        <v>160.89232808708007</v>
      </c>
      <c r="E51" s="83">
        <v>156.97539861615022</v>
      </c>
      <c r="F51" s="22" t="s">
        <v>241</v>
      </c>
      <c r="G51" s="23">
        <v>-0.51697250786789084</v>
      </c>
      <c r="H51" s="24">
        <v>-2.434503569871822</v>
      </c>
    </row>
    <row r="52" spans="1:8" x14ac:dyDescent="0.2">
      <c r="A52" s="34"/>
      <c r="B52" s="25" t="s">
        <v>242</v>
      </c>
      <c r="C52" s="82">
        <v>73.737440749462849</v>
      </c>
      <c r="D52" s="82">
        <v>77.169647780249122</v>
      </c>
      <c r="E52" s="82">
        <v>74.634805724924348</v>
      </c>
      <c r="F52" s="27"/>
      <c r="G52" s="28">
        <v>1.2169733127984017</v>
      </c>
      <c r="H52" s="29">
        <v>-3.2847656147700377</v>
      </c>
    </row>
    <row r="53" spans="1:8" x14ac:dyDescent="0.2">
      <c r="A53" s="30" t="s">
        <v>24</v>
      </c>
      <c r="B53" s="31" t="s">
        <v>3</v>
      </c>
      <c r="C53" s="80">
        <v>306.94037518695728</v>
      </c>
      <c r="D53" s="80">
        <v>465.5263263651608</v>
      </c>
      <c r="E53" s="83">
        <v>345.47580123811252</v>
      </c>
      <c r="F53" s="22" t="s">
        <v>241</v>
      </c>
      <c r="G53" s="23">
        <v>12.554694385736425</v>
      </c>
      <c r="H53" s="24">
        <v>-25.788128045175284</v>
      </c>
    </row>
    <row r="54" spans="1:8" ht="13.5" thickBot="1" x14ac:dyDescent="0.25">
      <c r="A54" s="41"/>
      <c r="B54" s="42" t="s">
        <v>242</v>
      </c>
      <c r="C54" s="86">
        <v>140.71065865644997</v>
      </c>
      <c r="D54" s="86">
        <v>211.70179265964489</v>
      </c>
      <c r="E54" s="86">
        <v>157.52846201552987</v>
      </c>
      <c r="F54" s="44"/>
      <c r="G54" s="45">
        <v>11.952046504267429</v>
      </c>
      <c r="H54" s="46">
        <v>-25.589452958109831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5">
        <v>15</v>
      </c>
    </row>
    <row r="62" spans="1:8"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ht="12.75" customHeight="1" x14ac:dyDescent="0.2">
      <c r="A7" s="202" t="s">
        <v>45</v>
      </c>
      <c r="B7" s="19" t="s">
        <v>3</v>
      </c>
      <c r="C7" s="20">
        <v>14731.573261968293</v>
      </c>
      <c r="D7" s="20">
        <v>18679.167529953433</v>
      </c>
      <c r="E7" s="21">
        <v>15827.3848751156</v>
      </c>
      <c r="F7" s="22" t="s">
        <v>241</v>
      </c>
      <c r="G7" s="23">
        <v>7.4385240032461866</v>
      </c>
      <c r="H7" s="24">
        <v>-15.267182813499517</v>
      </c>
    </row>
    <row r="8" spans="1:8" ht="12.75" customHeight="1" x14ac:dyDescent="0.2">
      <c r="A8" s="203"/>
      <c r="B8" s="25" t="s">
        <v>242</v>
      </c>
      <c r="C8" s="26">
        <v>7122.0658691989747</v>
      </c>
      <c r="D8" s="26">
        <v>9512.47684821849</v>
      </c>
      <c r="E8" s="26">
        <v>7919.3159106367393</v>
      </c>
      <c r="F8" s="27"/>
      <c r="G8" s="28">
        <v>11.194084077285169</v>
      </c>
      <c r="H8" s="29">
        <v>-16.74811894948391</v>
      </c>
    </row>
    <row r="9" spans="1:8" x14ac:dyDescent="0.2">
      <c r="A9" s="30" t="s">
        <v>18</v>
      </c>
      <c r="B9" s="31" t="s">
        <v>3</v>
      </c>
      <c r="C9" s="20">
        <v>1820.9106131151304</v>
      </c>
      <c r="D9" s="20">
        <v>2277.1434434782609</v>
      </c>
      <c r="E9" s="21">
        <v>2435.3719500717903</v>
      </c>
      <c r="F9" s="22" t="s">
        <v>241</v>
      </c>
      <c r="G9" s="32">
        <v>33.744728188797126</v>
      </c>
      <c r="H9" s="33">
        <v>6.9485524527098192</v>
      </c>
    </row>
    <row r="10" spans="1:8" x14ac:dyDescent="0.2">
      <c r="A10" s="34"/>
      <c r="B10" s="25" t="s">
        <v>242</v>
      </c>
      <c r="C10" s="26">
        <v>838.89061962886956</v>
      </c>
      <c r="D10" s="26">
        <v>833.01725217391299</v>
      </c>
      <c r="E10" s="26">
        <v>956.56890434782611</v>
      </c>
      <c r="F10" s="27"/>
      <c r="G10" s="35">
        <v>14.027846058288034</v>
      </c>
      <c r="H10" s="29">
        <v>14.831823932995647</v>
      </c>
    </row>
    <row r="11" spans="1:8" x14ac:dyDescent="0.2">
      <c r="A11" s="30" t="s">
        <v>19</v>
      </c>
      <c r="B11" s="31" t="s">
        <v>3</v>
      </c>
      <c r="C11" s="20">
        <v>4173.0353770504353</v>
      </c>
      <c r="D11" s="20">
        <v>5894.81147826087</v>
      </c>
      <c r="E11" s="21">
        <v>4434.9753100499111</v>
      </c>
      <c r="F11" s="22" t="s">
        <v>241</v>
      </c>
      <c r="G11" s="37">
        <v>6.2769641120229238</v>
      </c>
      <c r="H11" s="33">
        <v>-24.764764294746371</v>
      </c>
    </row>
    <row r="12" spans="1:8" x14ac:dyDescent="0.2">
      <c r="A12" s="34"/>
      <c r="B12" s="25" t="s">
        <v>242</v>
      </c>
      <c r="C12" s="26">
        <v>2032.3020654295651</v>
      </c>
      <c r="D12" s="26">
        <v>3613.7241739130436</v>
      </c>
      <c r="E12" s="26">
        <v>2502.8963478260871</v>
      </c>
      <c r="F12" s="27"/>
      <c r="G12" s="28">
        <v>23.155725243877725</v>
      </c>
      <c r="H12" s="29">
        <v>-30.739142575016189</v>
      </c>
    </row>
    <row r="13" spans="1:8" x14ac:dyDescent="0.2">
      <c r="A13" s="30" t="s">
        <v>20</v>
      </c>
      <c r="B13" s="31" t="s">
        <v>3</v>
      </c>
      <c r="C13" s="20">
        <v>1459.2073224049691</v>
      </c>
      <c r="D13" s="20">
        <v>1345.5768944099379</v>
      </c>
      <c r="E13" s="21">
        <v>1207.2289417858631</v>
      </c>
      <c r="F13" s="22" t="s">
        <v>241</v>
      </c>
      <c r="G13" s="23">
        <v>-17.268168597441786</v>
      </c>
      <c r="H13" s="24">
        <v>-10.281683135228263</v>
      </c>
    </row>
    <row r="14" spans="1:8" x14ac:dyDescent="0.2">
      <c r="A14" s="34"/>
      <c r="B14" s="25" t="s">
        <v>242</v>
      </c>
      <c r="C14" s="26">
        <v>749.00098353788826</v>
      </c>
      <c r="D14" s="26">
        <v>635.20198757763978</v>
      </c>
      <c r="E14" s="26">
        <v>585.56968944099378</v>
      </c>
      <c r="F14" s="27"/>
      <c r="G14" s="38">
        <v>-21.819903803721402</v>
      </c>
      <c r="H14" s="24">
        <v>-7.8136245016990813</v>
      </c>
    </row>
    <row r="15" spans="1:8" x14ac:dyDescent="0.2">
      <c r="A15" s="30" t="s">
        <v>21</v>
      </c>
      <c r="B15" s="31" t="s">
        <v>3</v>
      </c>
      <c r="C15" s="20">
        <v>347.81046903478261</v>
      </c>
      <c r="D15" s="20">
        <v>407.91826086956524</v>
      </c>
      <c r="E15" s="21">
        <v>428.5710216783462</v>
      </c>
      <c r="F15" s="22" t="s">
        <v>241</v>
      </c>
      <c r="G15" s="37">
        <v>23.219701485031251</v>
      </c>
      <c r="H15" s="33">
        <v>5.0629654982238748</v>
      </c>
    </row>
    <row r="16" spans="1:8" x14ac:dyDescent="0.2">
      <c r="A16" s="34"/>
      <c r="B16" s="25" t="s">
        <v>242</v>
      </c>
      <c r="C16" s="26">
        <v>170.87528686521739</v>
      </c>
      <c r="D16" s="26">
        <v>179.93391304347827</v>
      </c>
      <c r="E16" s="26">
        <v>195.70782608695652</v>
      </c>
      <c r="F16" s="27"/>
      <c r="G16" s="28">
        <v>14.532551592042964</v>
      </c>
      <c r="H16" s="29">
        <v>8.7665036438499016</v>
      </c>
    </row>
    <row r="17" spans="1:8" x14ac:dyDescent="0.2">
      <c r="A17" s="30" t="s">
        <v>22</v>
      </c>
      <c r="B17" s="31" t="s">
        <v>3</v>
      </c>
      <c r="C17" s="20">
        <v>317.81046903478261</v>
      </c>
      <c r="D17" s="20">
        <v>440.91826086956524</v>
      </c>
      <c r="E17" s="21">
        <v>591.17537259657524</v>
      </c>
      <c r="F17" s="22" t="s">
        <v>241</v>
      </c>
      <c r="G17" s="37">
        <v>86.015071936435902</v>
      </c>
      <c r="H17" s="33">
        <v>34.078223802905683</v>
      </c>
    </row>
    <row r="18" spans="1:8" x14ac:dyDescent="0.2">
      <c r="A18" s="34"/>
      <c r="B18" s="25" t="s">
        <v>242</v>
      </c>
      <c r="C18" s="26">
        <v>156.87528686521739</v>
      </c>
      <c r="D18" s="26">
        <v>153.93391304347827</v>
      </c>
      <c r="E18" s="26">
        <v>228.70782608695652</v>
      </c>
      <c r="F18" s="27"/>
      <c r="G18" s="28">
        <v>45.789582704288847</v>
      </c>
      <c r="H18" s="29">
        <v>48.575334417932027</v>
      </c>
    </row>
    <row r="19" spans="1:8" x14ac:dyDescent="0.2">
      <c r="A19" s="30" t="s">
        <v>190</v>
      </c>
      <c r="B19" s="31" t="s">
        <v>3</v>
      </c>
      <c r="C19" s="20">
        <v>3838.5183060124223</v>
      </c>
      <c r="D19" s="20">
        <v>5269.4422360248445</v>
      </c>
      <c r="E19" s="21">
        <v>4093.0835437810756</v>
      </c>
      <c r="F19" s="22" t="s">
        <v>241</v>
      </c>
      <c r="G19" s="23">
        <v>6.6318620226434035</v>
      </c>
      <c r="H19" s="24">
        <v>-22.324159551489629</v>
      </c>
    </row>
    <row r="20" spans="1:8" x14ac:dyDescent="0.2">
      <c r="A20" s="30"/>
      <c r="B20" s="25" t="s">
        <v>242</v>
      </c>
      <c r="C20" s="26">
        <v>1735.5024588447204</v>
      </c>
      <c r="D20" s="26">
        <v>2723.0049689440993</v>
      </c>
      <c r="E20" s="26">
        <v>2018.9242236024845</v>
      </c>
      <c r="F20" s="27"/>
      <c r="G20" s="38">
        <v>16.330818969074272</v>
      </c>
      <c r="H20" s="24">
        <v>-25.856755803667753</v>
      </c>
    </row>
    <row r="21" spans="1:8" x14ac:dyDescent="0.2">
      <c r="A21" s="39" t="s">
        <v>12</v>
      </c>
      <c r="B21" s="31" t="s">
        <v>3</v>
      </c>
      <c r="C21" s="20">
        <v>52.086281420869568</v>
      </c>
      <c r="D21" s="20">
        <v>41.150956521739133</v>
      </c>
      <c r="E21" s="21">
        <v>69.952091812098459</v>
      </c>
      <c r="F21" s="22" t="s">
        <v>241</v>
      </c>
      <c r="G21" s="37">
        <v>34.300414435173224</v>
      </c>
      <c r="H21" s="33">
        <v>69.988981362181278</v>
      </c>
    </row>
    <row r="22" spans="1:8" x14ac:dyDescent="0.2">
      <c r="A22" s="34"/>
      <c r="B22" s="25" t="s">
        <v>242</v>
      </c>
      <c r="C22" s="26">
        <v>25.525172119130435</v>
      </c>
      <c r="D22" s="26">
        <v>21.560347826086957</v>
      </c>
      <c r="E22" s="26">
        <v>35.824695652173915</v>
      </c>
      <c r="F22" s="27"/>
      <c r="G22" s="28">
        <v>40.350456737270207</v>
      </c>
      <c r="H22" s="29">
        <v>66.160100667892749</v>
      </c>
    </row>
    <row r="23" spans="1:8" x14ac:dyDescent="0.2">
      <c r="A23" s="39" t="s">
        <v>23</v>
      </c>
      <c r="B23" s="31" t="s">
        <v>3</v>
      </c>
      <c r="C23" s="20">
        <v>1810.8104690347827</v>
      </c>
      <c r="D23" s="20">
        <v>1789.9182608695651</v>
      </c>
      <c r="E23" s="21">
        <v>1684.8364567925369</v>
      </c>
      <c r="F23" s="22" t="s">
        <v>241</v>
      </c>
      <c r="G23" s="23">
        <v>-6.9567751234282298</v>
      </c>
      <c r="H23" s="24">
        <v>-5.8707599321310937</v>
      </c>
    </row>
    <row r="24" spans="1:8" x14ac:dyDescent="0.2">
      <c r="A24" s="34"/>
      <c r="B24" s="25" t="s">
        <v>242</v>
      </c>
      <c r="C24" s="26">
        <v>931.87528686521739</v>
      </c>
      <c r="D24" s="26">
        <v>865.93391304347824</v>
      </c>
      <c r="E24" s="26">
        <v>831.70782608695652</v>
      </c>
      <c r="F24" s="27"/>
      <c r="G24" s="28">
        <v>-10.749019980476078</v>
      </c>
      <c r="H24" s="29">
        <v>-3.952505663651408</v>
      </c>
    </row>
    <row r="25" spans="1:8" x14ac:dyDescent="0.2">
      <c r="A25" s="30" t="s">
        <v>24</v>
      </c>
      <c r="B25" s="31" t="s">
        <v>3</v>
      </c>
      <c r="C25" s="20">
        <v>1313.6209380695652</v>
      </c>
      <c r="D25" s="20">
        <v>2014.8365217391304</v>
      </c>
      <c r="E25" s="21">
        <v>1926.8694056483635</v>
      </c>
      <c r="F25" s="22" t="s">
        <v>241</v>
      </c>
      <c r="G25" s="23">
        <v>46.683822540161316</v>
      </c>
      <c r="H25" s="24">
        <v>-4.3659679155923214</v>
      </c>
    </row>
    <row r="26" spans="1:8" ht="13.5" thickBot="1" x14ac:dyDescent="0.25">
      <c r="A26" s="41"/>
      <c r="B26" s="42" t="s">
        <v>242</v>
      </c>
      <c r="C26" s="43">
        <v>622.75057373043478</v>
      </c>
      <c r="D26" s="43">
        <v>869.86782608695648</v>
      </c>
      <c r="E26" s="43">
        <v>857.41565217391303</v>
      </c>
      <c r="F26" s="44"/>
      <c r="G26" s="45">
        <v>37.682033279836986</v>
      </c>
      <c r="H26" s="46">
        <v>-1.4315018373605994</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45</v>
      </c>
      <c r="B35" s="19" t="s">
        <v>3</v>
      </c>
      <c r="C35" s="80">
        <v>686.74772083152163</v>
      </c>
      <c r="D35" s="80">
        <v>905.69526492151999</v>
      </c>
      <c r="E35" s="83">
        <v>809.70071611758203</v>
      </c>
      <c r="F35" s="22" t="s">
        <v>241</v>
      </c>
      <c r="G35" s="23">
        <v>17.903662663370397</v>
      </c>
      <c r="H35" s="24">
        <v>-10.598989806163559</v>
      </c>
    </row>
    <row r="36" spans="1:8" ht="12.75" customHeight="1" x14ac:dyDescent="0.2">
      <c r="A36" s="203"/>
      <c r="B36" s="25" t="s">
        <v>242</v>
      </c>
      <c r="C36" s="82">
        <v>363.78056596158939</v>
      </c>
      <c r="D36" s="82">
        <v>467.48924054703127</v>
      </c>
      <c r="E36" s="82">
        <v>421.53404788903805</v>
      </c>
      <c r="F36" s="27"/>
      <c r="G36" s="28">
        <v>15.875911835693472</v>
      </c>
      <c r="H36" s="29">
        <v>-9.8302139754529776</v>
      </c>
    </row>
    <row r="37" spans="1:8" x14ac:dyDescent="0.2">
      <c r="A37" s="30" t="s">
        <v>18</v>
      </c>
      <c r="B37" s="31" t="s">
        <v>3</v>
      </c>
      <c r="C37" s="80">
        <v>286.64897173246368</v>
      </c>
      <c r="D37" s="80">
        <v>346.73780852116772</v>
      </c>
      <c r="E37" s="83">
        <v>384.17929989135519</v>
      </c>
      <c r="F37" s="22" t="s">
        <v>241</v>
      </c>
      <c r="G37" s="32">
        <v>34.024307699215797</v>
      </c>
      <c r="H37" s="33">
        <v>10.79821422701923</v>
      </c>
    </row>
    <row r="38" spans="1:8" x14ac:dyDescent="0.2">
      <c r="A38" s="34"/>
      <c r="B38" s="25" t="s">
        <v>242</v>
      </c>
      <c r="C38" s="82">
        <v>147.88223199182843</v>
      </c>
      <c r="D38" s="82">
        <v>151.60295805436999</v>
      </c>
      <c r="E38" s="82">
        <v>176.96916950844567</v>
      </c>
      <c r="F38" s="27"/>
      <c r="G38" s="35">
        <v>19.668987358957708</v>
      </c>
      <c r="H38" s="29">
        <v>16.732002976471279</v>
      </c>
    </row>
    <row r="39" spans="1:8" x14ac:dyDescent="0.2">
      <c r="A39" s="30" t="s">
        <v>19</v>
      </c>
      <c r="B39" s="31" t="s">
        <v>3</v>
      </c>
      <c r="C39" s="80">
        <v>192.21336694659246</v>
      </c>
      <c r="D39" s="80">
        <v>273.02541210104232</v>
      </c>
      <c r="E39" s="83">
        <v>218.31722789296299</v>
      </c>
      <c r="F39" s="22" t="s">
        <v>241</v>
      </c>
      <c r="G39" s="37">
        <v>13.580668899902079</v>
      </c>
      <c r="H39" s="33">
        <v>-20.037762707536061</v>
      </c>
    </row>
    <row r="40" spans="1:8" x14ac:dyDescent="0.2">
      <c r="A40" s="34"/>
      <c r="B40" s="25" t="s">
        <v>242</v>
      </c>
      <c r="C40" s="82">
        <v>101.54650536015193</v>
      </c>
      <c r="D40" s="82">
        <v>166.65684477591822</v>
      </c>
      <c r="E40" s="82">
        <v>126.69883155998765</v>
      </c>
      <c r="F40" s="27"/>
      <c r="G40" s="28">
        <v>24.769268140374436</v>
      </c>
      <c r="H40" s="29">
        <v>-23.976220880490629</v>
      </c>
    </row>
    <row r="41" spans="1:8" x14ac:dyDescent="0.2">
      <c r="A41" s="30" t="s">
        <v>20</v>
      </c>
      <c r="B41" s="31" t="s">
        <v>3</v>
      </c>
      <c r="C41" s="80">
        <v>41.102573676525459</v>
      </c>
      <c r="D41" s="80">
        <v>40.027541686244533</v>
      </c>
      <c r="E41" s="83">
        <v>34.042324744078215</v>
      </c>
      <c r="F41" s="22" t="s">
        <v>241</v>
      </c>
      <c r="G41" s="23">
        <v>-17.177145616259793</v>
      </c>
      <c r="H41" s="24">
        <v>-14.952746758922586</v>
      </c>
    </row>
    <row r="42" spans="1:8" x14ac:dyDescent="0.2">
      <c r="A42" s="34"/>
      <c r="B42" s="25" t="s">
        <v>242</v>
      </c>
      <c r="C42" s="82">
        <v>24.226964340720802</v>
      </c>
      <c r="D42" s="82">
        <v>22.212250745444294</v>
      </c>
      <c r="E42" s="82">
        <v>19.266844545768798</v>
      </c>
      <c r="F42" s="27"/>
      <c r="G42" s="38">
        <v>-20.473550566197062</v>
      </c>
      <c r="H42" s="24">
        <v>-13.26027800347785</v>
      </c>
    </row>
    <row r="43" spans="1:8" x14ac:dyDescent="0.2">
      <c r="A43" s="30" t="s">
        <v>21</v>
      </c>
      <c r="B43" s="31" t="s">
        <v>3</v>
      </c>
      <c r="C43" s="80">
        <v>7.0947170836556248</v>
      </c>
      <c r="D43" s="80">
        <v>7.6017906677448952</v>
      </c>
      <c r="E43" s="83">
        <v>7.6742082284316311</v>
      </c>
      <c r="F43" s="22" t="s">
        <v>241</v>
      </c>
      <c r="G43" s="37">
        <v>8.1679246394617024</v>
      </c>
      <c r="H43" s="33">
        <v>0.9526381855529138</v>
      </c>
    </row>
    <row r="44" spans="1:8" x14ac:dyDescent="0.2">
      <c r="A44" s="34"/>
      <c r="B44" s="25" t="s">
        <v>242</v>
      </c>
      <c r="C44" s="82">
        <v>2.7637312574828758</v>
      </c>
      <c r="D44" s="82">
        <v>3.5729719874777226</v>
      </c>
      <c r="E44" s="82">
        <v>3.3746415003995445</v>
      </c>
      <c r="F44" s="27"/>
      <c r="G44" s="28">
        <v>22.104545847669272</v>
      </c>
      <c r="H44" s="29">
        <v>-5.5508548002411402</v>
      </c>
    </row>
    <row r="45" spans="1:8" x14ac:dyDescent="0.2">
      <c r="A45" s="30" t="s">
        <v>22</v>
      </c>
      <c r="B45" s="31" t="s">
        <v>3</v>
      </c>
      <c r="C45" s="80">
        <v>1.5883499493006206</v>
      </c>
      <c r="D45" s="80">
        <v>2.4576141366135205</v>
      </c>
      <c r="E45" s="83">
        <v>4.0985932105581151</v>
      </c>
      <c r="F45" s="22" t="s">
        <v>241</v>
      </c>
      <c r="G45" s="37">
        <v>158.04094446332812</v>
      </c>
      <c r="H45" s="33">
        <v>66.771225372498407</v>
      </c>
    </row>
    <row r="46" spans="1:8" x14ac:dyDescent="0.2">
      <c r="A46" s="34"/>
      <c r="B46" s="25" t="s">
        <v>242</v>
      </c>
      <c r="C46" s="82">
        <v>0.96126723162472416</v>
      </c>
      <c r="D46" s="82">
        <v>1.0666026730374274</v>
      </c>
      <c r="E46" s="82">
        <v>1.9639771757498892</v>
      </c>
      <c r="F46" s="27"/>
      <c r="G46" s="28">
        <v>104.31125821592761</v>
      </c>
      <c r="H46" s="29">
        <v>84.133907161225807</v>
      </c>
    </row>
    <row r="47" spans="1:8" x14ac:dyDescent="0.2">
      <c r="A47" s="30" t="s">
        <v>190</v>
      </c>
      <c r="B47" s="31" t="s">
        <v>3</v>
      </c>
      <c r="C47" s="80">
        <v>79.981695300758332</v>
      </c>
      <c r="D47" s="80">
        <v>137.86343215799471</v>
      </c>
      <c r="E47" s="83">
        <v>89.435343116645811</v>
      </c>
      <c r="F47" s="22" t="s">
        <v>241</v>
      </c>
      <c r="G47" s="23">
        <v>11.819764235227254</v>
      </c>
      <c r="H47" s="24">
        <v>-35.127581174570778</v>
      </c>
    </row>
    <row r="48" spans="1:8" x14ac:dyDescent="0.2">
      <c r="A48" s="30"/>
      <c r="B48" s="25" t="s">
        <v>242</v>
      </c>
      <c r="C48" s="82">
        <v>43.397323020990704</v>
      </c>
      <c r="D48" s="82">
        <v>77.068686050472863</v>
      </c>
      <c r="E48" s="82">
        <v>49.496684795709051</v>
      </c>
      <c r="F48" s="27"/>
      <c r="G48" s="38">
        <v>14.054695889348224</v>
      </c>
      <c r="H48" s="24">
        <v>-35.775880798988453</v>
      </c>
    </row>
    <row r="49" spans="1:8" x14ac:dyDescent="0.2">
      <c r="A49" s="39" t="s">
        <v>12</v>
      </c>
      <c r="B49" s="31" t="s">
        <v>3</v>
      </c>
      <c r="C49" s="80">
        <v>2.5641033850159589</v>
      </c>
      <c r="D49" s="80">
        <v>1.5168175094124985</v>
      </c>
      <c r="E49" s="83">
        <v>5.1223810924707038</v>
      </c>
      <c r="F49" s="22" t="s">
        <v>241</v>
      </c>
      <c r="G49" s="37">
        <v>99.772798647852568</v>
      </c>
      <c r="H49" s="33">
        <v>237.70582556465416</v>
      </c>
    </row>
    <row r="50" spans="1:8" x14ac:dyDescent="0.2">
      <c r="A50" s="34"/>
      <c r="B50" s="25" t="s">
        <v>242</v>
      </c>
      <c r="C50" s="82">
        <v>0.22485299936456199</v>
      </c>
      <c r="D50" s="82">
        <v>0.49237861802366639</v>
      </c>
      <c r="E50" s="82">
        <v>0.87489043553987933</v>
      </c>
      <c r="F50" s="27"/>
      <c r="G50" s="28">
        <v>289.09440301545146</v>
      </c>
      <c r="H50" s="29">
        <v>77.686520802133487</v>
      </c>
    </row>
    <row r="51" spans="1:8" x14ac:dyDescent="0.2">
      <c r="A51" s="39" t="s">
        <v>23</v>
      </c>
      <c r="B51" s="31" t="s">
        <v>3</v>
      </c>
      <c r="C51" s="80">
        <v>47.18650386094248</v>
      </c>
      <c r="D51" s="80">
        <v>48.171002876129222</v>
      </c>
      <c r="E51" s="83">
        <v>39.721759171368632</v>
      </c>
      <c r="F51" s="22" t="s">
        <v>241</v>
      </c>
      <c r="G51" s="23">
        <v>-15.819660451158398</v>
      </c>
      <c r="H51" s="24">
        <v>-17.540103382293395</v>
      </c>
    </row>
    <row r="52" spans="1:8" x14ac:dyDescent="0.2">
      <c r="A52" s="34"/>
      <c r="B52" s="25" t="s">
        <v>242</v>
      </c>
      <c r="C52" s="82">
        <v>25.188715261867813</v>
      </c>
      <c r="D52" s="82">
        <v>24.463370296062855</v>
      </c>
      <c r="E52" s="82">
        <v>20.504961095546246</v>
      </c>
      <c r="F52" s="27"/>
      <c r="G52" s="28">
        <v>-18.594652873829233</v>
      </c>
      <c r="H52" s="29">
        <v>-16.180964244136376</v>
      </c>
    </row>
    <row r="53" spans="1:8" x14ac:dyDescent="0.2">
      <c r="A53" s="30" t="s">
        <v>24</v>
      </c>
      <c r="B53" s="31" t="s">
        <v>3</v>
      </c>
      <c r="C53" s="80">
        <v>28.367438896267032</v>
      </c>
      <c r="D53" s="80">
        <v>48.293845265170518</v>
      </c>
      <c r="E53" s="83">
        <v>47.44208942406479</v>
      </c>
      <c r="F53" s="22" t="s">
        <v>241</v>
      </c>
      <c r="G53" s="23">
        <v>67.241355828946041</v>
      </c>
      <c r="H53" s="24">
        <v>-1.7636943929996249</v>
      </c>
    </row>
    <row r="54" spans="1:8" ht="13.5" thickBot="1" x14ac:dyDescent="0.25">
      <c r="A54" s="41"/>
      <c r="B54" s="42" t="s">
        <v>242</v>
      </c>
      <c r="C54" s="86">
        <v>17.588974497557498</v>
      </c>
      <c r="D54" s="86">
        <v>20.353177346224292</v>
      </c>
      <c r="E54" s="86">
        <v>22.384047271891298</v>
      </c>
      <c r="F54" s="44"/>
      <c r="G54" s="45">
        <v>27.261809805908072</v>
      </c>
      <c r="H54" s="46">
        <v>9.9781468569758687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7">
        <v>16</v>
      </c>
    </row>
    <row r="62" spans="1:8"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election activeCell="Y76" sqref="Y76"/>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166</v>
      </c>
      <c r="B7" s="19" t="s">
        <v>3</v>
      </c>
      <c r="C7" s="20">
        <v>39410.456254180601</v>
      </c>
      <c r="D7" s="20">
        <v>47104.096671444495</v>
      </c>
      <c r="E7" s="79">
        <v>48093.643556163428</v>
      </c>
      <c r="F7" s="22" t="s">
        <v>241</v>
      </c>
      <c r="G7" s="23">
        <v>22.032699256207493</v>
      </c>
      <c r="H7" s="24">
        <v>2.1007660790548925</v>
      </c>
    </row>
    <row r="8" spans="1:8" x14ac:dyDescent="0.2">
      <c r="A8" s="203"/>
      <c r="B8" s="25" t="s">
        <v>242</v>
      </c>
      <c r="C8" s="26">
        <v>19019.623626183147</v>
      </c>
      <c r="D8" s="26">
        <v>22608.497212931994</v>
      </c>
      <c r="E8" s="26">
        <v>23125.531931836282</v>
      </c>
      <c r="F8" s="27"/>
      <c r="G8" s="28">
        <v>21.587747404216671</v>
      </c>
      <c r="H8" s="29">
        <v>2.2869044060502404</v>
      </c>
    </row>
    <row r="9" spans="1:8" x14ac:dyDescent="0.2">
      <c r="A9" s="30" t="s">
        <v>18</v>
      </c>
      <c r="B9" s="31" t="s">
        <v>3</v>
      </c>
      <c r="C9" s="20">
        <v>4635.9603435869567</v>
      </c>
      <c r="D9" s="20">
        <v>5019.7944202898552</v>
      </c>
      <c r="E9" s="36">
        <v>5142.3399406782919</v>
      </c>
      <c r="F9" s="22" t="s">
        <v>241</v>
      </c>
      <c r="G9" s="32">
        <v>10.922863000582453</v>
      </c>
      <c r="H9" s="33">
        <v>2.4412457986946947</v>
      </c>
    </row>
    <row r="10" spans="1:8" x14ac:dyDescent="0.2">
      <c r="A10" s="34"/>
      <c r="B10" s="25" t="s">
        <v>242</v>
      </c>
      <c r="C10" s="26">
        <v>2373.6745937218334</v>
      </c>
      <c r="D10" s="26">
        <v>2153.2417753623185</v>
      </c>
      <c r="E10" s="26">
        <v>2331.90865942029</v>
      </c>
      <c r="F10" s="27"/>
      <c r="G10" s="35">
        <v>-1.7595475981421771</v>
      </c>
      <c r="H10" s="29">
        <v>8.2975765240253878</v>
      </c>
    </row>
    <row r="11" spans="1:8" x14ac:dyDescent="0.2">
      <c r="A11" s="30" t="s">
        <v>19</v>
      </c>
      <c r="B11" s="31" t="s">
        <v>3</v>
      </c>
      <c r="C11" s="20">
        <v>19048.779306284585</v>
      </c>
      <c r="D11" s="20">
        <v>20725.509011857706</v>
      </c>
      <c r="E11" s="36">
        <v>19956.879146883533</v>
      </c>
      <c r="F11" s="22" t="s">
        <v>241</v>
      </c>
      <c r="G11" s="37">
        <v>4.7672337738688952</v>
      </c>
      <c r="H11" s="33">
        <v>-3.7086175520920364</v>
      </c>
    </row>
    <row r="12" spans="1:8" x14ac:dyDescent="0.2">
      <c r="A12" s="34"/>
      <c r="B12" s="25" t="s">
        <v>242</v>
      </c>
      <c r="C12" s="26">
        <v>8924.0259430896367</v>
      </c>
      <c r="D12" s="26">
        <v>10494.24581027668</v>
      </c>
      <c r="E12" s="26">
        <v>9839.973794466403</v>
      </c>
      <c r="F12" s="27"/>
      <c r="G12" s="28">
        <v>10.263841199229546</v>
      </c>
      <c r="H12" s="29">
        <v>-6.2345787171248475</v>
      </c>
    </row>
    <row r="13" spans="1:8" x14ac:dyDescent="0.2">
      <c r="A13" s="30" t="s">
        <v>20</v>
      </c>
      <c r="B13" s="31" t="s">
        <v>3</v>
      </c>
      <c r="C13" s="20">
        <v>2691.7762061521739</v>
      </c>
      <c r="D13" s="20">
        <v>2919.2766521739131</v>
      </c>
      <c r="E13" s="36">
        <v>2993.265231242352</v>
      </c>
      <c r="F13" s="22" t="s">
        <v>241</v>
      </c>
      <c r="G13" s="23">
        <v>11.20037484546863</v>
      </c>
      <c r="H13" s="24">
        <v>2.534483294460685</v>
      </c>
    </row>
    <row r="14" spans="1:8" x14ac:dyDescent="0.2">
      <c r="A14" s="34"/>
      <c r="B14" s="25" t="s">
        <v>242</v>
      </c>
      <c r="C14" s="26">
        <v>1334.4047562331</v>
      </c>
      <c r="D14" s="26">
        <v>1361.5450652173913</v>
      </c>
      <c r="E14" s="26">
        <v>1424.1451956521739</v>
      </c>
      <c r="F14" s="27"/>
      <c r="G14" s="38">
        <v>6.7251288636292657</v>
      </c>
      <c r="H14" s="24">
        <v>4.5977273932381877</v>
      </c>
    </row>
    <row r="15" spans="1:8" x14ac:dyDescent="0.2">
      <c r="A15" s="30" t="s">
        <v>21</v>
      </c>
      <c r="B15" s="31" t="s">
        <v>3</v>
      </c>
      <c r="C15" s="20">
        <v>1241.7762061521739</v>
      </c>
      <c r="D15" s="20">
        <v>1228.2766521739131</v>
      </c>
      <c r="E15" s="36">
        <v>1150.722883844925</v>
      </c>
      <c r="F15" s="22" t="s">
        <v>241</v>
      </c>
      <c r="G15" s="37">
        <v>-7.3325066027308594</v>
      </c>
      <c r="H15" s="33">
        <v>-6.3140309792363638</v>
      </c>
    </row>
    <row r="16" spans="1:8" x14ac:dyDescent="0.2">
      <c r="A16" s="34"/>
      <c r="B16" s="25" t="s">
        <v>242</v>
      </c>
      <c r="C16" s="26">
        <v>621.40475623309999</v>
      </c>
      <c r="D16" s="26">
        <v>594.54506521739131</v>
      </c>
      <c r="E16" s="26">
        <v>563.14519565217392</v>
      </c>
      <c r="F16" s="27"/>
      <c r="G16" s="28">
        <v>-9.3754610013110096</v>
      </c>
      <c r="H16" s="29">
        <v>-5.281327085565195</v>
      </c>
    </row>
    <row r="17" spans="1:8" x14ac:dyDescent="0.2">
      <c r="A17" s="30" t="s">
        <v>190</v>
      </c>
      <c r="B17" s="31" t="s">
        <v>3</v>
      </c>
      <c r="C17" s="20">
        <v>7349.9603435869567</v>
      </c>
      <c r="D17" s="20">
        <v>9925.7944202898543</v>
      </c>
      <c r="E17" s="36">
        <v>10710.950760623946</v>
      </c>
      <c r="F17" s="22" t="s">
        <v>241</v>
      </c>
      <c r="G17" s="37">
        <v>45.728007498292783</v>
      </c>
      <c r="H17" s="33">
        <v>7.9102619607868405</v>
      </c>
    </row>
    <row r="18" spans="1:8" x14ac:dyDescent="0.2">
      <c r="A18" s="34"/>
      <c r="B18" s="25" t="s">
        <v>242</v>
      </c>
      <c r="C18" s="26">
        <v>3670.6745937218338</v>
      </c>
      <c r="D18" s="26">
        <v>4919.2417753623195</v>
      </c>
      <c r="E18" s="26">
        <v>5321.90865942029</v>
      </c>
      <c r="F18" s="27"/>
      <c r="G18" s="28">
        <v>44.984485100440565</v>
      </c>
      <c r="H18" s="29">
        <v>8.1855477418227167</v>
      </c>
    </row>
    <row r="19" spans="1:8" x14ac:dyDescent="0.2">
      <c r="A19" s="39" t="s">
        <v>12</v>
      </c>
      <c r="B19" s="31" t="s">
        <v>3</v>
      </c>
      <c r="C19" s="20">
        <v>424.77620615217393</v>
      </c>
      <c r="D19" s="20">
        <v>522.27665217391302</v>
      </c>
      <c r="E19" s="36">
        <v>495.89171034558603</v>
      </c>
      <c r="F19" s="22" t="s">
        <v>241</v>
      </c>
      <c r="G19" s="37">
        <v>16.74187564261436</v>
      </c>
      <c r="H19" s="33">
        <v>-5.0519091210573777</v>
      </c>
    </row>
    <row r="20" spans="1:8" x14ac:dyDescent="0.2">
      <c r="A20" s="34"/>
      <c r="B20" s="25" t="s">
        <v>242</v>
      </c>
      <c r="C20" s="26">
        <v>235.40475623309999</v>
      </c>
      <c r="D20" s="26">
        <v>243.54506521739131</v>
      </c>
      <c r="E20" s="26">
        <v>244.14519565217392</v>
      </c>
      <c r="F20" s="27"/>
      <c r="G20" s="28">
        <v>3.7129408763598093</v>
      </c>
      <c r="H20" s="29">
        <v>0.24641453286969295</v>
      </c>
    </row>
    <row r="21" spans="1:8" x14ac:dyDescent="0.2">
      <c r="A21" s="39" t="s">
        <v>23</v>
      </c>
      <c r="B21" s="31" t="s">
        <v>3</v>
      </c>
      <c r="C21" s="20">
        <v>599.18413743478254</v>
      </c>
      <c r="D21" s="20">
        <v>670.51776811594209</v>
      </c>
      <c r="E21" s="36">
        <v>812.66099094251604</v>
      </c>
      <c r="F21" s="22" t="s">
        <v>241</v>
      </c>
      <c r="G21" s="23">
        <v>35.627921396862604</v>
      </c>
      <c r="H21" s="24">
        <v>21.199024035705392</v>
      </c>
    </row>
    <row r="22" spans="1:8" x14ac:dyDescent="0.2">
      <c r="A22" s="34"/>
      <c r="B22" s="25" t="s">
        <v>242</v>
      </c>
      <c r="C22" s="26">
        <v>299.2698374887334</v>
      </c>
      <c r="D22" s="26">
        <v>288.69671014492752</v>
      </c>
      <c r="E22" s="26">
        <v>366.76346376811591</v>
      </c>
      <c r="F22" s="27"/>
      <c r="G22" s="38">
        <v>22.552766040755273</v>
      </c>
      <c r="H22" s="24">
        <v>27.04109568273168</v>
      </c>
    </row>
    <row r="23" spans="1:8" x14ac:dyDescent="0.2">
      <c r="A23" s="30" t="s">
        <v>24</v>
      </c>
      <c r="B23" s="31" t="s">
        <v>3</v>
      </c>
      <c r="C23" s="20">
        <v>4643.2328618456522</v>
      </c>
      <c r="D23" s="20">
        <v>7429.382995652174</v>
      </c>
      <c r="E23" s="36">
        <v>8008.2768121292493</v>
      </c>
      <c r="F23" s="22" t="s">
        <v>241</v>
      </c>
      <c r="G23" s="37">
        <v>72.472004967375597</v>
      </c>
      <c r="H23" s="33">
        <v>7.7919501096639578</v>
      </c>
    </row>
    <row r="24" spans="1:8" ht="13.5" thickBot="1" x14ac:dyDescent="0.25">
      <c r="A24" s="41"/>
      <c r="B24" s="42" t="s">
        <v>242</v>
      </c>
      <c r="C24" s="43">
        <v>2092.62142686993</v>
      </c>
      <c r="D24" s="43">
        <v>3247.6635195652175</v>
      </c>
      <c r="E24" s="43">
        <v>3536.1435586956522</v>
      </c>
      <c r="F24" s="44"/>
      <c r="G24" s="45">
        <v>68.981523045230972</v>
      </c>
      <c r="H24" s="46">
        <v>8.8826948171359561</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166</v>
      </c>
      <c r="B35" s="19" t="s">
        <v>3</v>
      </c>
      <c r="C35" s="80">
        <v>5239.1371201696165</v>
      </c>
      <c r="D35" s="80">
        <v>6748.8583414238092</v>
      </c>
      <c r="E35" s="81">
        <v>6719.7769584756916</v>
      </c>
      <c r="F35" s="22" t="s">
        <v>241</v>
      </c>
      <c r="G35" s="23">
        <v>28.261139274364695</v>
      </c>
      <c r="H35" s="24">
        <v>-0.43090818442014722</v>
      </c>
    </row>
    <row r="36" spans="1:8" ht="12.75" customHeight="1" x14ac:dyDescent="0.2">
      <c r="A36" s="203"/>
      <c r="B36" s="25" t="s">
        <v>242</v>
      </c>
      <c r="C36" s="82">
        <v>2985.4874299653161</v>
      </c>
      <c r="D36" s="82">
        <v>2968.4968054676524</v>
      </c>
      <c r="E36" s="82">
        <v>3198.9516949800386</v>
      </c>
      <c r="F36" s="27"/>
      <c r="G36" s="28">
        <v>7.1500641025041176</v>
      </c>
      <c r="H36" s="29">
        <v>7.763353124986125</v>
      </c>
    </row>
    <row r="37" spans="1:8" x14ac:dyDescent="0.2">
      <c r="A37" s="30" t="s">
        <v>18</v>
      </c>
      <c r="B37" s="31" t="s">
        <v>3</v>
      </c>
      <c r="C37" s="80">
        <v>2587.0096344177173</v>
      </c>
      <c r="D37" s="80">
        <v>2971.2041967401633</v>
      </c>
      <c r="E37" s="83">
        <v>2840.3917498860105</v>
      </c>
      <c r="F37" s="22" t="s">
        <v>241</v>
      </c>
      <c r="G37" s="32">
        <v>9.7944016944229162</v>
      </c>
      <c r="H37" s="33">
        <v>-4.4026744105192392</v>
      </c>
    </row>
    <row r="38" spans="1:8" x14ac:dyDescent="0.2">
      <c r="A38" s="34"/>
      <c r="B38" s="25" t="s">
        <v>242</v>
      </c>
      <c r="C38" s="82">
        <v>1660.0906781784909</v>
      </c>
      <c r="D38" s="82">
        <v>1233.0939698829125</v>
      </c>
      <c r="E38" s="82">
        <v>1336.1396281928742</v>
      </c>
      <c r="F38" s="27"/>
      <c r="G38" s="35">
        <v>-19.514057529740896</v>
      </c>
      <c r="H38" s="29">
        <v>8.3566752272534757</v>
      </c>
    </row>
    <row r="39" spans="1:8" x14ac:dyDescent="0.2">
      <c r="A39" s="30" t="s">
        <v>19</v>
      </c>
      <c r="B39" s="31" t="s">
        <v>3</v>
      </c>
      <c r="C39" s="80">
        <v>1378.9831204329903</v>
      </c>
      <c r="D39" s="80">
        <v>1607.9893875149667</v>
      </c>
      <c r="E39" s="83">
        <v>1602.8775384319379</v>
      </c>
      <c r="F39" s="22" t="s">
        <v>241</v>
      </c>
      <c r="G39" s="37">
        <v>16.236197142764624</v>
      </c>
      <c r="H39" s="33">
        <v>-0.31790316047600697</v>
      </c>
    </row>
    <row r="40" spans="1:8" x14ac:dyDescent="0.2">
      <c r="A40" s="34"/>
      <c r="B40" s="25" t="s">
        <v>242</v>
      </c>
      <c r="C40" s="82">
        <v>671.36839565171022</v>
      </c>
      <c r="D40" s="82">
        <v>793.00564171097221</v>
      </c>
      <c r="E40" s="82">
        <v>787.0851416789784</v>
      </c>
      <c r="F40" s="27"/>
      <c r="G40" s="28">
        <v>17.235953729239782</v>
      </c>
      <c r="H40" s="29">
        <v>-0.74658990057369579</v>
      </c>
    </row>
    <row r="41" spans="1:8" x14ac:dyDescent="0.2">
      <c r="A41" s="30" t="s">
        <v>20</v>
      </c>
      <c r="B41" s="31" t="s">
        <v>3</v>
      </c>
      <c r="C41" s="80">
        <v>148.14294571007329</v>
      </c>
      <c r="D41" s="80">
        <v>142.96204945125857</v>
      </c>
      <c r="E41" s="83">
        <v>153.19423524232707</v>
      </c>
      <c r="F41" s="22" t="s">
        <v>241</v>
      </c>
      <c r="G41" s="23">
        <v>3.4097401722654581</v>
      </c>
      <c r="H41" s="24">
        <v>7.1572741369779038</v>
      </c>
    </row>
    <row r="42" spans="1:8" x14ac:dyDescent="0.2">
      <c r="A42" s="34"/>
      <c r="B42" s="25" t="s">
        <v>242</v>
      </c>
      <c r="C42" s="82">
        <v>81.921580840821235</v>
      </c>
      <c r="D42" s="82">
        <v>71.411209963995944</v>
      </c>
      <c r="E42" s="82">
        <v>79.071240276124485</v>
      </c>
      <c r="F42" s="27"/>
      <c r="G42" s="38">
        <v>-3.4793524922756802</v>
      </c>
      <c r="H42" s="24">
        <v>10.726649661853614</v>
      </c>
    </row>
    <row r="43" spans="1:8" x14ac:dyDescent="0.2">
      <c r="A43" s="30" t="s">
        <v>21</v>
      </c>
      <c r="B43" s="31" t="s">
        <v>3</v>
      </c>
      <c r="C43" s="80">
        <v>15.958275898992818</v>
      </c>
      <c r="D43" s="80">
        <v>18.466083758181639</v>
      </c>
      <c r="E43" s="83">
        <v>16.154452025278246</v>
      </c>
      <c r="F43" s="22" t="s">
        <v>241</v>
      </c>
      <c r="G43" s="37">
        <v>1.2293065211249399</v>
      </c>
      <c r="H43" s="33">
        <v>-12.518256513805724</v>
      </c>
    </row>
    <row r="44" spans="1:8" x14ac:dyDescent="0.2">
      <c r="A44" s="34"/>
      <c r="B44" s="25" t="s">
        <v>242</v>
      </c>
      <c r="C44" s="82">
        <v>8.0272262788929325</v>
      </c>
      <c r="D44" s="82">
        <v>9.7928578421577654</v>
      </c>
      <c r="E44" s="82">
        <v>8.4147182968431817</v>
      </c>
      <c r="F44" s="27"/>
      <c r="G44" s="28">
        <v>4.8272218134567169</v>
      </c>
      <c r="H44" s="29">
        <v>-14.072904636497029</v>
      </c>
    </row>
    <row r="45" spans="1:8" x14ac:dyDescent="0.2">
      <c r="A45" s="30" t="s">
        <v>190</v>
      </c>
      <c r="B45" s="31" t="s">
        <v>3</v>
      </c>
      <c r="C45" s="80">
        <v>544.93154468208661</v>
      </c>
      <c r="D45" s="80">
        <v>1108.4103109400965</v>
      </c>
      <c r="E45" s="83">
        <v>1039.0450227579881</v>
      </c>
      <c r="F45" s="22" t="s">
        <v>241</v>
      </c>
      <c r="G45" s="37">
        <v>90.674412758425945</v>
      </c>
      <c r="H45" s="33">
        <v>-6.2580875960343718</v>
      </c>
    </row>
    <row r="46" spans="1:8" x14ac:dyDescent="0.2">
      <c r="A46" s="34"/>
      <c r="B46" s="25" t="s">
        <v>242</v>
      </c>
      <c r="C46" s="82">
        <v>250.76591481424106</v>
      </c>
      <c r="D46" s="82">
        <v>564.07991814165678</v>
      </c>
      <c r="E46" s="82">
        <v>510.75081044627325</v>
      </c>
      <c r="F46" s="27"/>
      <c r="G46" s="28">
        <v>103.67632930680401</v>
      </c>
      <c r="H46" s="29">
        <v>-9.4541759031370134</v>
      </c>
    </row>
    <row r="47" spans="1:8" x14ac:dyDescent="0.2">
      <c r="A47" s="39" t="s">
        <v>12</v>
      </c>
      <c r="B47" s="31" t="s">
        <v>3</v>
      </c>
      <c r="C47" s="80">
        <v>28.212716235554961</v>
      </c>
      <c r="D47" s="80">
        <v>22.158456164608783</v>
      </c>
      <c r="E47" s="83">
        <v>26.79122565341633</v>
      </c>
      <c r="F47" s="22" t="s">
        <v>241</v>
      </c>
      <c r="G47" s="37">
        <v>-5.0384747440489406</v>
      </c>
      <c r="H47" s="33">
        <v>20.907456071813129</v>
      </c>
    </row>
    <row r="48" spans="1:8" x14ac:dyDescent="0.2">
      <c r="A48" s="34"/>
      <c r="B48" s="25" t="s">
        <v>242</v>
      </c>
      <c r="C48" s="82">
        <v>10.759766282511748</v>
      </c>
      <c r="D48" s="82">
        <v>6.0549627041986405</v>
      </c>
      <c r="E48" s="82">
        <v>8.0849375677232906</v>
      </c>
      <c r="F48" s="27"/>
      <c r="G48" s="28">
        <v>-24.859542898584678</v>
      </c>
      <c r="H48" s="29">
        <v>33.525802927192615</v>
      </c>
    </row>
    <row r="49" spans="1:8" x14ac:dyDescent="0.2">
      <c r="A49" s="39" t="s">
        <v>23</v>
      </c>
      <c r="B49" s="31" t="s">
        <v>3</v>
      </c>
      <c r="C49" s="80">
        <v>25.122719309237432</v>
      </c>
      <c r="D49" s="80">
        <v>35.592461416346296</v>
      </c>
      <c r="E49" s="83">
        <v>36.241296489475218</v>
      </c>
      <c r="F49" s="22" t="s">
        <v>241</v>
      </c>
      <c r="G49" s="23">
        <v>44.257060883331889</v>
      </c>
      <c r="H49" s="24">
        <v>1.822956455691866</v>
      </c>
    </row>
    <row r="50" spans="1:8" x14ac:dyDescent="0.2">
      <c r="A50" s="34"/>
      <c r="B50" s="25" t="s">
        <v>242</v>
      </c>
      <c r="C50" s="82">
        <v>10.35935198051663</v>
      </c>
      <c r="D50" s="82">
        <v>13.900739406667796</v>
      </c>
      <c r="E50" s="82">
        <v>14.408015609994552</v>
      </c>
      <c r="F50" s="27"/>
      <c r="G50" s="38">
        <v>39.082209361091827</v>
      </c>
      <c r="H50" s="24">
        <v>3.6492749665059563</v>
      </c>
    </row>
    <row r="51" spans="1:8" x14ac:dyDescent="0.2">
      <c r="A51" s="30" t="s">
        <v>24</v>
      </c>
      <c r="B51" s="31" t="s">
        <v>3</v>
      </c>
      <c r="C51" s="80">
        <v>510.77616348296391</v>
      </c>
      <c r="D51" s="80">
        <v>842.075395438187</v>
      </c>
      <c r="E51" s="83">
        <v>1186.7207516867804</v>
      </c>
      <c r="F51" s="22" t="s">
        <v>241</v>
      </c>
      <c r="G51" s="37">
        <v>132.33675267744979</v>
      </c>
      <c r="H51" s="33">
        <v>40.928087688543826</v>
      </c>
    </row>
    <row r="52" spans="1:8" ht="13.5" thickBot="1" x14ac:dyDescent="0.25">
      <c r="A52" s="41"/>
      <c r="B52" s="42" t="s">
        <v>242</v>
      </c>
      <c r="C52" s="86">
        <v>292.19451593813216</v>
      </c>
      <c r="D52" s="86">
        <v>277.1575058150907</v>
      </c>
      <c r="E52" s="86">
        <v>454.9972029112273</v>
      </c>
      <c r="F52" s="44"/>
      <c r="G52" s="45">
        <v>55.717228795480253</v>
      </c>
      <c r="H52" s="46">
        <v>64.16557133213081</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5">
        <v>17</v>
      </c>
    </row>
    <row r="62" spans="1:8"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8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5"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0" t="s">
        <v>1</v>
      </c>
      <c r="H5" s="201"/>
    </row>
    <row r="6" spans="1:9" x14ac:dyDescent="0.2">
      <c r="A6" s="12"/>
      <c r="B6" s="13"/>
      <c r="C6" s="14" t="s">
        <v>236</v>
      </c>
      <c r="D6" s="15" t="s">
        <v>237</v>
      </c>
      <c r="E6" s="15" t="s">
        <v>238</v>
      </c>
      <c r="F6" s="16"/>
      <c r="G6" s="17" t="s">
        <v>239</v>
      </c>
      <c r="H6" s="18" t="s">
        <v>240</v>
      </c>
    </row>
    <row r="7" spans="1:9" x14ac:dyDescent="0.2">
      <c r="A7" s="202" t="s">
        <v>58</v>
      </c>
      <c r="B7" s="19" t="s">
        <v>3</v>
      </c>
      <c r="C7" s="20">
        <v>10163.02716734694</v>
      </c>
      <c r="D7" s="20">
        <v>10868.335804081633</v>
      </c>
      <c r="E7" s="79">
        <v>9590.2667213430086</v>
      </c>
      <c r="F7" s="22" t="s">
        <v>241</v>
      </c>
      <c r="G7" s="23">
        <v>-5.6357268023858893</v>
      </c>
      <c r="H7" s="24">
        <v>-11.759565638914481</v>
      </c>
    </row>
    <row r="8" spans="1:9" x14ac:dyDescent="0.2">
      <c r="A8" s="203"/>
      <c r="B8" s="25" t="s">
        <v>242</v>
      </c>
      <c r="C8" s="26">
        <v>5397.5735274385306</v>
      </c>
      <c r="D8" s="26">
        <v>5650.9223836734691</v>
      </c>
      <c r="E8" s="26">
        <v>5021.5564408163264</v>
      </c>
      <c r="F8" s="27"/>
      <c r="G8" s="28">
        <v>-6.9664097156013582</v>
      </c>
      <c r="H8" s="29">
        <v>-11.137402004945145</v>
      </c>
    </row>
    <row r="9" spans="1:9" x14ac:dyDescent="0.2">
      <c r="A9" s="30" t="s">
        <v>9</v>
      </c>
      <c r="B9" s="31" t="s">
        <v>3</v>
      </c>
      <c r="C9" s="20">
        <v>9762.3385142857151</v>
      </c>
      <c r="D9" s="20">
        <v>10478.467885714286</v>
      </c>
      <c r="E9" s="21">
        <v>9238.8513169822672</v>
      </c>
      <c r="F9" s="22" t="s">
        <v>241</v>
      </c>
      <c r="G9" s="32">
        <v>-5.3623135126630075</v>
      </c>
      <c r="H9" s="33">
        <v>-11.830131869011467</v>
      </c>
    </row>
    <row r="10" spans="1:9" x14ac:dyDescent="0.2">
      <c r="A10" s="34"/>
      <c r="B10" s="25" t="s">
        <v>242</v>
      </c>
      <c r="C10" s="26">
        <v>5155.8100305291428</v>
      </c>
      <c r="D10" s="26">
        <v>5440.5220571428572</v>
      </c>
      <c r="E10" s="26">
        <v>4824.0692571428572</v>
      </c>
      <c r="F10" s="27"/>
      <c r="G10" s="35">
        <v>-6.4343094765312543</v>
      </c>
      <c r="H10" s="29">
        <v>-11.33076556854796</v>
      </c>
    </row>
    <row r="11" spans="1:9" x14ac:dyDescent="0.2">
      <c r="A11" s="30" t="s">
        <v>46</v>
      </c>
      <c r="B11" s="31" t="s">
        <v>3</v>
      </c>
      <c r="C11" s="20">
        <v>400.6886530612245</v>
      </c>
      <c r="D11" s="20">
        <v>392.86791836734693</v>
      </c>
      <c r="E11" s="21">
        <v>360.33312461377307</v>
      </c>
      <c r="F11" s="22" t="s">
        <v>241</v>
      </c>
      <c r="G11" s="37">
        <v>-10.071542615229774</v>
      </c>
      <c r="H11" s="33">
        <v>-8.2813567187617849</v>
      </c>
    </row>
    <row r="12" spans="1:9" ht="13.5" thickBot="1" x14ac:dyDescent="0.25">
      <c r="A12" s="56"/>
      <c r="B12" s="42" t="s">
        <v>242</v>
      </c>
      <c r="C12" s="43">
        <v>216.76349690938775</v>
      </c>
      <c r="D12" s="43">
        <v>218.40032653061223</v>
      </c>
      <c r="E12" s="43">
        <v>198.48718367346939</v>
      </c>
      <c r="F12" s="44"/>
      <c r="G12" s="57">
        <v>-8.4314534026724459</v>
      </c>
      <c r="H12" s="46">
        <v>-9.1177257715096403</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58</v>
      </c>
      <c r="B35" s="19" t="s">
        <v>3</v>
      </c>
      <c r="C35" s="80">
        <v>1881.4521582849891</v>
      </c>
      <c r="D35" s="80">
        <v>1876.3099251303952</v>
      </c>
      <c r="E35" s="81">
        <v>2119.553708135064</v>
      </c>
      <c r="F35" s="22" t="s">
        <v>241</v>
      </c>
      <c r="G35" s="23">
        <v>12.655200867138333</v>
      </c>
      <c r="H35" s="24">
        <v>12.963944801803692</v>
      </c>
    </row>
    <row r="36" spans="1:9" ht="12.75" customHeight="1" x14ac:dyDescent="0.2">
      <c r="A36" s="203"/>
      <c r="B36" s="25" t="s">
        <v>242</v>
      </c>
      <c r="C36" s="82">
        <v>1025.8261380934614</v>
      </c>
      <c r="D36" s="82">
        <v>928.78469140608343</v>
      </c>
      <c r="E36" s="82">
        <v>1082.4285095044324</v>
      </c>
      <c r="F36" s="27"/>
      <c r="G36" s="28">
        <v>5.5177353460858996</v>
      </c>
      <c r="H36" s="29">
        <v>16.542458065899893</v>
      </c>
    </row>
    <row r="37" spans="1:9" x14ac:dyDescent="0.2">
      <c r="A37" s="30" t="s">
        <v>9</v>
      </c>
      <c r="B37" s="31" t="s">
        <v>3</v>
      </c>
      <c r="C37" s="80">
        <v>1384.7574451491389</v>
      </c>
      <c r="D37" s="80">
        <v>1426.821285309876</v>
      </c>
      <c r="E37" s="83">
        <v>1546.5229346739279</v>
      </c>
      <c r="F37" s="22" t="s">
        <v>241</v>
      </c>
      <c r="G37" s="32">
        <v>11.681864581516436</v>
      </c>
      <c r="H37" s="33">
        <v>8.389393303594801</v>
      </c>
    </row>
    <row r="38" spans="1:9" x14ac:dyDescent="0.2">
      <c r="A38" s="34"/>
      <c r="B38" s="25" t="s">
        <v>242</v>
      </c>
      <c r="C38" s="82">
        <v>724.16659869329953</v>
      </c>
      <c r="D38" s="82">
        <v>718.85881330188272</v>
      </c>
      <c r="E38" s="82">
        <v>788.78840897128805</v>
      </c>
      <c r="F38" s="27"/>
      <c r="G38" s="35">
        <v>8.923611002577772</v>
      </c>
      <c r="H38" s="29">
        <v>9.7278623250374778</v>
      </c>
    </row>
    <row r="39" spans="1:9" x14ac:dyDescent="0.2">
      <c r="A39" s="30" t="s">
        <v>46</v>
      </c>
      <c r="B39" s="31" t="s">
        <v>3</v>
      </c>
      <c r="C39" s="80">
        <v>496.69471313584984</v>
      </c>
      <c r="D39" s="80">
        <v>449.48863982051921</v>
      </c>
      <c r="E39" s="83">
        <v>580.32057912071969</v>
      </c>
      <c r="F39" s="22" t="s">
        <v>241</v>
      </c>
      <c r="G39" s="37">
        <v>16.836471936031572</v>
      </c>
      <c r="H39" s="33">
        <v>29.106840019903871</v>
      </c>
    </row>
    <row r="40" spans="1:9" ht="13.5" thickBot="1" x14ac:dyDescent="0.25">
      <c r="A40" s="56"/>
      <c r="B40" s="42" t="s">
        <v>242</v>
      </c>
      <c r="C40" s="86">
        <v>301.6595394001618</v>
      </c>
      <c r="D40" s="86">
        <v>209.92587810420073</v>
      </c>
      <c r="E40" s="86">
        <v>293.6401005331445</v>
      </c>
      <c r="F40" s="44"/>
      <c r="G40" s="57">
        <v>-2.6584403340811491</v>
      </c>
      <c r="H40" s="46">
        <v>39.877990834169879</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7">
        <v>18</v>
      </c>
    </row>
    <row r="62" spans="1:9"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5"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0" t="s">
        <v>1</v>
      </c>
      <c r="H5" s="201"/>
    </row>
    <row r="6" spans="1:9" x14ac:dyDescent="0.2">
      <c r="A6" s="12"/>
      <c r="B6" s="13"/>
      <c r="C6" s="14" t="s">
        <v>236</v>
      </c>
      <c r="D6" s="15" t="s">
        <v>237</v>
      </c>
      <c r="E6" s="15" t="s">
        <v>238</v>
      </c>
      <c r="F6" s="16"/>
      <c r="G6" s="17" t="s">
        <v>239</v>
      </c>
      <c r="H6" s="18" t="s">
        <v>240</v>
      </c>
    </row>
    <row r="7" spans="1:9" x14ac:dyDescent="0.2">
      <c r="A7" s="202" t="s">
        <v>57</v>
      </c>
      <c r="B7" s="19" t="s">
        <v>3</v>
      </c>
      <c r="C7" s="20">
        <v>4569</v>
      </c>
      <c r="D7" s="20">
        <v>4525</v>
      </c>
      <c r="E7" s="79">
        <v>4667.9372343041969</v>
      </c>
      <c r="F7" s="22" t="s">
        <v>241</v>
      </c>
      <c r="G7" s="23">
        <v>2.1654023704135881</v>
      </c>
      <c r="H7" s="24">
        <v>3.1588339072750671</v>
      </c>
    </row>
    <row r="8" spans="1:9" x14ac:dyDescent="0.2">
      <c r="A8" s="203"/>
      <c r="B8" s="25" t="s">
        <v>242</v>
      </c>
      <c r="C8" s="26">
        <v>2578.0918587428573</v>
      </c>
      <c r="D8" s="26">
        <v>2320</v>
      </c>
      <c r="E8" s="26">
        <v>2468.4571428571426</v>
      </c>
      <c r="F8" s="27"/>
      <c r="G8" s="28">
        <v>-4.2525527363937954</v>
      </c>
      <c r="H8" s="29">
        <v>6.3990147783251246</v>
      </c>
    </row>
    <row r="9" spans="1:9" x14ac:dyDescent="0.2">
      <c r="A9" s="30" t="s">
        <v>9</v>
      </c>
      <c r="B9" s="31" t="s">
        <v>3</v>
      </c>
      <c r="C9" s="20">
        <v>1831</v>
      </c>
      <c r="D9" s="20">
        <v>1807</v>
      </c>
      <c r="E9" s="21">
        <v>1874.7284294349593</v>
      </c>
      <c r="F9" s="22" t="s">
        <v>241</v>
      </c>
      <c r="G9" s="32">
        <v>2.3882266212430068</v>
      </c>
      <c r="H9" s="33">
        <v>3.7481145232406874</v>
      </c>
    </row>
    <row r="10" spans="1:9" x14ac:dyDescent="0.2">
      <c r="A10" s="34"/>
      <c r="B10" s="25" t="s">
        <v>242</v>
      </c>
      <c r="C10" s="26">
        <v>934.72790582857147</v>
      </c>
      <c r="D10" s="26">
        <v>898</v>
      </c>
      <c r="E10" s="26">
        <v>939.97142857142853</v>
      </c>
      <c r="F10" s="27"/>
      <c r="G10" s="35">
        <v>0.56096781856631139</v>
      </c>
      <c r="H10" s="29">
        <v>4.6738784600699859</v>
      </c>
    </row>
    <row r="11" spans="1:9" x14ac:dyDescent="0.2">
      <c r="A11" s="30" t="s">
        <v>46</v>
      </c>
      <c r="B11" s="31" t="s">
        <v>3</v>
      </c>
      <c r="C11" s="20">
        <v>1853</v>
      </c>
      <c r="D11" s="20">
        <v>1729</v>
      </c>
      <c r="E11" s="21">
        <v>1978.6938502123933</v>
      </c>
      <c r="F11" s="22" t="s">
        <v>241</v>
      </c>
      <c r="G11" s="37">
        <v>6.7832622888501533</v>
      </c>
      <c r="H11" s="33">
        <v>14.441518230907647</v>
      </c>
    </row>
    <row r="12" spans="1:9" x14ac:dyDescent="0.2">
      <c r="A12" s="34"/>
      <c r="B12" s="25" t="s">
        <v>242</v>
      </c>
      <c r="C12" s="26">
        <v>992.36395291428573</v>
      </c>
      <c r="D12" s="26">
        <v>832</v>
      </c>
      <c r="E12" s="26">
        <v>985.48571428571427</v>
      </c>
      <c r="F12" s="27"/>
      <c r="G12" s="28">
        <v>-0.69311653334163736</v>
      </c>
      <c r="H12" s="29">
        <v>18.447802197802204</v>
      </c>
    </row>
    <row r="13" spans="1:9" x14ac:dyDescent="0.2">
      <c r="A13" s="30" t="s">
        <v>24</v>
      </c>
      <c r="B13" s="31" t="s">
        <v>3</v>
      </c>
      <c r="C13" s="20">
        <v>927</v>
      </c>
      <c r="D13" s="20">
        <v>1082</v>
      </c>
      <c r="E13" s="21">
        <v>917.59642537875368</v>
      </c>
      <c r="F13" s="22" t="s">
        <v>241</v>
      </c>
      <c r="G13" s="23">
        <v>-1.014409344255256</v>
      </c>
      <c r="H13" s="24">
        <v>-15.194415399375814</v>
      </c>
    </row>
    <row r="14" spans="1:9" ht="13.5" thickBot="1" x14ac:dyDescent="0.25">
      <c r="A14" s="56"/>
      <c r="B14" s="42" t="s">
        <v>242</v>
      </c>
      <c r="C14" s="43">
        <v>658.18197645714292</v>
      </c>
      <c r="D14" s="43">
        <v>599</v>
      </c>
      <c r="E14" s="43">
        <v>548.24285714285713</v>
      </c>
      <c r="F14" s="44"/>
      <c r="G14" s="57">
        <v>-16.703453337641548</v>
      </c>
      <c r="H14" s="46">
        <v>-8.4736465537801138</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57</v>
      </c>
      <c r="B35" s="19" t="s">
        <v>3</v>
      </c>
      <c r="C35" s="80">
        <v>1779.0988161448022</v>
      </c>
      <c r="D35" s="80">
        <v>1723.7394637740249</v>
      </c>
      <c r="E35" s="81">
        <v>1620.3040582870249</v>
      </c>
      <c r="F35" s="22" t="s">
        <v>241</v>
      </c>
      <c r="G35" s="23">
        <v>-8.9255726785247305</v>
      </c>
      <c r="H35" s="24">
        <v>-6.0006403323002502</v>
      </c>
    </row>
    <row r="36" spans="1:9" ht="12.75" customHeight="1" x14ac:dyDescent="0.2">
      <c r="A36" s="203"/>
      <c r="B36" s="25" t="s">
        <v>242</v>
      </c>
      <c r="C36" s="82">
        <v>908.11823416283505</v>
      </c>
      <c r="D36" s="82">
        <v>908.02671589401098</v>
      </c>
      <c r="E36" s="82">
        <v>844.5276725023225</v>
      </c>
      <c r="F36" s="27"/>
      <c r="G36" s="28">
        <v>-7.0024540052468609</v>
      </c>
      <c r="H36" s="29">
        <v>-6.9930809611884115</v>
      </c>
    </row>
    <row r="37" spans="1:9" x14ac:dyDescent="0.2">
      <c r="A37" s="30" t="s">
        <v>9</v>
      </c>
      <c r="B37" s="31" t="s">
        <v>3</v>
      </c>
      <c r="C37" s="80">
        <v>382.74115421816043</v>
      </c>
      <c r="D37" s="80">
        <v>358.18675231131635</v>
      </c>
      <c r="E37" s="83">
        <v>317.90129174130618</v>
      </c>
      <c r="F37" s="22" t="s">
        <v>241</v>
      </c>
      <c r="G37" s="32">
        <v>-16.940917317685646</v>
      </c>
      <c r="H37" s="33">
        <v>-11.247054870135514</v>
      </c>
    </row>
    <row r="38" spans="1:9" x14ac:dyDescent="0.2">
      <c r="A38" s="34"/>
      <c r="B38" s="25" t="s">
        <v>242</v>
      </c>
      <c r="C38" s="82">
        <v>202.14318853188306</v>
      </c>
      <c r="D38" s="82">
        <v>185.08127653850141</v>
      </c>
      <c r="E38" s="82">
        <v>165.45855060953696</v>
      </c>
      <c r="F38" s="27"/>
      <c r="G38" s="35">
        <v>-18.147847666190358</v>
      </c>
      <c r="H38" s="29">
        <v>-10.602220978783038</v>
      </c>
    </row>
    <row r="39" spans="1:9" x14ac:dyDescent="0.2">
      <c r="A39" s="30" t="s">
        <v>46</v>
      </c>
      <c r="B39" s="31" t="s">
        <v>3</v>
      </c>
      <c r="C39" s="80">
        <v>974.59681551779806</v>
      </c>
      <c r="D39" s="80">
        <v>949.23993611656863</v>
      </c>
      <c r="E39" s="83">
        <v>967.98058947374784</v>
      </c>
      <c r="F39" s="22" t="s">
        <v>241</v>
      </c>
      <c r="G39" s="37">
        <v>-0.6788680137986205</v>
      </c>
      <c r="H39" s="33">
        <v>1.9742799100772146</v>
      </c>
    </row>
    <row r="40" spans="1:9" x14ac:dyDescent="0.2">
      <c r="A40" s="34"/>
      <c r="B40" s="25" t="s">
        <v>242</v>
      </c>
      <c r="C40" s="82">
        <v>493.3282112259912</v>
      </c>
      <c r="D40" s="82">
        <v>494.41182274805749</v>
      </c>
      <c r="E40" s="82">
        <v>499.35115590074685</v>
      </c>
      <c r="F40" s="27"/>
      <c r="G40" s="28">
        <v>1.220879839769907</v>
      </c>
      <c r="H40" s="29">
        <v>0.99903216821057583</v>
      </c>
    </row>
    <row r="41" spans="1:9" x14ac:dyDescent="0.2">
      <c r="A41" s="30" t="s">
        <v>24</v>
      </c>
      <c r="B41" s="31" t="s">
        <v>3</v>
      </c>
      <c r="C41" s="80">
        <v>421.7608464088438</v>
      </c>
      <c r="D41" s="80">
        <v>416.31277534613992</v>
      </c>
      <c r="E41" s="83">
        <v>337.07457950178855</v>
      </c>
      <c r="F41" s="22" t="s">
        <v>241</v>
      </c>
      <c r="G41" s="23">
        <v>-20.079214945657284</v>
      </c>
      <c r="H41" s="24">
        <v>-19.033332757677059</v>
      </c>
    </row>
    <row r="42" spans="1:9" ht="13.5" thickBot="1" x14ac:dyDescent="0.25">
      <c r="A42" s="56"/>
      <c r="B42" s="42" t="s">
        <v>242</v>
      </c>
      <c r="C42" s="86">
        <v>212.64683440496083</v>
      </c>
      <c r="D42" s="86">
        <v>228.5336166074521</v>
      </c>
      <c r="E42" s="86">
        <v>179.71796599203861</v>
      </c>
      <c r="F42" s="44"/>
      <c r="G42" s="57">
        <v>-15.485238002750165</v>
      </c>
      <c r="H42" s="46">
        <v>-21.360380735261018</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5">
        <v>19</v>
      </c>
    </row>
    <row r="62" spans="1:9"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5"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200" t="s">
        <v>1</v>
      </c>
      <c r="H5" s="201"/>
    </row>
    <row r="6" spans="1:9" x14ac:dyDescent="0.2">
      <c r="A6" s="12"/>
      <c r="B6" s="13"/>
      <c r="C6" s="14" t="s">
        <v>236</v>
      </c>
      <c r="D6" s="15" t="s">
        <v>237</v>
      </c>
      <c r="E6" s="15" t="s">
        <v>238</v>
      </c>
      <c r="F6" s="16"/>
      <c r="G6" s="17" t="s">
        <v>239</v>
      </c>
      <c r="H6" s="18" t="s">
        <v>240</v>
      </c>
    </row>
    <row r="7" spans="1:9" ht="12.75" customHeight="1" x14ac:dyDescent="0.2">
      <c r="A7" s="202" t="s">
        <v>60</v>
      </c>
      <c r="B7" s="19" t="s">
        <v>3</v>
      </c>
      <c r="C7" s="20">
        <v>23196.560000000001</v>
      </c>
      <c r="D7" s="20">
        <v>24026.283333333333</v>
      </c>
      <c r="E7" s="79">
        <v>27135.000858517764</v>
      </c>
      <c r="F7" s="22" t="s">
        <v>241</v>
      </c>
      <c r="G7" s="23">
        <v>16.97855569324831</v>
      </c>
      <c r="H7" s="24">
        <v>12.938819883437787</v>
      </c>
    </row>
    <row r="8" spans="1:9" ht="13.7" customHeight="1" thickBot="1" x14ac:dyDescent="0.25">
      <c r="A8" s="208"/>
      <c r="B8" s="42" t="s">
        <v>242</v>
      </c>
      <c r="C8" s="43">
        <v>12623.589153783334</v>
      </c>
      <c r="D8" s="43">
        <v>11956.071666666667</v>
      </c>
      <c r="E8" s="43">
        <v>13899.584999999999</v>
      </c>
      <c r="F8" s="44"/>
      <c r="G8" s="57">
        <v>10.108027365848187</v>
      </c>
      <c r="H8" s="46">
        <v>16.25545068244962</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60</v>
      </c>
      <c r="B35" s="19" t="s">
        <v>3</v>
      </c>
      <c r="C35" s="80">
        <v>531.97624857374728</v>
      </c>
      <c r="D35" s="80">
        <v>573.57984776658577</v>
      </c>
      <c r="E35" s="81">
        <v>614.19904715377209</v>
      </c>
      <c r="F35" s="22" t="s">
        <v>241</v>
      </c>
      <c r="G35" s="23">
        <v>15.456103312970811</v>
      </c>
      <c r="H35" s="24">
        <v>7.0816991819621933</v>
      </c>
    </row>
    <row r="36" spans="1:9" ht="12.75" customHeight="1" thickBot="1" x14ac:dyDescent="0.25">
      <c r="A36" s="208"/>
      <c r="B36" s="42" t="s">
        <v>242</v>
      </c>
      <c r="C36" s="86">
        <v>259.13745973651857</v>
      </c>
      <c r="D36" s="86">
        <v>288.48809882468396</v>
      </c>
      <c r="E36" s="86">
        <v>305.60577524503339</v>
      </c>
      <c r="F36" s="44"/>
      <c r="G36" s="57">
        <v>17.931917506547322</v>
      </c>
      <c r="H36" s="46">
        <v>5.9335814857138729</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7">
        <v>20</v>
      </c>
    </row>
    <row r="62" spans="1:9"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37" customWidth="1"/>
    <col min="2" max="2" width="8.140625" style="137" customWidth="1"/>
    <col min="3" max="4" width="10.42578125" style="137" customWidth="1"/>
    <col min="5" max="5" width="9.85546875" style="137" customWidth="1"/>
    <col min="6" max="6" width="1.5703125" style="137" customWidth="1"/>
    <col min="7" max="7" width="7.5703125" style="137" customWidth="1"/>
    <col min="8" max="8" width="8.85546875" style="137" customWidth="1"/>
    <col min="9" max="16384" width="11.42578125" style="137"/>
  </cols>
  <sheetData>
    <row r="1" spans="1:8" ht="5.25" customHeight="1" x14ac:dyDescent="0.2"/>
    <row r="2" spans="1:8" x14ac:dyDescent="0.2">
      <c r="A2" s="95" t="s">
        <v>0</v>
      </c>
      <c r="B2" s="138"/>
      <c r="C2" s="138"/>
      <c r="D2" s="138"/>
      <c r="E2" s="138"/>
      <c r="F2" s="138"/>
      <c r="G2" s="138"/>
    </row>
    <row r="3" spans="1:8" ht="6" customHeight="1" x14ac:dyDescent="0.2">
      <c r="A3" s="3"/>
      <c r="B3" s="138"/>
      <c r="C3" s="138"/>
      <c r="D3" s="138"/>
      <c r="E3" s="138"/>
      <c r="F3" s="138"/>
      <c r="G3" s="138"/>
    </row>
    <row r="4" spans="1:8" ht="16.5" thickBot="1" x14ac:dyDescent="0.3">
      <c r="A4" s="139" t="s">
        <v>215</v>
      </c>
      <c r="B4" s="140"/>
      <c r="C4" s="140"/>
      <c r="D4" s="140"/>
      <c r="E4" s="140"/>
      <c r="F4" s="140"/>
      <c r="G4" s="140"/>
      <c r="H4" s="141"/>
    </row>
    <row r="5" spans="1:8" x14ac:dyDescent="0.2">
      <c r="A5" s="142"/>
      <c r="B5" s="143"/>
      <c r="C5" s="144"/>
      <c r="D5" s="143"/>
      <c r="E5" s="145"/>
      <c r="F5" s="146"/>
      <c r="G5" s="211" t="s">
        <v>1</v>
      </c>
      <c r="H5" s="212"/>
    </row>
    <row r="6" spans="1:8" x14ac:dyDescent="0.2">
      <c r="A6" s="147"/>
      <c r="B6" s="148"/>
      <c r="C6" s="149" t="s">
        <v>236</v>
      </c>
      <c r="D6" s="150" t="s">
        <v>237</v>
      </c>
      <c r="E6" s="150" t="s">
        <v>238</v>
      </c>
      <c r="F6" s="151"/>
      <c r="G6" s="152" t="s">
        <v>239</v>
      </c>
      <c r="H6" s="153" t="s">
        <v>240</v>
      </c>
    </row>
    <row r="7" spans="1:8" ht="12.75" customHeight="1" x14ac:dyDescent="0.2">
      <c r="A7" s="213" t="s">
        <v>196</v>
      </c>
      <c r="B7" s="154" t="s">
        <v>3</v>
      </c>
      <c r="C7" s="20">
        <v>5464</v>
      </c>
      <c r="D7" s="20">
        <v>5769</v>
      </c>
      <c r="E7" s="79">
        <v>5746.5081765153564</v>
      </c>
      <c r="F7" s="22" t="s">
        <v>241</v>
      </c>
      <c r="G7" s="155">
        <v>5.1703546214377099</v>
      </c>
      <c r="H7" s="156">
        <v>-0.38987386868856788</v>
      </c>
    </row>
    <row r="8" spans="1:8" ht="12.75" customHeight="1" x14ac:dyDescent="0.2">
      <c r="A8" s="214"/>
      <c r="B8" s="157" t="s">
        <v>242</v>
      </c>
      <c r="C8" s="26">
        <v>2999</v>
      </c>
      <c r="D8" s="26">
        <v>3234.8935446540881</v>
      </c>
      <c r="E8" s="26">
        <v>3199.2150943396227</v>
      </c>
      <c r="F8" s="27"/>
      <c r="G8" s="158">
        <v>6.6760618319314062</v>
      </c>
      <c r="H8" s="159">
        <v>-1.1029250212399262</v>
      </c>
    </row>
    <row r="9" spans="1:8" x14ac:dyDescent="0.2">
      <c r="A9" s="160" t="s">
        <v>197</v>
      </c>
      <c r="B9" s="161" t="s">
        <v>3</v>
      </c>
      <c r="C9" s="20">
        <v>1897</v>
      </c>
      <c r="D9" s="20">
        <v>1690</v>
      </c>
      <c r="E9" s="20">
        <v>1805.8995033562312</v>
      </c>
      <c r="F9" s="22" t="s">
        <v>241</v>
      </c>
      <c r="G9" s="162">
        <v>-4.8023456322492706</v>
      </c>
      <c r="H9" s="163">
        <v>6.8579587784752221</v>
      </c>
    </row>
    <row r="10" spans="1:8" x14ac:dyDescent="0.2">
      <c r="A10" s="164"/>
      <c r="B10" s="157" t="s">
        <v>242</v>
      </c>
      <c r="C10" s="26">
        <v>1004</v>
      </c>
      <c r="D10" s="26">
        <v>1116.643268608</v>
      </c>
      <c r="E10" s="26">
        <v>1101.9709760000001</v>
      </c>
      <c r="F10" s="27"/>
      <c r="G10" s="165">
        <v>9.758065338645423</v>
      </c>
      <c r="H10" s="159">
        <v>-1.3139641835919775</v>
      </c>
    </row>
    <row r="11" spans="1:8" x14ac:dyDescent="0.2">
      <c r="A11" s="160" t="s">
        <v>198</v>
      </c>
      <c r="B11" s="161" t="s">
        <v>3</v>
      </c>
      <c r="C11" s="20">
        <v>458</v>
      </c>
      <c r="D11" s="20">
        <v>492</v>
      </c>
      <c r="E11" s="20">
        <v>430.62101272146515</v>
      </c>
      <c r="F11" s="22" t="s">
        <v>241</v>
      </c>
      <c r="G11" s="166">
        <v>-5.9779448206408006</v>
      </c>
      <c r="H11" s="163">
        <v>-12.475403918401398</v>
      </c>
    </row>
    <row r="12" spans="1:8" x14ac:dyDescent="0.2">
      <c r="A12" s="164"/>
      <c r="B12" s="157" t="s">
        <v>242</v>
      </c>
      <c r="C12" s="26">
        <v>237</v>
      </c>
      <c r="D12" s="26">
        <v>342.55528831999999</v>
      </c>
      <c r="E12" s="26">
        <v>268.85703999999998</v>
      </c>
      <c r="F12" s="27"/>
      <c r="G12" s="158">
        <v>13.441789029535855</v>
      </c>
      <c r="H12" s="159">
        <v>-21.514263779560849</v>
      </c>
    </row>
    <row r="13" spans="1:8" x14ac:dyDescent="0.2">
      <c r="A13" s="160" t="s">
        <v>231</v>
      </c>
      <c r="B13" s="161" t="s">
        <v>3</v>
      </c>
      <c r="C13" s="20">
        <v>120</v>
      </c>
      <c r="D13" s="20">
        <v>128</v>
      </c>
      <c r="E13" s="20">
        <v>133.36323109064406</v>
      </c>
      <c r="F13" s="22" t="s">
        <v>241</v>
      </c>
      <c r="G13" s="155">
        <v>11.136025908870067</v>
      </c>
      <c r="H13" s="156">
        <v>4.1900242895656703</v>
      </c>
    </row>
    <row r="14" spans="1:8" x14ac:dyDescent="0.2">
      <c r="A14" s="164"/>
      <c r="B14" s="157" t="s">
        <v>242</v>
      </c>
      <c r="C14" s="26">
        <v>96</v>
      </c>
      <c r="D14" s="26">
        <v>98.614743551999993</v>
      </c>
      <c r="E14" s="26">
        <v>104.028544</v>
      </c>
      <c r="F14" s="27"/>
      <c r="G14" s="167">
        <v>8.3630666666666684</v>
      </c>
      <c r="H14" s="156">
        <v>5.4898489343485153</v>
      </c>
    </row>
    <row r="15" spans="1:8" x14ac:dyDescent="0.2">
      <c r="A15" s="160" t="s">
        <v>199</v>
      </c>
      <c r="B15" s="161" t="s">
        <v>3</v>
      </c>
      <c r="C15" s="20">
        <v>2181</v>
      </c>
      <c r="D15" s="20">
        <v>2440</v>
      </c>
      <c r="E15" s="20">
        <v>2473.4906074928185</v>
      </c>
      <c r="F15" s="22" t="s">
        <v>241</v>
      </c>
      <c r="G15" s="166">
        <v>13.410848578304396</v>
      </c>
      <c r="H15" s="163">
        <v>1.372565880853216</v>
      </c>
    </row>
    <row r="16" spans="1:8" x14ac:dyDescent="0.2">
      <c r="A16" s="164"/>
      <c r="B16" s="157" t="s">
        <v>242</v>
      </c>
      <c r="C16" s="26">
        <v>1155</v>
      </c>
      <c r="D16" s="26">
        <v>1195.03685888</v>
      </c>
      <c r="E16" s="26">
        <v>1242.5713599999999</v>
      </c>
      <c r="F16" s="27"/>
      <c r="G16" s="158">
        <v>7.5819359307359235</v>
      </c>
      <c r="H16" s="159">
        <v>3.9776598325636456</v>
      </c>
    </row>
    <row r="17" spans="1:9" x14ac:dyDescent="0.2">
      <c r="A17" s="160" t="s">
        <v>200</v>
      </c>
      <c r="B17" s="161" t="s">
        <v>3</v>
      </c>
      <c r="C17" s="20">
        <v>541</v>
      </c>
      <c r="D17" s="20">
        <v>502</v>
      </c>
      <c r="E17" s="20">
        <v>363.15850129713681</v>
      </c>
      <c r="F17" s="22" t="s">
        <v>241</v>
      </c>
      <c r="G17" s="166">
        <v>-32.872735434910012</v>
      </c>
      <c r="H17" s="163">
        <v>-27.657669064315385</v>
      </c>
    </row>
    <row r="18" spans="1:9" x14ac:dyDescent="0.2">
      <c r="A18" s="160"/>
      <c r="B18" s="157" t="s">
        <v>242</v>
      </c>
      <c r="C18" s="26">
        <v>328</v>
      </c>
      <c r="D18" s="26">
        <v>301.03685888000001</v>
      </c>
      <c r="E18" s="26">
        <v>218.57136</v>
      </c>
      <c r="F18" s="27"/>
      <c r="G18" s="158">
        <v>-33.362390243902439</v>
      </c>
      <c r="H18" s="159">
        <v>-27.393821204091353</v>
      </c>
    </row>
    <row r="19" spans="1:9" x14ac:dyDescent="0.2">
      <c r="A19" s="168" t="s">
        <v>201</v>
      </c>
      <c r="B19" s="161" t="s">
        <v>3</v>
      </c>
      <c r="C19" s="20">
        <v>26</v>
      </c>
      <c r="D19" s="20">
        <v>31</v>
      </c>
      <c r="E19" s="20">
        <v>40.772896288685516</v>
      </c>
      <c r="F19" s="22" t="s">
        <v>241</v>
      </c>
      <c r="G19" s="155">
        <v>56.818831879559667</v>
      </c>
      <c r="H19" s="156">
        <v>31.525471898985529</v>
      </c>
    </row>
    <row r="20" spans="1:9" x14ac:dyDescent="0.2">
      <c r="A20" s="164"/>
      <c r="B20" s="157" t="s">
        <v>242</v>
      </c>
      <c r="C20" s="26">
        <v>9</v>
      </c>
      <c r="D20" s="26">
        <v>17.903685887999998</v>
      </c>
      <c r="E20" s="26">
        <v>19.257135999999999</v>
      </c>
      <c r="F20" s="27"/>
      <c r="G20" s="167">
        <v>113.96817777777778</v>
      </c>
      <c r="H20" s="156">
        <v>7.5596171674747552</v>
      </c>
    </row>
    <row r="21" spans="1:9" x14ac:dyDescent="0.2">
      <c r="A21" s="168" t="s">
        <v>202</v>
      </c>
      <c r="B21" s="161" t="s">
        <v>3</v>
      </c>
      <c r="C21" s="20">
        <v>84</v>
      </c>
      <c r="D21" s="20">
        <v>9</v>
      </c>
      <c r="E21" s="20">
        <v>24.522181855867245</v>
      </c>
      <c r="F21" s="22" t="s">
        <v>241</v>
      </c>
      <c r="G21" s="166">
        <v>-70.806926362062796</v>
      </c>
      <c r="H21" s="163">
        <v>172.46868728741384</v>
      </c>
    </row>
    <row r="22" spans="1:9" x14ac:dyDescent="0.2">
      <c r="A22" s="164"/>
      <c r="B22" s="157" t="s">
        <v>242</v>
      </c>
      <c r="C22" s="26">
        <v>7</v>
      </c>
      <c r="D22" s="26">
        <v>7.3012286293333331</v>
      </c>
      <c r="E22" s="26">
        <v>5.085712</v>
      </c>
      <c r="F22" s="27"/>
      <c r="G22" s="158">
        <v>-27.346971428571436</v>
      </c>
      <c r="H22" s="159">
        <v>-30.344435735545915</v>
      </c>
    </row>
    <row r="23" spans="1:9" x14ac:dyDescent="0.2">
      <c r="A23" s="168" t="s">
        <v>203</v>
      </c>
      <c r="B23" s="161" t="s">
        <v>3</v>
      </c>
      <c r="C23" s="20">
        <v>188</v>
      </c>
      <c r="D23" s="20">
        <v>213</v>
      </c>
      <c r="E23" s="20">
        <v>271.42324693263578</v>
      </c>
      <c r="F23" s="22" t="s">
        <v>241</v>
      </c>
      <c r="G23" s="166">
        <v>44.374067517359464</v>
      </c>
      <c r="H23" s="163">
        <v>27.428754428467499</v>
      </c>
    </row>
    <row r="24" spans="1:9" x14ac:dyDescent="0.2">
      <c r="A24" s="164"/>
      <c r="B24" s="157" t="s">
        <v>242</v>
      </c>
      <c r="C24" s="26">
        <v>137</v>
      </c>
      <c r="D24" s="26">
        <v>93.759214720000003</v>
      </c>
      <c r="E24" s="26">
        <v>137.64284000000001</v>
      </c>
      <c r="F24" s="27"/>
      <c r="G24" s="158">
        <v>0.46922627737227174</v>
      </c>
      <c r="H24" s="159">
        <v>46.804599858320984</v>
      </c>
    </row>
    <row r="25" spans="1:9" x14ac:dyDescent="0.2">
      <c r="A25" s="160" t="s">
        <v>24</v>
      </c>
      <c r="B25" s="161" t="s">
        <v>3</v>
      </c>
      <c r="C25" s="20">
        <v>1392</v>
      </c>
      <c r="D25" s="20">
        <v>1588</v>
      </c>
      <c r="E25" s="20">
        <v>1753.0302313674561</v>
      </c>
      <c r="F25" s="22" t="s">
        <v>241</v>
      </c>
      <c r="G25" s="155">
        <v>25.936079839616099</v>
      </c>
      <c r="H25" s="156">
        <v>10.392331950091688</v>
      </c>
      <c r="I25" s="169"/>
    </row>
    <row r="26" spans="1:9" ht="13.5" thickBot="1" x14ac:dyDescent="0.25">
      <c r="A26" s="170"/>
      <c r="B26" s="171" t="s">
        <v>242</v>
      </c>
      <c r="C26" s="43">
        <v>746</v>
      </c>
      <c r="D26" s="43">
        <v>755.75921472000005</v>
      </c>
      <c r="E26" s="43">
        <v>866.64283999999998</v>
      </c>
      <c r="F26" s="44"/>
      <c r="G26" s="172">
        <v>16.171962466487926</v>
      </c>
      <c r="H26" s="173">
        <v>14.67181916148796</v>
      </c>
      <c r="I26" s="169"/>
    </row>
    <row r="27" spans="1:9" x14ac:dyDescent="0.2">
      <c r="A27" s="174"/>
      <c r="B27" s="174"/>
      <c r="C27" s="64"/>
      <c r="D27" s="64"/>
      <c r="E27" s="21"/>
      <c r="F27" s="59"/>
      <c r="G27" s="167"/>
      <c r="H27" s="175"/>
      <c r="I27" s="169"/>
    </row>
    <row r="28" spans="1:9" x14ac:dyDescent="0.2">
      <c r="A28" s="174"/>
      <c r="B28" s="174"/>
      <c r="C28" s="64"/>
      <c r="D28" s="64"/>
      <c r="E28" s="21"/>
      <c r="F28" s="59"/>
      <c r="G28" s="167"/>
      <c r="H28" s="175"/>
      <c r="I28" s="169"/>
    </row>
    <row r="29" spans="1:9" x14ac:dyDescent="0.2">
      <c r="A29" s="174"/>
      <c r="B29" s="174"/>
      <c r="C29" s="64"/>
      <c r="D29" s="64"/>
      <c r="E29" s="21"/>
      <c r="F29" s="59"/>
      <c r="G29" s="167"/>
      <c r="H29" s="175"/>
      <c r="I29" s="169"/>
    </row>
    <row r="30" spans="1:9" x14ac:dyDescent="0.2">
      <c r="A30" s="176"/>
      <c r="B30" s="177"/>
      <c r="C30" s="21"/>
      <c r="D30" s="21"/>
      <c r="E30" s="21"/>
      <c r="F30" s="63"/>
      <c r="G30" s="167"/>
      <c r="H30" s="175"/>
      <c r="I30" s="169"/>
    </row>
    <row r="31" spans="1:9" x14ac:dyDescent="0.2">
      <c r="A31" s="178"/>
      <c r="B31" s="179"/>
      <c r="C31" s="49"/>
      <c r="D31" s="55"/>
      <c r="E31" s="49"/>
      <c r="F31" s="49"/>
      <c r="G31" s="180"/>
      <c r="H31" s="181"/>
      <c r="I31" s="169"/>
    </row>
    <row r="32" spans="1:9" ht="16.5" thickBot="1" x14ac:dyDescent="0.3">
      <c r="A32" s="139" t="s">
        <v>216</v>
      </c>
      <c r="B32" s="140"/>
      <c r="C32" s="140"/>
      <c r="D32" s="140"/>
      <c r="E32" s="140"/>
      <c r="F32" s="140"/>
      <c r="G32" s="140"/>
      <c r="H32" s="141"/>
    </row>
    <row r="33" spans="1:8" x14ac:dyDescent="0.2">
      <c r="A33" s="142"/>
      <c r="B33" s="143"/>
      <c r="C33" s="215" t="s">
        <v>16</v>
      </c>
      <c r="D33" s="211"/>
      <c r="E33" s="211"/>
      <c r="F33" s="216"/>
      <c r="G33" s="211" t="s">
        <v>1</v>
      </c>
      <c r="H33" s="212"/>
    </row>
    <row r="34" spans="1:8" x14ac:dyDescent="0.2">
      <c r="A34" s="147"/>
      <c r="B34" s="148"/>
      <c r="C34" s="149" t="s">
        <v>236</v>
      </c>
      <c r="D34" s="150" t="s">
        <v>237</v>
      </c>
      <c r="E34" s="150" t="s">
        <v>238</v>
      </c>
      <c r="F34" s="151"/>
      <c r="G34" s="152" t="s">
        <v>239</v>
      </c>
      <c r="H34" s="153" t="s">
        <v>240</v>
      </c>
    </row>
    <row r="35" spans="1:8" ht="12.75" customHeight="1" x14ac:dyDescent="0.2">
      <c r="A35" s="213" t="s">
        <v>196</v>
      </c>
      <c r="B35" s="154" t="s">
        <v>3</v>
      </c>
      <c r="C35" s="80">
        <v>991.88485422989675</v>
      </c>
      <c r="D35" s="80">
        <v>1042.4939548825182</v>
      </c>
      <c r="E35" s="81">
        <v>1127.2310885805575</v>
      </c>
      <c r="F35" s="22" t="s">
        <v>241</v>
      </c>
      <c r="G35" s="155">
        <v>13.645357500265902</v>
      </c>
      <c r="H35" s="156">
        <v>8.1283093586464616</v>
      </c>
    </row>
    <row r="36" spans="1:8" ht="12.75" customHeight="1" x14ac:dyDescent="0.2">
      <c r="A36" s="214"/>
      <c r="B36" s="157" t="s">
        <v>242</v>
      </c>
      <c r="C36" s="82">
        <v>562.70128167460064</v>
      </c>
      <c r="D36" s="82">
        <v>523.97408594454282</v>
      </c>
      <c r="E36" s="82">
        <v>588.95007198057056</v>
      </c>
      <c r="F36" s="27"/>
      <c r="G36" s="158">
        <v>4.6647823917964786</v>
      </c>
      <c r="H36" s="159">
        <v>12.400610598689951</v>
      </c>
    </row>
    <row r="37" spans="1:8" x14ac:dyDescent="0.2">
      <c r="A37" s="160" t="s">
        <v>197</v>
      </c>
      <c r="B37" s="161" t="s">
        <v>3</v>
      </c>
      <c r="C37" s="80">
        <v>499.91934977461625</v>
      </c>
      <c r="D37" s="80">
        <v>518.2274594430562</v>
      </c>
      <c r="E37" s="80">
        <v>588.58672113659759</v>
      </c>
      <c r="F37" s="22" t="s">
        <v>241</v>
      </c>
      <c r="G37" s="162">
        <v>17.736335151251126</v>
      </c>
      <c r="H37" s="163">
        <v>13.576907284912522</v>
      </c>
    </row>
    <row r="38" spans="1:8" x14ac:dyDescent="0.2">
      <c r="A38" s="164"/>
      <c r="B38" s="157" t="s">
        <v>242</v>
      </c>
      <c r="C38" s="82">
        <v>313.1969306379363</v>
      </c>
      <c r="D38" s="82">
        <v>253.14398003938979</v>
      </c>
      <c r="E38" s="82">
        <v>310.29900412759162</v>
      </c>
      <c r="F38" s="27"/>
      <c r="G38" s="165">
        <v>-0.92527295987288483</v>
      </c>
      <c r="H38" s="159">
        <v>22.578069634248592</v>
      </c>
    </row>
    <row r="39" spans="1:8" x14ac:dyDescent="0.2">
      <c r="A39" s="160" t="s">
        <v>198</v>
      </c>
      <c r="B39" s="161" t="s">
        <v>3</v>
      </c>
      <c r="C39" s="80">
        <v>57.699737556827031</v>
      </c>
      <c r="D39" s="80">
        <v>61.751132220382033</v>
      </c>
      <c r="E39" s="80">
        <v>72.816713712242375</v>
      </c>
      <c r="F39" s="22" t="s">
        <v>241</v>
      </c>
      <c r="G39" s="166">
        <v>26.199384599500149</v>
      </c>
      <c r="H39" s="163">
        <v>17.919641460773008</v>
      </c>
    </row>
    <row r="40" spans="1:8" x14ac:dyDescent="0.2">
      <c r="A40" s="164"/>
      <c r="B40" s="157" t="s">
        <v>242</v>
      </c>
      <c r="C40" s="82">
        <v>29.18075032974204</v>
      </c>
      <c r="D40" s="82">
        <v>32.982631822123722</v>
      </c>
      <c r="E40" s="82">
        <v>38.178666400948934</v>
      </c>
      <c r="F40" s="27"/>
      <c r="G40" s="158">
        <v>30.835108657353146</v>
      </c>
      <c r="H40" s="159">
        <v>15.753850714059368</v>
      </c>
    </row>
    <row r="41" spans="1:8" x14ac:dyDescent="0.2">
      <c r="A41" s="160" t="s">
        <v>231</v>
      </c>
      <c r="B41" s="161" t="s">
        <v>3</v>
      </c>
      <c r="C41" s="80">
        <v>77.360013137417738</v>
      </c>
      <c r="D41" s="80">
        <v>90.457023977797775</v>
      </c>
      <c r="E41" s="80">
        <v>92.951468687334639</v>
      </c>
      <c r="F41" s="22" t="s">
        <v>241</v>
      </c>
      <c r="G41" s="155">
        <v>20.154411714254962</v>
      </c>
      <c r="H41" s="156">
        <v>2.7576020079425945</v>
      </c>
    </row>
    <row r="42" spans="1:8" x14ac:dyDescent="0.2">
      <c r="A42" s="164"/>
      <c r="B42" s="157" t="s">
        <v>242</v>
      </c>
      <c r="C42" s="82">
        <v>50.094464565272069</v>
      </c>
      <c r="D42" s="82">
        <v>49.193940553583516</v>
      </c>
      <c r="E42" s="82">
        <v>53.401454550198189</v>
      </c>
      <c r="F42" s="27"/>
      <c r="G42" s="167">
        <v>6.6015077985656063</v>
      </c>
      <c r="H42" s="156">
        <v>8.5529110887787567</v>
      </c>
    </row>
    <row r="43" spans="1:8" x14ac:dyDescent="0.2">
      <c r="A43" s="160" t="s">
        <v>199</v>
      </c>
      <c r="B43" s="161" t="s">
        <v>3</v>
      </c>
      <c r="C43" s="80">
        <v>41.184975390590729</v>
      </c>
      <c r="D43" s="80">
        <v>41.031011127415738</v>
      </c>
      <c r="E43" s="80">
        <v>38.969905305394064</v>
      </c>
      <c r="F43" s="22" t="s">
        <v>241</v>
      </c>
      <c r="G43" s="166">
        <v>-5.3783450498375913</v>
      </c>
      <c r="H43" s="163">
        <v>-5.023287911724168</v>
      </c>
    </row>
    <row r="44" spans="1:8" x14ac:dyDescent="0.2">
      <c r="A44" s="164"/>
      <c r="B44" s="157" t="s">
        <v>242</v>
      </c>
      <c r="C44" s="82">
        <v>23.31352523553003</v>
      </c>
      <c r="D44" s="82">
        <v>21.128895607459796</v>
      </c>
      <c r="E44" s="82">
        <v>20.690349659249247</v>
      </c>
      <c r="F44" s="27"/>
      <c r="G44" s="158">
        <v>-11.251732845117047</v>
      </c>
      <c r="H44" s="159">
        <v>-2.0755743999024645</v>
      </c>
    </row>
    <row r="45" spans="1:8" x14ac:dyDescent="0.2">
      <c r="A45" s="160" t="s">
        <v>200</v>
      </c>
      <c r="B45" s="161" t="s">
        <v>3</v>
      </c>
      <c r="C45" s="80">
        <v>17.769426878118146</v>
      </c>
      <c r="D45" s="80">
        <v>18.10926248148315</v>
      </c>
      <c r="E45" s="80">
        <v>12.235920119832967</v>
      </c>
      <c r="F45" s="22" t="s">
        <v>241</v>
      </c>
      <c r="G45" s="166">
        <v>-31.14060344343082</v>
      </c>
      <c r="H45" s="163">
        <v>-32.432808170159973</v>
      </c>
    </row>
    <row r="46" spans="1:8" x14ac:dyDescent="0.2">
      <c r="A46" s="160"/>
      <c r="B46" s="157" t="s">
        <v>242</v>
      </c>
      <c r="C46" s="82">
        <v>10.636737487106004</v>
      </c>
      <c r="D46" s="82">
        <v>9.5815702725319607</v>
      </c>
      <c r="E46" s="82">
        <v>6.7346386658498494</v>
      </c>
      <c r="F46" s="27"/>
      <c r="G46" s="158">
        <v>-36.685109752744495</v>
      </c>
      <c r="H46" s="159">
        <v>-29.712578687061068</v>
      </c>
    </row>
    <row r="47" spans="1:8" x14ac:dyDescent="0.2">
      <c r="A47" s="168" t="s">
        <v>201</v>
      </c>
      <c r="B47" s="161" t="s">
        <v>3</v>
      </c>
      <c r="C47" s="80">
        <v>7.2138101781181456</v>
      </c>
      <c r="D47" s="80">
        <v>7.8396207614831468</v>
      </c>
      <c r="E47" s="80">
        <v>8.2992514171577021</v>
      </c>
      <c r="F47" s="22" t="s">
        <v>241</v>
      </c>
      <c r="G47" s="155">
        <v>15.046711962730257</v>
      </c>
      <c r="H47" s="156">
        <v>5.8629195168823429</v>
      </c>
    </row>
    <row r="48" spans="1:8" x14ac:dyDescent="0.2">
      <c r="A48" s="164"/>
      <c r="B48" s="157" t="s">
        <v>242</v>
      </c>
      <c r="C48" s="82">
        <v>3.626256047106005</v>
      </c>
      <c r="D48" s="82">
        <v>4.2383422981319603</v>
      </c>
      <c r="E48" s="82">
        <v>4.3766975558498489</v>
      </c>
      <c r="F48" s="27"/>
      <c r="G48" s="167">
        <v>20.694664110736099</v>
      </c>
      <c r="H48" s="156">
        <v>3.2643719639838622</v>
      </c>
    </row>
    <row r="49" spans="1:9" x14ac:dyDescent="0.2">
      <c r="A49" s="168" t="s">
        <v>202</v>
      </c>
      <c r="B49" s="161" t="s">
        <v>3</v>
      </c>
      <c r="C49" s="80">
        <v>19.561452178118145</v>
      </c>
      <c r="D49" s="80">
        <v>5.8936577614831469</v>
      </c>
      <c r="E49" s="80">
        <v>9.665173931218078</v>
      </c>
      <c r="F49" s="22" t="s">
        <v>241</v>
      </c>
      <c r="G49" s="166">
        <v>-50.590713597277066</v>
      </c>
      <c r="H49" s="163">
        <v>63.992792292469716</v>
      </c>
    </row>
    <row r="50" spans="1:9" x14ac:dyDescent="0.2">
      <c r="A50" s="164"/>
      <c r="B50" s="157" t="s">
        <v>242</v>
      </c>
      <c r="C50" s="82">
        <v>3.5729880471060049</v>
      </c>
      <c r="D50" s="82">
        <v>3.8544402981319603</v>
      </c>
      <c r="E50" s="82">
        <v>3.3980735558498489</v>
      </c>
      <c r="F50" s="27"/>
      <c r="G50" s="158">
        <v>-4.8954681333969461</v>
      </c>
      <c r="H50" s="159">
        <v>-11.840026229055553</v>
      </c>
    </row>
    <row r="51" spans="1:9" x14ac:dyDescent="0.2">
      <c r="A51" s="168" t="s">
        <v>203</v>
      </c>
      <c r="B51" s="161" t="s">
        <v>3</v>
      </c>
      <c r="C51" s="80">
        <v>59.653928890590727</v>
      </c>
      <c r="D51" s="80">
        <v>69.598649807415725</v>
      </c>
      <c r="E51" s="80">
        <v>85.03481664985641</v>
      </c>
      <c r="F51" s="22" t="s">
        <v>241</v>
      </c>
      <c r="G51" s="166">
        <v>42.546883719622087</v>
      </c>
      <c r="H51" s="163">
        <v>22.17883088990034</v>
      </c>
    </row>
    <row r="52" spans="1:9" x14ac:dyDescent="0.2">
      <c r="A52" s="164"/>
      <c r="B52" s="157" t="s">
        <v>242</v>
      </c>
      <c r="C52" s="82">
        <v>42.439577235530031</v>
      </c>
      <c r="D52" s="82">
        <v>31.362427962659797</v>
      </c>
      <c r="E52" s="82">
        <v>43.652623779249254</v>
      </c>
      <c r="F52" s="27"/>
      <c r="G52" s="158">
        <v>2.8582908283630815</v>
      </c>
      <c r="H52" s="159">
        <v>39.187641439056307</v>
      </c>
    </row>
    <row r="53" spans="1:9" x14ac:dyDescent="0.2">
      <c r="A53" s="160" t="s">
        <v>24</v>
      </c>
      <c r="B53" s="161" t="s">
        <v>3</v>
      </c>
      <c r="C53" s="80">
        <v>211.52216024550012</v>
      </c>
      <c r="D53" s="80">
        <v>229.58613730200133</v>
      </c>
      <c r="E53" s="80">
        <v>227.85990921531234</v>
      </c>
      <c r="F53" s="22" t="s">
        <v>241</v>
      </c>
      <c r="G53" s="155">
        <v>7.7238947214088824</v>
      </c>
      <c r="H53" s="156">
        <v>-0.75188689830095257</v>
      </c>
      <c r="I53" s="169"/>
    </row>
    <row r="54" spans="1:9" ht="13.5" thickBot="1" x14ac:dyDescent="0.25">
      <c r="A54" s="170"/>
      <c r="B54" s="171" t="s">
        <v>242</v>
      </c>
      <c r="C54" s="86">
        <v>86.640052089272061</v>
      </c>
      <c r="D54" s="86">
        <v>118.48785709053035</v>
      </c>
      <c r="E54" s="86">
        <v>108.21856368578393</v>
      </c>
      <c r="F54" s="44"/>
      <c r="G54" s="172">
        <v>24.905931005532906</v>
      </c>
      <c r="H54" s="173">
        <v>-8.6669585026760956</v>
      </c>
      <c r="I54" s="169"/>
    </row>
    <row r="55" spans="1:9" x14ac:dyDescent="0.2">
      <c r="A55" s="176"/>
      <c r="B55" s="177"/>
      <c r="C55" s="21"/>
      <c r="D55" s="21"/>
      <c r="E55" s="21"/>
      <c r="F55" s="63"/>
      <c r="G55" s="167"/>
      <c r="H55" s="175"/>
      <c r="I55" s="169"/>
    </row>
    <row r="56" spans="1:9" x14ac:dyDescent="0.2">
      <c r="A56" s="176"/>
      <c r="B56" s="177"/>
      <c r="C56" s="21"/>
      <c r="D56" s="21"/>
      <c r="E56" s="21"/>
      <c r="F56" s="63"/>
      <c r="G56" s="167"/>
      <c r="H56" s="175"/>
      <c r="I56" s="169"/>
    </row>
    <row r="57" spans="1:9" x14ac:dyDescent="0.2">
      <c r="A57" s="176"/>
      <c r="B57" s="177"/>
      <c r="C57" s="21"/>
      <c r="D57" s="21"/>
      <c r="E57" s="21"/>
      <c r="F57" s="63"/>
      <c r="G57" s="167"/>
      <c r="H57" s="175"/>
      <c r="I57" s="169"/>
    </row>
    <row r="58" spans="1:9" x14ac:dyDescent="0.2">
      <c r="A58" s="176"/>
      <c r="B58" s="177"/>
      <c r="C58" s="21"/>
      <c r="D58" s="21"/>
      <c r="E58" s="21"/>
      <c r="F58" s="63"/>
      <c r="G58" s="167"/>
      <c r="H58" s="175"/>
      <c r="I58" s="169"/>
    </row>
    <row r="59" spans="1:9" x14ac:dyDescent="0.2">
      <c r="A59" s="178"/>
      <c r="B59" s="179"/>
      <c r="C59" s="49"/>
      <c r="D59" s="49"/>
      <c r="E59" s="49"/>
      <c r="F59" s="49"/>
      <c r="G59" s="180"/>
      <c r="H59" s="181"/>
      <c r="I59" s="169"/>
    </row>
    <row r="60" spans="1:9" x14ac:dyDescent="0.2">
      <c r="A60" s="182"/>
      <c r="B60" s="182"/>
      <c r="C60" s="182"/>
      <c r="D60" s="182"/>
      <c r="E60" s="182"/>
      <c r="F60" s="182"/>
      <c r="G60" s="182"/>
      <c r="H60" s="182"/>
    </row>
    <row r="61" spans="1:9" ht="12.75" customHeight="1" x14ac:dyDescent="0.2">
      <c r="A61" s="183" t="s">
        <v>243</v>
      </c>
      <c r="G61" s="184"/>
      <c r="H61" s="209">
        <v>21</v>
      </c>
    </row>
    <row r="62" spans="1:9" ht="12.75" customHeight="1" x14ac:dyDescent="0.2">
      <c r="A62" s="183" t="s">
        <v>244</v>
      </c>
      <c r="G62" s="184"/>
      <c r="H62" s="210"/>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8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37" customWidth="1"/>
    <col min="2" max="2" width="8.140625" style="137" customWidth="1"/>
    <col min="3" max="4" width="10.42578125" style="137" customWidth="1"/>
    <col min="5" max="5" width="9.85546875" style="137" customWidth="1"/>
    <col min="6" max="6" width="1.5703125" style="137" customWidth="1"/>
    <col min="7" max="7" width="7.5703125" style="137" customWidth="1"/>
    <col min="8" max="8" width="8.85546875" style="137" customWidth="1"/>
    <col min="9" max="16384" width="11.42578125" style="137"/>
  </cols>
  <sheetData>
    <row r="1" spans="1:8" ht="5.25" customHeight="1" x14ac:dyDescent="0.2"/>
    <row r="2" spans="1:8" x14ac:dyDescent="0.2">
      <c r="A2" s="95" t="s">
        <v>0</v>
      </c>
      <c r="B2" s="138"/>
      <c r="C2" s="138"/>
      <c r="D2" s="138"/>
      <c r="E2" s="138"/>
      <c r="F2" s="138"/>
      <c r="G2" s="138"/>
    </row>
    <row r="3" spans="1:8" ht="6" customHeight="1" x14ac:dyDescent="0.2">
      <c r="A3" s="3"/>
      <c r="B3" s="138"/>
      <c r="C3" s="138"/>
      <c r="D3" s="138"/>
      <c r="E3" s="138"/>
      <c r="F3" s="138"/>
      <c r="G3" s="138"/>
    </row>
    <row r="4" spans="1:8" ht="16.5" thickBot="1" x14ac:dyDescent="0.3">
      <c r="A4" s="139" t="s">
        <v>217</v>
      </c>
      <c r="B4" s="140"/>
      <c r="C4" s="140"/>
      <c r="D4" s="140"/>
      <c r="E4" s="140"/>
      <c r="F4" s="140"/>
      <c r="G4" s="140"/>
      <c r="H4" s="141"/>
    </row>
    <row r="5" spans="1:8" x14ac:dyDescent="0.2">
      <c r="A5" s="142"/>
      <c r="B5" s="143"/>
      <c r="C5" s="144"/>
      <c r="D5" s="143"/>
      <c r="E5" s="145"/>
      <c r="F5" s="146"/>
      <c r="G5" s="211" t="s">
        <v>1</v>
      </c>
      <c r="H5" s="212"/>
    </row>
    <row r="6" spans="1:8" x14ac:dyDescent="0.2">
      <c r="A6" s="147"/>
      <c r="B6" s="148"/>
      <c r="C6" s="149" t="s">
        <v>236</v>
      </c>
      <c r="D6" s="150" t="s">
        <v>237</v>
      </c>
      <c r="E6" s="150" t="s">
        <v>238</v>
      </c>
      <c r="F6" s="151"/>
      <c r="G6" s="152" t="s">
        <v>239</v>
      </c>
      <c r="H6" s="153" t="s">
        <v>240</v>
      </c>
    </row>
    <row r="7" spans="1:8" ht="12.75" customHeight="1" x14ac:dyDescent="0.2">
      <c r="A7" s="213" t="s">
        <v>204</v>
      </c>
      <c r="B7" s="154" t="s">
        <v>3</v>
      </c>
      <c r="C7" s="20">
        <v>978</v>
      </c>
      <c r="D7" s="20">
        <v>1154</v>
      </c>
      <c r="E7" s="79">
        <v>1126.4242776539882</v>
      </c>
      <c r="F7" s="22" t="s">
        <v>241</v>
      </c>
      <c r="G7" s="155">
        <v>15.176306508587743</v>
      </c>
      <c r="H7" s="156">
        <v>-2.3895773263441811</v>
      </c>
    </row>
    <row r="8" spans="1:8" ht="12.75" customHeight="1" x14ac:dyDescent="0.2">
      <c r="A8" s="214"/>
      <c r="B8" s="157" t="s">
        <v>242</v>
      </c>
      <c r="C8" s="26">
        <v>475</v>
      </c>
      <c r="D8" s="26">
        <v>844.51363636363635</v>
      </c>
      <c r="E8" s="26">
        <v>705.20795454545453</v>
      </c>
      <c r="F8" s="27"/>
      <c r="G8" s="158">
        <v>48.464832535885165</v>
      </c>
      <c r="H8" s="159">
        <v>-16.495373883838468</v>
      </c>
    </row>
    <row r="9" spans="1:8" x14ac:dyDescent="0.2">
      <c r="A9" s="160" t="s">
        <v>205</v>
      </c>
      <c r="B9" s="161" t="s">
        <v>3</v>
      </c>
      <c r="C9" s="20">
        <v>355</v>
      </c>
      <c r="D9" s="20">
        <v>395</v>
      </c>
      <c r="E9" s="20">
        <v>364.854184435457</v>
      </c>
      <c r="F9" s="22" t="s">
        <v>241</v>
      </c>
      <c r="G9" s="162">
        <v>2.7758266015371902</v>
      </c>
      <c r="H9" s="163">
        <v>-7.6318520416564439</v>
      </c>
    </row>
    <row r="10" spans="1:8" x14ac:dyDescent="0.2">
      <c r="A10" s="164"/>
      <c r="B10" s="157" t="s">
        <v>242</v>
      </c>
      <c r="C10" s="26">
        <v>188</v>
      </c>
      <c r="D10" s="26">
        <v>297.45939999999996</v>
      </c>
      <c r="E10" s="26">
        <v>240.87434999999999</v>
      </c>
      <c r="F10" s="27"/>
      <c r="G10" s="165">
        <v>28.124654255319143</v>
      </c>
      <c r="H10" s="159">
        <v>-19.022780924052157</v>
      </c>
    </row>
    <row r="11" spans="1:8" x14ac:dyDescent="0.2">
      <c r="A11" s="160" t="s">
        <v>206</v>
      </c>
      <c r="B11" s="161" t="s">
        <v>3</v>
      </c>
      <c r="C11" s="20">
        <v>98</v>
      </c>
      <c r="D11" s="20">
        <v>114</v>
      </c>
      <c r="E11" s="20">
        <v>105.84652068123066</v>
      </c>
      <c r="F11" s="22" t="s">
        <v>241</v>
      </c>
      <c r="G11" s="166">
        <v>8.0066537563578066</v>
      </c>
      <c r="H11" s="163">
        <v>-7.1521748410257402</v>
      </c>
    </row>
    <row r="12" spans="1:8" x14ac:dyDescent="0.2">
      <c r="A12" s="164"/>
      <c r="B12" s="157" t="s">
        <v>242</v>
      </c>
      <c r="C12" s="26">
        <v>49</v>
      </c>
      <c r="D12" s="26">
        <v>102.81979999999999</v>
      </c>
      <c r="E12" s="26">
        <v>75.291449999999998</v>
      </c>
      <c r="F12" s="27"/>
      <c r="G12" s="158">
        <v>53.656020408163272</v>
      </c>
      <c r="H12" s="159">
        <v>-26.773393840485966</v>
      </c>
    </row>
    <row r="13" spans="1:8" x14ac:dyDescent="0.2">
      <c r="A13" s="160" t="s">
        <v>207</v>
      </c>
      <c r="B13" s="161" t="s">
        <v>3</v>
      </c>
      <c r="C13" s="20">
        <v>51</v>
      </c>
      <c r="D13" s="20">
        <v>74</v>
      </c>
      <c r="E13" s="20">
        <v>33.717787784595082</v>
      </c>
      <c r="F13" s="22" t="s">
        <v>241</v>
      </c>
      <c r="G13" s="155">
        <v>-33.886690618441023</v>
      </c>
      <c r="H13" s="156">
        <v>-54.435421912709344</v>
      </c>
    </row>
    <row r="14" spans="1:8" x14ac:dyDescent="0.2">
      <c r="A14" s="164"/>
      <c r="B14" s="157" t="s">
        <v>242</v>
      </c>
      <c r="C14" s="26">
        <v>27</v>
      </c>
      <c r="D14" s="26">
        <v>51.516499999999994</v>
      </c>
      <c r="E14" s="26">
        <v>21.242874999999998</v>
      </c>
      <c r="F14" s="27"/>
      <c r="G14" s="167">
        <v>-21.322685185185193</v>
      </c>
      <c r="H14" s="156">
        <v>-58.76491027146642</v>
      </c>
    </row>
    <row r="15" spans="1:8" x14ac:dyDescent="0.2">
      <c r="A15" s="160" t="s">
        <v>208</v>
      </c>
      <c r="B15" s="161" t="s">
        <v>3</v>
      </c>
      <c r="C15" s="20">
        <v>4</v>
      </c>
      <c r="D15" s="20">
        <v>7</v>
      </c>
      <c r="E15" s="20">
        <v>3.2937390306085486</v>
      </c>
      <c r="F15" s="22" t="s">
        <v>241</v>
      </c>
      <c r="G15" s="166">
        <v>-17.656524234786289</v>
      </c>
      <c r="H15" s="163">
        <v>-52.946585277020738</v>
      </c>
    </row>
    <row r="16" spans="1:8" x14ac:dyDescent="0.2">
      <c r="A16" s="164"/>
      <c r="B16" s="157" t="s">
        <v>242</v>
      </c>
      <c r="C16" s="26">
        <v>1</v>
      </c>
      <c r="D16" s="26">
        <v>34.516499999999994</v>
      </c>
      <c r="E16" s="26">
        <v>2.2428749999999997</v>
      </c>
      <c r="F16" s="27"/>
      <c r="G16" s="158">
        <v>124.28749999999997</v>
      </c>
      <c r="H16" s="159">
        <v>-93.502020772673944</v>
      </c>
    </row>
    <row r="17" spans="1:9" x14ac:dyDescent="0.2">
      <c r="A17" s="160" t="s">
        <v>209</v>
      </c>
      <c r="B17" s="161" t="s">
        <v>3</v>
      </c>
      <c r="C17" s="20">
        <v>49</v>
      </c>
      <c r="D17" s="20">
        <v>46</v>
      </c>
      <c r="E17" s="20">
        <v>46.288067044376859</v>
      </c>
      <c r="F17" s="22" t="s">
        <v>241</v>
      </c>
      <c r="G17" s="166">
        <v>-5.534557052292115</v>
      </c>
      <c r="H17" s="163">
        <v>0.62623270516708374</v>
      </c>
    </row>
    <row r="18" spans="1:9" x14ac:dyDescent="0.2">
      <c r="A18" s="164"/>
      <c r="B18" s="157" t="s">
        <v>242</v>
      </c>
      <c r="C18" s="26">
        <v>25</v>
      </c>
      <c r="D18" s="26">
        <v>32.758249999999997</v>
      </c>
      <c r="E18" s="26">
        <v>29.121437499999999</v>
      </c>
      <c r="F18" s="27"/>
      <c r="G18" s="158">
        <v>16.485749999999982</v>
      </c>
      <c r="H18" s="159">
        <v>-11.101974311814573</v>
      </c>
    </row>
    <row r="19" spans="1:9" x14ac:dyDescent="0.2">
      <c r="A19" s="160" t="s">
        <v>210</v>
      </c>
      <c r="B19" s="161" t="s">
        <v>3</v>
      </c>
      <c r="C19" s="20">
        <v>441</v>
      </c>
      <c r="D19" s="20">
        <v>546</v>
      </c>
      <c r="E19" s="20">
        <v>596.06031357310496</v>
      </c>
      <c r="F19" s="22" t="s">
        <v>241</v>
      </c>
      <c r="G19" s="155">
        <v>35.161068837438762</v>
      </c>
      <c r="H19" s="156">
        <v>9.1685555994697694</v>
      </c>
    </row>
    <row r="20" spans="1:9" ht="13.5" thickBot="1" x14ac:dyDescent="0.25">
      <c r="A20" s="170"/>
      <c r="B20" s="171" t="s">
        <v>242</v>
      </c>
      <c r="C20" s="43">
        <v>195</v>
      </c>
      <c r="D20" s="43">
        <v>359.79124999999999</v>
      </c>
      <c r="E20" s="43">
        <v>337.60718750000001</v>
      </c>
      <c r="F20" s="44"/>
      <c r="G20" s="172">
        <v>73.131891025641039</v>
      </c>
      <c r="H20" s="173">
        <v>-6.1658148996119166</v>
      </c>
    </row>
    <row r="25" spans="1:9" x14ac:dyDescent="0.2">
      <c r="I25" s="169"/>
    </row>
    <row r="26" spans="1:9" x14ac:dyDescent="0.2">
      <c r="I26" s="169"/>
    </row>
    <row r="27" spans="1:9" x14ac:dyDescent="0.2">
      <c r="A27" s="174"/>
      <c r="B27" s="174"/>
      <c r="C27" s="64"/>
      <c r="D27" s="64"/>
      <c r="E27" s="21"/>
      <c r="F27" s="59"/>
      <c r="G27" s="167"/>
      <c r="H27" s="175"/>
      <c r="I27" s="169"/>
    </row>
    <row r="28" spans="1:9" x14ac:dyDescent="0.2">
      <c r="A28" s="174"/>
      <c r="B28" s="174"/>
      <c r="C28" s="64"/>
      <c r="D28" s="64"/>
      <c r="E28" s="21"/>
      <c r="F28" s="59"/>
      <c r="G28" s="167"/>
      <c r="H28" s="175"/>
      <c r="I28" s="169"/>
    </row>
    <row r="29" spans="1:9" x14ac:dyDescent="0.2">
      <c r="A29" s="174"/>
      <c r="B29" s="174"/>
      <c r="C29" s="64"/>
      <c r="D29" s="64"/>
      <c r="E29" s="21"/>
      <c r="F29" s="59"/>
      <c r="G29" s="167"/>
      <c r="H29" s="175"/>
      <c r="I29" s="169"/>
    </row>
    <row r="30" spans="1:9" x14ac:dyDescent="0.2">
      <c r="A30" s="176"/>
      <c r="B30" s="177"/>
      <c r="C30" s="21"/>
      <c r="D30" s="21"/>
      <c r="E30" s="21"/>
      <c r="F30" s="63"/>
      <c r="G30" s="167"/>
      <c r="H30" s="175"/>
      <c r="I30" s="169"/>
    </row>
    <row r="31" spans="1:9" x14ac:dyDescent="0.2">
      <c r="A31" s="178"/>
      <c r="B31" s="179"/>
      <c r="C31" s="49"/>
      <c r="D31" s="55"/>
      <c r="E31" s="49"/>
      <c r="F31" s="49"/>
      <c r="G31" s="180"/>
      <c r="H31" s="181"/>
      <c r="I31" s="169"/>
    </row>
    <row r="32" spans="1:9" ht="16.5" thickBot="1" x14ac:dyDescent="0.3">
      <c r="A32" s="139" t="s">
        <v>218</v>
      </c>
      <c r="B32" s="140"/>
      <c r="C32" s="140"/>
      <c r="D32" s="140"/>
      <c r="E32" s="140"/>
      <c r="F32" s="140"/>
      <c r="G32" s="140"/>
      <c r="H32" s="141"/>
    </row>
    <row r="33" spans="1:8" x14ac:dyDescent="0.2">
      <c r="A33" s="142"/>
      <c r="B33" s="143"/>
      <c r="C33" s="215" t="s">
        <v>16</v>
      </c>
      <c r="D33" s="211"/>
      <c r="E33" s="211"/>
      <c r="F33" s="216"/>
      <c r="G33" s="211" t="s">
        <v>1</v>
      </c>
      <c r="H33" s="212"/>
    </row>
    <row r="34" spans="1:8" x14ac:dyDescent="0.2">
      <c r="A34" s="147"/>
      <c r="B34" s="148"/>
      <c r="C34" s="149" t="s">
        <v>236</v>
      </c>
      <c r="D34" s="150" t="s">
        <v>237</v>
      </c>
      <c r="E34" s="150" t="s">
        <v>238</v>
      </c>
      <c r="F34" s="151"/>
      <c r="G34" s="152" t="s">
        <v>239</v>
      </c>
      <c r="H34" s="153" t="s">
        <v>240</v>
      </c>
    </row>
    <row r="35" spans="1:8" ht="12.75" customHeight="1" x14ac:dyDescent="0.2">
      <c r="A35" s="213" t="s">
        <v>204</v>
      </c>
      <c r="B35" s="154" t="s">
        <v>3</v>
      </c>
      <c r="C35" s="80">
        <v>415.12542028118128</v>
      </c>
      <c r="D35" s="80">
        <v>442.39533603703228</v>
      </c>
      <c r="E35" s="81">
        <v>344.09072734829715</v>
      </c>
      <c r="F35" s="22" t="s">
        <v>241</v>
      </c>
      <c r="G35" s="155">
        <v>-17.11162204539761</v>
      </c>
      <c r="H35" s="156">
        <v>-22.220986678870901</v>
      </c>
    </row>
    <row r="36" spans="1:8" ht="12.75" customHeight="1" x14ac:dyDescent="0.2">
      <c r="A36" s="214"/>
      <c r="B36" s="157" t="s">
        <v>242</v>
      </c>
      <c r="C36" s="82">
        <v>212.16774110248721</v>
      </c>
      <c r="D36" s="82">
        <v>305.44484908385783</v>
      </c>
      <c r="E36" s="82">
        <v>212.69408358968531</v>
      </c>
      <c r="F36" s="27"/>
      <c r="G36" s="158">
        <v>0.24807847058325194</v>
      </c>
      <c r="H36" s="159">
        <v>-30.365797875579304</v>
      </c>
    </row>
    <row r="37" spans="1:8" x14ac:dyDescent="0.2">
      <c r="A37" s="160" t="s">
        <v>205</v>
      </c>
      <c r="B37" s="161" t="s">
        <v>3</v>
      </c>
      <c r="C37" s="80">
        <v>207.30359711746152</v>
      </c>
      <c r="D37" s="80">
        <v>232.1911615007381</v>
      </c>
      <c r="E37" s="80">
        <v>169.94378368950515</v>
      </c>
      <c r="F37" s="22" t="s">
        <v>241</v>
      </c>
      <c r="G37" s="162">
        <v>-18.021787343510354</v>
      </c>
      <c r="H37" s="163">
        <v>-26.808676699364824</v>
      </c>
    </row>
    <row r="38" spans="1:8" x14ac:dyDescent="0.2">
      <c r="A38" s="164"/>
      <c r="B38" s="157" t="s">
        <v>242</v>
      </c>
      <c r="C38" s="82">
        <v>109.38435957739284</v>
      </c>
      <c r="D38" s="82">
        <v>158.97942792696037</v>
      </c>
      <c r="E38" s="82">
        <v>105.85745319022379</v>
      </c>
      <c r="F38" s="27"/>
      <c r="G38" s="165">
        <v>-3.2243242094164799</v>
      </c>
      <c r="H38" s="159">
        <v>-33.414370292703722</v>
      </c>
    </row>
    <row r="39" spans="1:8" x14ac:dyDescent="0.2">
      <c r="A39" s="160" t="s">
        <v>206</v>
      </c>
      <c r="B39" s="161" t="s">
        <v>3</v>
      </c>
      <c r="C39" s="80">
        <v>50.908147267800821</v>
      </c>
      <c r="D39" s="80">
        <v>61.2755973662955</v>
      </c>
      <c r="E39" s="80">
        <v>42.043045269156579</v>
      </c>
      <c r="F39" s="22" t="s">
        <v>241</v>
      </c>
      <c r="G39" s="166">
        <v>-17.413915992679193</v>
      </c>
      <c r="H39" s="163">
        <v>-31.386967934673677</v>
      </c>
    </row>
    <row r="40" spans="1:8" x14ac:dyDescent="0.2">
      <c r="A40" s="164"/>
      <c r="B40" s="157" t="s">
        <v>242</v>
      </c>
      <c r="C40" s="82">
        <v>25.788907907422828</v>
      </c>
      <c r="D40" s="82">
        <v>45.311137424255826</v>
      </c>
      <c r="E40" s="82">
        <v>26.958203870246503</v>
      </c>
      <c r="F40" s="27"/>
      <c r="G40" s="158">
        <v>4.5341042242704503</v>
      </c>
      <c r="H40" s="159">
        <v>-40.504243762781122</v>
      </c>
    </row>
    <row r="41" spans="1:8" x14ac:dyDescent="0.2">
      <c r="A41" s="160" t="s">
        <v>207</v>
      </c>
      <c r="B41" s="161" t="s">
        <v>3</v>
      </c>
      <c r="C41" s="80">
        <v>28.439677639682692</v>
      </c>
      <c r="D41" s="80">
        <v>32.595159562592265</v>
      </c>
      <c r="E41" s="80">
        <v>24.459403430156698</v>
      </c>
      <c r="F41" s="22" t="s">
        <v>241</v>
      </c>
      <c r="G41" s="155">
        <v>-13.99549692494476</v>
      </c>
      <c r="H41" s="156">
        <v>-24.960013209361747</v>
      </c>
    </row>
    <row r="42" spans="1:8" x14ac:dyDescent="0.2">
      <c r="A42" s="164"/>
      <c r="B42" s="157" t="s">
        <v>242</v>
      </c>
      <c r="C42" s="82">
        <v>13.750814197174106</v>
      </c>
      <c r="D42" s="82">
        <v>15.82573211587005</v>
      </c>
      <c r="E42" s="82">
        <v>11.859145711277971</v>
      </c>
      <c r="F42" s="27"/>
      <c r="G42" s="167">
        <v>-13.756774390020382</v>
      </c>
      <c r="H42" s="156">
        <v>-25.064157383369235</v>
      </c>
    </row>
    <row r="43" spans="1:8" x14ac:dyDescent="0.2">
      <c r="A43" s="160" t="s">
        <v>208</v>
      </c>
      <c r="B43" s="161" t="s">
        <v>3</v>
      </c>
      <c r="C43" s="80">
        <v>2.426936662811813</v>
      </c>
      <c r="D43" s="80">
        <v>3.1888580803703235</v>
      </c>
      <c r="E43" s="80">
        <v>2.5710321883357126</v>
      </c>
      <c r="F43" s="22" t="s">
        <v>241</v>
      </c>
      <c r="G43" s="166">
        <v>5.9373418240322877</v>
      </c>
      <c r="H43" s="163">
        <v>-19.374518290348703</v>
      </c>
    </row>
    <row r="44" spans="1:8" x14ac:dyDescent="0.2">
      <c r="A44" s="164"/>
      <c r="B44" s="157" t="s">
        <v>242</v>
      </c>
      <c r="C44" s="82">
        <v>1.0641951710248725</v>
      </c>
      <c r="D44" s="82">
        <v>4.5171467308385775</v>
      </c>
      <c r="E44" s="82">
        <v>2.0888958158968531</v>
      </c>
      <c r="F44" s="27"/>
      <c r="G44" s="158">
        <v>96.288789196923659</v>
      </c>
      <c r="H44" s="159">
        <v>-53.756299266615507</v>
      </c>
    </row>
    <row r="45" spans="1:8" x14ac:dyDescent="0.2">
      <c r="A45" s="160" t="s">
        <v>209</v>
      </c>
      <c r="B45" s="161" t="s">
        <v>3</v>
      </c>
      <c r="C45" s="80">
        <v>21.842891314059063</v>
      </c>
      <c r="D45" s="80">
        <v>21.25976840185162</v>
      </c>
      <c r="E45" s="80">
        <v>22.009913902388504</v>
      </c>
      <c r="F45" s="22" t="s">
        <v>241</v>
      </c>
      <c r="G45" s="166">
        <v>0.76465421142273726</v>
      </c>
      <c r="H45" s="163">
        <v>3.5284744704535456</v>
      </c>
    </row>
    <row r="46" spans="1:8" x14ac:dyDescent="0.2">
      <c r="A46" s="164"/>
      <c r="B46" s="157" t="s">
        <v>242</v>
      </c>
      <c r="C46" s="82">
        <v>12.270654855124361</v>
      </c>
      <c r="D46" s="82">
        <v>13.21511165419289</v>
      </c>
      <c r="E46" s="82">
        <v>13.212329079484263</v>
      </c>
      <c r="F46" s="27"/>
      <c r="G46" s="158">
        <v>7.6741969803400423</v>
      </c>
      <c r="H46" s="159">
        <v>-2.1056006043991715E-2</v>
      </c>
    </row>
    <row r="47" spans="1:8" x14ac:dyDescent="0.2">
      <c r="A47" s="160" t="s">
        <v>210</v>
      </c>
      <c r="B47" s="161" t="s">
        <v>3</v>
      </c>
      <c r="C47" s="80">
        <v>104.20417027936537</v>
      </c>
      <c r="D47" s="80">
        <v>91.884791125184549</v>
      </c>
      <c r="E47" s="80">
        <v>84.463557306472879</v>
      </c>
      <c r="F47" s="22" t="s">
        <v>241</v>
      </c>
      <c r="G47" s="155">
        <v>-18.944167896514159</v>
      </c>
      <c r="H47" s="156">
        <v>-8.0766726765487533</v>
      </c>
    </row>
    <row r="48" spans="1:8" ht="13.5" thickBot="1" x14ac:dyDescent="0.25">
      <c r="A48" s="170"/>
      <c r="B48" s="171" t="s">
        <v>242</v>
      </c>
      <c r="C48" s="86">
        <v>49.908809394348211</v>
      </c>
      <c r="D48" s="86">
        <v>67.596293231740091</v>
      </c>
      <c r="E48" s="86">
        <v>52.718055922555948</v>
      </c>
      <c r="F48" s="44"/>
      <c r="G48" s="172">
        <v>5.6287588549965903</v>
      </c>
      <c r="H48" s="173">
        <v>-22.010433705554149</v>
      </c>
    </row>
    <row r="53" spans="1:9" x14ac:dyDescent="0.2">
      <c r="I53" s="169"/>
    </row>
    <row r="54" spans="1:9" x14ac:dyDescent="0.2">
      <c r="I54" s="169"/>
    </row>
    <row r="55" spans="1:9" x14ac:dyDescent="0.2">
      <c r="A55" s="176"/>
      <c r="B55" s="177"/>
      <c r="C55" s="21"/>
      <c r="D55" s="21"/>
      <c r="E55" s="21"/>
      <c r="F55" s="63"/>
      <c r="G55" s="167"/>
      <c r="H55" s="175"/>
      <c r="I55" s="169"/>
    </row>
    <row r="56" spans="1:9" x14ac:dyDescent="0.2">
      <c r="A56" s="176"/>
      <c r="B56" s="177"/>
      <c r="C56" s="21"/>
      <c r="D56" s="21"/>
      <c r="E56" s="21"/>
      <c r="F56" s="63"/>
      <c r="G56" s="167"/>
      <c r="H56" s="175"/>
      <c r="I56" s="169"/>
    </row>
    <row r="57" spans="1:9" x14ac:dyDescent="0.2">
      <c r="A57" s="176"/>
      <c r="B57" s="177"/>
      <c r="C57" s="21"/>
      <c r="D57" s="21"/>
      <c r="E57" s="21"/>
      <c r="F57" s="63"/>
      <c r="G57" s="167"/>
      <c r="H57" s="175"/>
      <c r="I57" s="169"/>
    </row>
    <row r="58" spans="1:9" x14ac:dyDescent="0.2">
      <c r="A58" s="176"/>
      <c r="B58" s="177"/>
      <c r="C58" s="21"/>
      <c r="D58" s="21"/>
      <c r="E58" s="21"/>
      <c r="F58" s="63"/>
      <c r="G58" s="167"/>
      <c r="H58" s="175"/>
      <c r="I58" s="169"/>
    </row>
    <row r="59" spans="1:9" x14ac:dyDescent="0.2">
      <c r="A59" s="178"/>
      <c r="B59" s="179"/>
      <c r="C59" s="49"/>
      <c r="D59" s="49"/>
      <c r="E59" s="49"/>
      <c r="F59" s="49"/>
      <c r="G59" s="180"/>
      <c r="H59" s="181"/>
      <c r="I59" s="169"/>
    </row>
    <row r="60" spans="1:9" x14ac:dyDescent="0.2">
      <c r="A60" s="182"/>
      <c r="B60" s="182"/>
      <c r="C60" s="182"/>
      <c r="D60" s="182"/>
      <c r="E60" s="182"/>
      <c r="F60" s="182"/>
      <c r="G60" s="182"/>
      <c r="H60" s="182"/>
    </row>
    <row r="61" spans="1:9" ht="12.75" customHeight="1" x14ac:dyDescent="0.2">
      <c r="A61" s="183" t="s">
        <v>243</v>
      </c>
      <c r="G61" s="184"/>
      <c r="H61" s="209">
        <v>22</v>
      </c>
    </row>
    <row r="62" spans="1:9" ht="12.75" customHeight="1" x14ac:dyDescent="0.2">
      <c r="A62" s="183" t="s">
        <v>244</v>
      </c>
      <c r="G62" s="184"/>
      <c r="H62" s="210"/>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37" customWidth="1"/>
    <col min="2" max="2" width="8.140625" style="137" customWidth="1"/>
    <col min="3" max="4" width="10.42578125" style="137" customWidth="1"/>
    <col min="5" max="5" width="9.85546875" style="137" customWidth="1"/>
    <col min="6" max="6" width="1.5703125" style="137" customWidth="1"/>
    <col min="7" max="7" width="7.5703125" style="137" customWidth="1"/>
    <col min="8" max="8" width="8.85546875" style="137" customWidth="1"/>
    <col min="9" max="16384" width="11.42578125" style="137"/>
  </cols>
  <sheetData>
    <row r="1" spans="1:8" ht="5.25" customHeight="1" x14ac:dyDescent="0.2"/>
    <row r="2" spans="1:8" x14ac:dyDescent="0.2">
      <c r="A2" s="95" t="s">
        <v>0</v>
      </c>
      <c r="B2" s="138"/>
      <c r="C2" s="138"/>
      <c r="D2" s="138"/>
      <c r="E2" s="138"/>
      <c r="F2" s="138"/>
      <c r="G2" s="138"/>
    </row>
    <row r="3" spans="1:8" ht="6" customHeight="1" x14ac:dyDescent="0.2">
      <c r="A3" s="3"/>
      <c r="B3" s="138"/>
      <c r="C3" s="138"/>
      <c r="D3" s="138"/>
      <c r="E3" s="138"/>
      <c r="F3" s="138"/>
      <c r="G3" s="138"/>
    </row>
    <row r="4" spans="1:8" ht="16.5" thickBot="1" x14ac:dyDescent="0.3">
      <c r="A4" s="139" t="s">
        <v>219</v>
      </c>
      <c r="B4" s="140"/>
      <c r="C4" s="140"/>
      <c r="D4" s="140"/>
      <c r="E4" s="140"/>
      <c r="F4" s="140"/>
      <c r="G4" s="140"/>
      <c r="H4" s="141"/>
    </row>
    <row r="5" spans="1:8" x14ac:dyDescent="0.2">
      <c r="A5" s="142"/>
      <c r="B5" s="143"/>
      <c r="C5" s="144"/>
      <c r="D5" s="143"/>
      <c r="E5" s="145"/>
      <c r="F5" s="146"/>
      <c r="G5" s="211" t="s">
        <v>1</v>
      </c>
      <c r="H5" s="212"/>
    </row>
    <row r="6" spans="1:8" x14ac:dyDescent="0.2">
      <c r="A6" s="147"/>
      <c r="B6" s="148"/>
      <c r="C6" s="149" t="s">
        <v>236</v>
      </c>
      <c r="D6" s="150" t="s">
        <v>237</v>
      </c>
      <c r="E6" s="150" t="s">
        <v>238</v>
      </c>
      <c r="F6" s="151"/>
      <c r="G6" s="152" t="s">
        <v>239</v>
      </c>
      <c r="H6" s="153" t="s">
        <v>240</v>
      </c>
    </row>
    <row r="7" spans="1:8" ht="12.75" customHeight="1" x14ac:dyDescent="0.2">
      <c r="A7" s="213" t="s">
        <v>211</v>
      </c>
      <c r="B7" s="154" t="s">
        <v>3</v>
      </c>
      <c r="C7" s="20">
        <v>269991.33667365054</v>
      </c>
      <c r="D7" s="20">
        <v>281786.98794041621</v>
      </c>
      <c r="E7" s="79">
        <v>310397.06490972539</v>
      </c>
      <c r="F7" s="22" t="s">
        <v>241</v>
      </c>
      <c r="G7" s="155">
        <v>14.965564722884011</v>
      </c>
      <c r="H7" s="156">
        <v>10.153086619939586</v>
      </c>
    </row>
    <row r="8" spans="1:8" ht="12.75" customHeight="1" x14ac:dyDescent="0.2">
      <c r="A8" s="214"/>
      <c r="B8" s="157" t="s">
        <v>242</v>
      </c>
      <c r="C8" s="26">
        <v>121817</v>
      </c>
      <c r="D8" s="26">
        <v>129673.42261018316</v>
      </c>
      <c r="E8" s="26">
        <v>141896.43428571429</v>
      </c>
      <c r="F8" s="27"/>
      <c r="G8" s="158">
        <v>16.483277609622874</v>
      </c>
      <c r="H8" s="159">
        <v>9.425996036423939</v>
      </c>
    </row>
    <row r="9" spans="1:8" x14ac:dyDescent="0.2">
      <c r="A9" s="160" t="s">
        <v>230</v>
      </c>
      <c r="B9" s="161" t="s">
        <v>3</v>
      </c>
      <c r="C9" s="20">
        <v>11637.129718670916</v>
      </c>
      <c r="D9" s="20">
        <v>11206.538595687682</v>
      </c>
      <c r="E9" s="20">
        <v>13063.620525416194</v>
      </c>
      <c r="F9" s="22" t="s">
        <v>241</v>
      </c>
      <c r="G9" s="162">
        <v>12.258098356131413</v>
      </c>
      <c r="H9" s="163">
        <v>16.571414213869076</v>
      </c>
    </row>
    <row r="10" spans="1:8" x14ac:dyDescent="0.2">
      <c r="A10" s="164"/>
      <c r="B10" s="157" t="s">
        <v>242</v>
      </c>
      <c r="C10" s="26">
        <v>5521</v>
      </c>
      <c r="D10" s="26">
        <v>5512.8722733600371</v>
      </c>
      <c r="E10" s="26">
        <v>6348.36</v>
      </c>
      <c r="F10" s="27"/>
      <c r="G10" s="165">
        <v>14.985690998007598</v>
      </c>
      <c r="H10" s="159">
        <v>15.155216468143237</v>
      </c>
    </row>
    <row r="11" spans="1:8" x14ac:dyDescent="0.2">
      <c r="A11" s="160" t="s">
        <v>234</v>
      </c>
      <c r="B11" s="161" t="s">
        <v>3</v>
      </c>
      <c r="C11" s="20">
        <v>152231.31228188321</v>
      </c>
      <c r="D11" s="20">
        <v>165152.23248157973</v>
      </c>
      <c r="E11" s="20">
        <v>174022.89160412413</v>
      </c>
      <c r="F11" s="22" t="s">
        <v>241</v>
      </c>
      <c r="G11" s="166">
        <v>14.31478123363344</v>
      </c>
      <c r="H11" s="163">
        <v>5.3712014601642153</v>
      </c>
    </row>
    <row r="12" spans="1:8" x14ac:dyDescent="0.2">
      <c r="A12" s="164"/>
      <c r="B12" s="157" t="s">
        <v>242</v>
      </c>
      <c r="C12" s="26">
        <v>66439</v>
      </c>
      <c r="D12" s="26">
        <v>74899.091164549362</v>
      </c>
      <c r="E12" s="26">
        <v>77905.728000000003</v>
      </c>
      <c r="F12" s="27"/>
      <c r="G12" s="158">
        <v>17.259031592889727</v>
      </c>
      <c r="H12" s="159">
        <v>4.0142500912931212</v>
      </c>
    </row>
    <row r="13" spans="1:8" x14ac:dyDescent="0.2">
      <c r="A13" s="160" t="s">
        <v>212</v>
      </c>
      <c r="B13" s="161" t="s">
        <v>3</v>
      </c>
      <c r="C13" s="20">
        <v>101479.15804518112</v>
      </c>
      <c r="D13" s="20">
        <v>102402.04104909507</v>
      </c>
      <c r="E13" s="20">
        <v>120350.91084433535</v>
      </c>
      <c r="F13" s="22" t="s">
        <v>241</v>
      </c>
      <c r="G13" s="155">
        <v>18.596678532504214</v>
      </c>
      <c r="H13" s="156">
        <v>17.527843792327303</v>
      </c>
    </row>
    <row r="14" spans="1:8" x14ac:dyDescent="0.2">
      <c r="A14" s="164"/>
      <c r="B14" s="157" t="s">
        <v>242</v>
      </c>
      <c r="C14" s="26">
        <v>47865</v>
      </c>
      <c r="D14" s="26">
        <v>47705.987555702915</v>
      </c>
      <c r="E14" s="26">
        <v>56298.728000000003</v>
      </c>
      <c r="F14" s="27"/>
      <c r="G14" s="167">
        <v>17.61982241721509</v>
      </c>
      <c r="H14" s="156">
        <v>18.011869965513142</v>
      </c>
    </row>
    <row r="15" spans="1:8" x14ac:dyDescent="0.2">
      <c r="A15" s="160" t="s">
        <v>213</v>
      </c>
      <c r="B15" s="161" t="s">
        <v>3</v>
      </c>
      <c r="C15" s="20">
        <v>6395</v>
      </c>
      <c r="D15" s="20">
        <v>9250</v>
      </c>
      <c r="E15" s="20">
        <v>13640.425270604539</v>
      </c>
      <c r="F15" s="22" t="s">
        <v>241</v>
      </c>
      <c r="G15" s="166">
        <v>113.29828413767848</v>
      </c>
      <c r="H15" s="163">
        <v>47.464056979508541</v>
      </c>
    </row>
    <row r="16" spans="1:8" x14ac:dyDescent="0.2">
      <c r="A16" s="164"/>
      <c r="B16" s="157" t="s">
        <v>242</v>
      </c>
      <c r="C16" s="26">
        <v>2383</v>
      </c>
      <c r="D16" s="26">
        <v>3927.36</v>
      </c>
      <c r="E16" s="26">
        <v>5534.2880000000005</v>
      </c>
      <c r="F16" s="27"/>
      <c r="G16" s="158">
        <v>132.24036928241713</v>
      </c>
      <c r="H16" s="159">
        <v>40.916238898394852</v>
      </c>
    </row>
    <row r="17" spans="1:9" x14ac:dyDescent="0.2">
      <c r="A17" s="160" t="s">
        <v>214</v>
      </c>
      <c r="B17" s="161" t="s">
        <v>3</v>
      </c>
      <c r="C17" s="20">
        <v>15147.73662791529</v>
      </c>
      <c r="D17" s="20">
        <v>10383.175814053724</v>
      </c>
      <c r="E17" s="20">
        <v>10543.166042928746</v>
      </c>
      <c r="F17" s="22" t="s">
        <v>241</v>
      </c>
      <c r="G17" s="155">
        <v>-30.397746528685516</v>
      </c>
      <c r="H17" s="156">
        <v>1.540860250661197</v>
      </c>
    </row>
    <row r="18" spans="1:9" ht="13.5" thickBot="1" x14ac:dyDescent="0.25">
      <c r="A18" s="170"/>
      <c r="B18" s="171" t="s">
        <v>242</v>
      </c>
      <c r="C18" s="43">
        <v>6897</v>
      </c>
      <c r="D18" s="43">
        <v>4845.4544737137176</v>
      </c>
      <c r="E18" s="43">
        <v>4879.576</v>
      </c>
      <c r="F18" s="44"/>
      <c r="G18" s="172">
        <v>-29.250746701464408</v>
      </c>
      <c r="H18" s="173">
        <v>0.7041966129573467</v>
      </c>
    </row>
    <row r="25" spans="1:9" x14ac:dyDescent="0.2">
      <c r="I25" s="169"/>
    </row>
    <row r="26" spans="1:9" x14ac:dyDescent="0.2">
      <c r="I26" s="169"/>
    </row>
    <row r="27" spans="1:9" x14ac:dyDescent="0.2">
      <c r="A27" s="174"/>
      <c r="B27" s="174"/>
      <c r="C27" s="64"/>
      <c r="D27" s="64"/>
      <c r="E27" s="21"/>
      <c r="F27" s="59"/>
      <c r="G27" s="167"/>
      <c r="H27" s="175"/>
      <c r="I27" s="169"/>
    </row>
    <row r="28" spans="1:9" x14ac:dyDescent="0.2">
      <c r="A28" s="174"/>
      <c r="B28" s="174"/>
      <c r="C28" s="64"/>
      <c r="D28" s="64"/>
      <c r="E28" s="21"/>
      <c r="F28" s="59"/>
      <c r="G28" s="167"/>
      <c r="H28" s="175"/>
      <c r="I28" s="169"/>
    </row>
    <row r="29" spans="1:9" x14ac:dyDescent="0.2">
      <c r="A29" s="174"/>
      <c r="B29" s="174"/>
      <c r="C29" s="64"/>
      <c r="D29" s="64"/>
      <c r="E29" s="21"/>
      <c r="F29" s="59"/>
      <c r="G29" s="167"/>
      <c r="H29" s="175"/>
      <c r="I29" s="169"/>
    </row>
    <row r="30" spans="1:9" x14ac:dyDescent="0.2">
      <c r="A30" s="176"/>
      <c r="B30" s="177"/>
      <c r="C30" s="21"/>
      <c r="D30" s="21"/>
      <c r="E30" s="21"/>
      <c r="F30" s="63"/>
      <c r="G30" s="167"/>
      <c r="H30" s="175"/>
      <c r="I30" s="169"/>
    </row>
    <row r="31" spans="1:9" x14ac:dyDescent="0.2">
      <c r="A31" s="178"/>
      <c r="B31" s="179"/>
      <c r="C31" s="49"/>
      <c r="D31" s="55"/>
      <c r="E31" s="49"/>
      <c r="F31" s="49"/>
      <c r="G31" s="180"/>
      <c r="H31" s="181"/>
      <c r="I31" s="169"/>
    </row>
    <row r="32" spans="1:9" ht="16.5" thickBot="1" x14ac:dyDescent="0.3">
      <c r="A32" s="139" t="s">
        <v>220</v>
      </c>
      <c r="B32" s="140"/>
      <c r="C32" s="140"/>
      <c r="D32" s="140"/>
      <c r="E32" s="140"/>
      <c r="F32" s="140"/>
      <c r="G32" s="140"/>
      <c r="H32" s="141"/>
    </row>
    <row r="33" spans="1:8" x14ac:dyDescent="0.2">
      <c r="A33" s="142"/>
      <c r="B33" s="143"/>
      <c r="C33" s="215" t="s">
        <v>16</v>
      </c>
      <c r="D33" s="211"/>
      <c r="E33" s="211"/>
      <c r="F33" s="216"/>
      <c r="G33" s="211" t="s">
        <v>1</v>
      </c>
      <c r="H33" s="212"/>
    </row>
    <row r="34" spans="1:8" x14ac:dyDescent="0.2">
      <c r="A34" s="147"/>
      <c r="B34" s="148"/>
      <c r="C34" s="149" t="s">
        <v>236</v>
      </c>
      <c r="D34" s="150" t="s">
        <v>237</v>
      </c>
      <c r="E34" s="150" t="s">
        <v>238</v>
      </c>
      <c r="F34" s="151"/>
      <c r="G34" s="152" t="s">
        <v>239</v>
      </c>
      <c r="H34" s="153" t="s">
        <v>240</v>
      </c>
    </row>
    <row r="35" spans="1:8" ht="12.75" customHeight="1" x14ac:dyDescent="0.2">
      <c r="A35" s="213" t="s">
        <v>211</v>
      </c>
      <c r="B35" s="154" t="s">
        <v>3</v>
      </c>
      <c r="C35" s="80">
        <v>982.35582708179106</v>
      </c>
      <c r="D35" s="80">
        <v>1097.9182333987903</v>
      </c>
      <c r="E35" s="81">
        <v>1461.9562833378814</v>
      </c>
      <c r="F35" s="22" t="s">
        <v>241</v>
      </c>
      <c r="G35" s="155">
        <v>48.821459906315454</v>
      </c>
      <c r="H35" s="156">
        <v>33.157118523494233</v>
      </c>
    </row>
    <row r="36" spans="1:8" ht="12.75" customHeight="1" x14ac:dyDescent="0.2">
      <c r="A36" s="214"/>
      <c r="B36" s="157" t="s">
        <v>242</v>
      </c>
      <c r="C36" s="82">
        <v>483.07478021635256</v>
      </c>
      <c r="D36" s="82">
        <v>495.86716792975801</v>
      </c>
      <c r="E36" s="82">
        <v>678.73545248458856</v>
      </c>
      <c r="F36" s="27"/>
      <c r="G36" s="158">
        <v>40.503185072217235</v>
      </c>
      <c r="H36" s="159">
        <v>36.87848205766565</v>
      </c>
    </row>
    <row r="37" spans="1:8" x14ac:dyDescent="0.2">
      <c r="A37" s="160" t="s">
        <v>230</v>
      </c>
      <c r="B37" s="161" t="s">
        <v>3</v>
      </c>
      <c r="C37" s="80">
        <v>317.98876156719405</v>
      </c>
      <c r="D37" s="80">
        <v>326.23983367946352</v>
      </c>
      <c r="E37" s="80">
        <v>388.17957927234448</v>
      </c>
      <c r="F37" s="22" t="s">
        <v>241</v>
      </c>
      <c r="G37" s="162">
        <v>22.073364278415994</v>
      </c>
      <c r="H37" s="163">
        <v>18.985954257731109</v>
      </c>
    </row>
    <row r="38" spans="1:8" x14ac:dyDescent="0.2">
      <c r="A38" s="164"/>
      <c r="B38" s="157" t="s">
        <v>242</v>
      </c>
      <c r="C38" s="82">
        <v>160.98655413035988</v>
      </c>
      <c r="D38" s="82">
        <v>151.24036319423135</v>
      </c>
      <c r="E38" s="82">
        <v>185.1577645617601</v>
      </c>
      <c r="F38" s="27"/>
      <c r="G38" s="165">
        <v>15.014428106727124</v>
      </c>
      <c r="H38" s="159">
        <v>22.426157046429537</v>
      </c>
    </row>
    <row r="39" spans="1:8" x14ac:dyDescent="0.2">
      <c r="A39" s="160" t="s">
        <v>234</v>
      </c>
      <c r="B39" s="161" t="s">
        <v>3</v>
      </c>
      <c r="C39" s="80">
        <v>227.19536181345049</v>
      </c>
      <c r="D39" s="80">
        <v>256.23559530104421</v>
      </c>
      <c r="E39" s="80">
        <v>300.41290584695656</v>
      </c>
      <c r="F39" s="22" t="s">
        <v>241</v>
      </c>
      <c r="G39" s="166">
        <v>32.226689598366363</v>
      </c>
      <c r="H39" s="163">
        <v>17.240895237060897</v>
      </c>
    </row>
    <row r="40" spans="1:8" x14ac:dyDescent="0.2">
      <c r="A40" s="164"/>
      <c r="B40" s="157" t="s">
        <v>242</v>
      </c>
      <c r="C40" s="82">
        <v>118.73847566408816</v>
      </c>
      <c r="D40" s="82">
        <v>122.86651543312382</v>
      </c>
      <c r="E40" s="82">
        <v>148.12361938364708</v>
      </c>
      <c r="F40" s="27"/>
      <c r="G40" s="158">
        <v>24.747785884239988</v>
      </c>
      <c r="H40" s="159">
        <v>20.556539640998196</v>
      </c>
    </row>
    <row r="41" spans="1:8" x14ac:dyDescent="0.2">
      <c r="A41" s="160" t="s">
        <v>212</v>
      </c>
      <c r="B41" s="161" t="s">
        <v>3</v>
      </c>
      <c r="C41" s="80">
        <v>283.77362038047022</v>
      </c>
      <c r="D41" s="80">
        <v>345.55780100399937</v>
      </c>
      <c r="E41" s="80">
        <v>445.20762657831489</v>
      </c>
      <c r="F41" s="22" t="s">
        <v>241</v>
      </c>
      <c r="G41" s="155">
        <v>56.888306242631558</v>
      </c>
      <c r="H41" s="156">
        <v>28.837382714205376</v>
      </c>
    </row>
    <row r="42" spans="1:8" x14ac:dyDescent="0.2">
      <c r="A42" s="164"/>
      <c r="B42" s="157" t="s">
        <v>242</v>
      </c>
      <c r="C42" s="82">
        <v>149.07903666826931</v>
      </c>
      <c r="D42" s="82">
        <v>156.73297267413537</v>
      </c>
      <c r="E42" s="82">
        <v>211.56635506572243</v>
      </c>
      <c r="F42" s="27"/>
      <c r="G42" s="167">
        <v>41.915563578868529</v>
      </c>
      <c r="H42" s="156">
        <v>34.985224522979934</v>
      </c>
    </row>
    <row r="43" spans="1:8" x14ac:dyDescent="0.2">
      <c r="A43" s="160" t="s">
        <v>213</v>
      </c>
      <c r="B43" s="161" t="s">
        <v>3</v>
      </c>
      <c r="C43" s="80">
        <v>31.958343427435825</v>
      </c>
      <c r="D43" s="80">
        <v>50.626081812198294</v>
      </c>
      <c r="E43" s="80">
        <v>77.494618461726219</v>
      </c>
      <c r="F43" s="22" t="s">
        <v>241</v>
      </c>
      <c r="G43" s="166">
        <v>142.48634362943258</v>
      </c>
      <c r="H43" s="163">
        <v>53.07251852750332</v>
      </c>
    </row>
    <row r="44" spans="1:8" x14ac:dyDescent="0.2">
      <c r="A44" s="164"/>
      <c r="B44" s="157" t="s">
        <v>242</v>
      </c>
      <c r="C44" s="82">
        <v>14.93906425472705</v>
      </c>
      <c r="D44" s="82">
        <v>23.436136767360924</v>
      </c>
      <c r="E44" s="82">
        <v>35.990495610691767</v>
      </c>
      <c r="F44" s="27"/>
      <c r="G44" s="158">
        <v>140.91532774084948</v>
      </c>
      <c r="H44" s="159">
        <v>53.568380181221102</v>
      </c>
    </row>
    <row r="45" spans="1:8" x14ac:dyDescent="0.2">
      <c r="A45" s="160" t="s">
        <v>214</v>
      </c>
      <c r="B45" s="161" t="s">
        <v>3</v>
      </c>
      <c r="C45" s="80">
        <v>121.43973989324058</v>
      </c>
      <c r="D45" s="80">
        <v>119.25892160208494</v>
      </c>
      <c r="E45" s="80">
        <v>287.89617427200204</v>
      </c>
      <c r="F45" s="22" t="s">
        <v>241</v>
      </c>
      <c r="G45" s="155">
        <v>137.06916247111172</v>
      </c>
      <c r="H45" s="156">
        <v>141.40430787441306</v>
      </c>
    </row>
    <row r="46" spans="1:8" ht="13.5" thickBot="1" x14ac:dyDescent="0.25">
      <c r="A46" s="170"/>
      <c r="B46" s="171" t="s">
        <v>242</v>
      </c>
      <c r="C46" s="86">
        <v>39.331649498908199</v>
      </c>
      <c r="D46" s="86">
        <v>41.591179860906479</v>
      </c>
      <c r="E46" s="86">
        <v>97.897217862767079</v>
      </c>
      <c r="F46" s="44"/>
      <c r="G46" s="172">
        <v>148.90188718244474</v>
      </c>
      <c r="H46" s="173">
        <v>135.37975645356798</v>
      </c>
    </row>
    <row r="53" spans="1:9" x14ac:dyDescent="0.2">
      <c r="I53" s="169"/>
    </row>
    <row r="54" spans="1:9" x14ac:dyDescent="0.2">
      <c r="I54" s="169"/>
    </row>
    <row r="55" spans="1:9" x14ac:dyDescent="0.2">
      <c r="A55" s="176"/>
      <c r="B55" s="177"/>
      <c r="C55" s="21"/>
      <c r="D55" s="21"/>
      <c r="E55" s="21"/>
      <c r="F55" s="63"/>
      <c r="G55" s="167"/>
      <c r="H55" s="175"/>
      <c r="I55" s="169"/>
    </row>
    <row r="56" spans="1:9" x14ac:dyDescent="0.2">
      <c r="A56" s="176"/>
      <c r="B56" s="177"/>
      <c r="C56" s="21"/>
      <c r="D56" s="21"/>
      <c r="E56" s="21"/>
      <c r="F56" s="63"/>
      <c r="G56" s="167"/>
      <c r="H56" s="175"/>
      <c r="I56" s="169"/>
    </row>
    <row r="57" spans="1:9" x14ac:dyDescent="0.2">
      <c r="A57" s="176"/>
      <c r="B57" s="177"/>
      <c r="C57" s="21"/>
      <c r="D57" s="21"/>
      <c r="E57" s="21"/>
      <c r="F57" s="63"/>
      <c r="G57" s="167"/>
      <c r="H57" s="175"/>
      <c r="I57" s="169"/>
    </row>
    <row r="58" spans="1:9" x14ac:dyDescent="0.2">
      <c r="A58" s="176"/>
      <c r="B58" s="177"/>
      <c r="C58" s="21"/>
      <c r="D58" s="21"/>
      <c r="E58" s="21"/>
      <c r="F58" s="63"/>
      <c r="G58" s="167"/>
      <c r="H58" s="175"/>
      <c r="I58" s="169"/>
    </row>
    <row r="59" spans="1:9" x14ac:dyDescent="0.2">
      <c r="A59" s="178"/>
      <c r="B59" s="179"/>
      <c r="C59" s="49"/>
      <c r="D59" s="49"/>
      <c r="E59" s="49"/>
      <c r="F59" s="49"/>
      <c r="G59" s="180"/>
      <c r="H59" s="181"/>
      <c r="I59" s="169"/>
    </row>
    <row r="60" spans="1:9" x14ac:dyDescent="0.2">
      <c r="A60" s="182"/>
      <c r="B60" s="182"/>
      <c r="C60" s="182"/>
      <c r="D60" s="182"/>
      <c r="E60" s="182"/>
      <c r="F60" s="182"/>
      <c r="G60" s="182"/>
      <c r="H60" s="182"/>
    </row>
    <row r="61" spans="1:9" ht="12.75" customHeight="1" x14ac:dyDescent="0.2">
      <c r="A61" s="183" t="s">
        <v>243</v>
      </c>
      <c r="G61" s="184"/>
      <c r="H61" s="209">
        <v>23</v>
      </c>
    </row>
    <row r="62" spans="1:9" ht="12.75" customHeight="1" x14ac:dyDescent="0.2">
      <c r="A62" s="183" t="s">
        <v>244</v>
      </c>
      <c r="G62" s="184"/>
      <c r="H62" s="210"/>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election activeCell="X93" sqref="X93"/>
    </sheetView>
  </sheetViews>
  <sheetFormatPr baseColWidth="10" defaultColWidth="11.42578125" defaultRowHeight="12.75" customHeight="1" x14ac:dyDescent="0.2"/>
  <cols>
    <col min="1" max="1" width="11.42578125" style="92"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3"/>
      <c r="B3" s="2"/>
      <c r="C3" s="2"/>
      <c r="D3" s="2"/>
      <c r="E3" s="2"/>
      <c r="F3" s="2"/>
      <c r="G3" s="2"/>
    </row>
    <row r="4" spans="1:8" ht="12.75" customHeight="1" x14ac:dyDescent="0.25">
      <c r="A4" s="93"/>
      <c r="C4" s="74"/>
      <c r="D4" s="74" t="s">
        <v>88</v>
      </c>
      <c r="E4" s="74"/>
      <c r="F4" s="74"/>
      <c r="G4" s="74"/>
      <c r="H4" s="74"/>
    </row>
    <row r="5" spans="1:8" ht="12.75" customHeight="1" x14ac:dyDescent="0.25">
      <c r="A5" s="93"/>
      <c r="B5" s="75"/>
      <c r="C5" s="74"/>
      <c r="D5" s="74"/>
      <c r="E5" s="74"/>
      <c r="F5" s="74"/>
      <c r="G5" s="74"/>
      <c r="H5" s="74"/>
    </row>
    <row r="6" spans="1:8" ht="12.75" customHeight="1" x14ac:dyDescent="0.25">
      <c r="A6" s="93"/>
      <c r="B6" s="73"/>
      <c r="C6" s="73"/>
      <c r="D6" s="73"/>
      <c r="E6" s="73"/>
      <c r="F6" s="73"/>
      <c r="G6" s="73"/>
      <c r="H6" s="73"/>
    </row>
    <row r="7" spans="1:8" ht="12.75" customHeight="1" x14ac:dyDescent="0.25">
      <c r="A7" s="93"/>
      <c r="B7" s="73"/>
      <c r="C7" s="73"/>
      <c r="D7" s="73"/>
      <c r="E7" s="73"/>
      <c r="F7" s="73"/>
      <c r="G7" s="73"/>
      <c r="H7" s="73"/>
    </row>
    <row r="8" spans="1:8" ht="12.75" customHeight="1" x14ac:dyDescent="0.25">
      <c r="A8" s="94"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4"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2019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4" t="s">
        <v>116</v>
      </c>
      <c r="B23" s="73" t="s">
        <v>132</v>
      </c>
      <c r="C23" s="73"/>
      <c r="D23" s="73"/>
      <c r="E23" s="73"/>
      <c r="F23" s="73"/>
      <c r="G23" s="73"/>
      <c r="H23" s="76">
        <v>9</v>
      </c>
    </row>
    <row r="24" spans="1:14" ht="12.75" customHeight="1" x14ac:dyDescent="0.25">
      <c r="A24" s="94"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4"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4"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4"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4"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4"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4"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4"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4" t="s">
        <v>173</v>
      </c>
      <c r="B43" s="73" t="s">
        <v>139</v>
      </c>
      <c r="H43" s="76">
        <f>+H40+1</f>
        <v>18</v>
      </c>
      <c r="N43" s="77"/>
    </row>
    <row r="44" spans="1:14" ht="12.75" customHeight="1" x14ac:dyDescent="0.25">
      <c r="B44" s="73" t="s">
        <v>104</v>
      </c>
      <c r="H44" s="76">
        <f>+H43</f>
        <v>18</v>
      </c>
      <c r="N44" s="77"/>
    </row>
    <row r="45" spans="1:14" ht="12.75" customHeight="1" x14ac:dyDescent="0.25">
      <c r="A45" s="94" t="s">
        <v>125</v>
      </c>
      <c r="B45" s="73" t="s">
        <v>140</v>
      </c>
      <c r="H45" s="76">
        <f>+H43+1</f>
        <v>19</v>
      </c>
      <c r="N45" s="77"/>
    </row>
    <row r="46" spans="1:14" ht="12.75" customHeight="1" x14ac:dyDescent="0.25">
      <c r="B46" s="73" t="s">
        <v>102</v>
      </c>
      <c r="H46" s="76">
        <f>+H45</f>
        <v>19</v>
      </c>
      <c r="N46" s="77"/>
    </row>
    <row r="47" spans="1:14" ht="12.75" customHeight="1" x14ac:dyDescent="0.25">
      <c r="A47" s="94" t="s">
        <v>126</v>
      </c>
      <c r="B47" s="73" t="s">
        <v>141</v>
      </c>
      <c r="H47" s="76">
        <f>+H46+1</f>
        <v>20</v>
      </c>
      <c r="N47" s="77"/>
    </row>
    <row r="48" spans="1:14" ht="12.75" customHeight="1" x14ac:dyDescent="0.25">
      <c r="B48" s="73" t="s">
        <v>103</v>
      </c>
      <c r="H48" s="76">
        <f>H47</f>
        <v>20</v>
      </c>
      <c r="N48" s="77"/>
    </row>
    <row r="49" spans="1:14" ht="12.75" customHeight="1" x14ac:dyDescent="0.25">
      <c r="A49" s="94"/>
      <c r="B49" s="73"/>
      <c r="C49" s="73"/>
      <c r="D49" s="73"/>
      <c r="E49" s="73"/>
      <c r="F49" s="73"/>
      <c r="G49" s="73"/>
      <c r="H49" s="76"/>
      <c r="N49" s="77"/>
    </row>
    <row r="50" spans="1:14" ht="12.75" customHeight="1" x14ac:dyDescent="0.25">
      <c r="A50" s="94"/>
      <c r="B50" s="73"/>
      <c r="C50" s="73"/>
      <c r="D50" s="73"/>
      <c r="E50" s="73"/>
      <c r="F50" s="73"/>
      <c r="G50" s="73"/>
      <c r="H50" s="76"/>
      <c r="N50" s="77"/>
    </row>
    <row r="51" spans="1:14" ht="12.75" customHeight="1" x14ac:dyDescent="0.25">
      <c r="A51" s="94"/>
      <c r="B51" s="73"/>
      <c r="C51" s="73"/>
      <c r="D51" s="73"/>
      <c r="E51" s="73"/>
      <c r="F51" s="73"/>
      <c r="G51" s="73"/>
      <c r="H51" s="76"/>
      <c r="N51" s="77"/>
    </row>
    <row r="52" spans="1:14" ht="12.75" customHeight="1" x14ac:dyDescent="0.25">
      <c r="A52" s="94"/>
      <c r="B52" s="73"/>
      <c r="C52" s="73"/>
      <c r="D52" s="73"/>
      <c r="E52" s="73"/>
      <c r="F52" s="73"/>
      <c r="G52" s="73"/>
      <c r="H52" s="76"/>
      <c r="N52" s="77"/>
    </row>
    <row r="53" spans="1:14" ht="12.75" customHeight="1" x14ac:dyDescent="0.25">
      <c r="A53" s="94"/>
      <c r="B53" s="73"/>
      <c r="C53" s="73"/>
      <c r="D53" s="73"/>
      <c r="E53" s="73"/>
      <c r="F53" s="73"/>
      <c r="G53" s="73"/>
      <c r="H53" s="76"/>
      <c r="N53" s="77"/>
    </row>
    <row r="54" spans="1:14" ht="12.75" customHeight="1" x14ac:dyDescent="0.25">
      <c r="A54" s="94"/>
      <c r="B54" s="73"/>
      <c r="C54" s="73"/>
      <c r="D54" s="73"/>
      <c r="E54" s="73"/>
      <c r="F54" s="73"/>
      <c r="G54" s="73"/>
      <c r="H54" s="76"/>
      <c r="N54" s="77"/>
    </row>
    <row r="55" spans="1:14" ht="12.75" customHeight="1" x14ac:dyDescent="0.25">
      <c r="A55" s="94"/>
      <c r="B55" s="73"/>
      <c r="C55" s="73"/>
      <c r="D55" s="73"/>
      <c r="E55" s="73"/>
      <c r="F55" s="73"/>
      <c r="G55" s="73"/>
      <c r="H55" s="76"/>
      <c r="N55" s="77"/>
    </row>
    <row r="56" spans="1:14" ht="12.75" customHeight="1" x14ac:dyDescent="0.25">
      <c r="A56" s="94"/>
      <c r="B56" s="73"/>
      <c r="C56" s="73"/>
      <c r="D56" s="73"/>
      <c r="E56" s="73"/>
      <c r="F56" s="73"/>
      <c r="G56" s="73"/>
      <c r="H56" s="76"/>
      <c r="N56" s="77"/>
    </row>
    <row r="57" spans="1:14" ht="12.75" customHeight="1" x14ac:dyDescent="0.25">
      <c r="A57" s="94"/>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115"/>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7">
        <v>1</v>
      </c>
      <c r="I61" s="77"/>
    </row>
    <row r="62" spans="1:14" ht="12.75" customHeight="1" x14ac:dyDescent="0.2">
      <c r="B62" s="54" t="str">
        <f>+B124</f>
        <v>Skadestatistikk for landbasert forsikring 2. kvartal 2019</v>
      </c>
      <c r="H62" s="198"/>
      <c r="I62" s="77"/>
    </row>
    <row r="63" spans="1:14" ht="12.75" customHeight="1" x14ac:dyDescent="0.2">
      <c r="I63" s="77"/>
    </row>
    <row r="64" spans="1:14" ht="12.75" customHeight="1" x14ac:dyDescent="0.2">
      <c r="I64" s="77"/>
    </row>
    <row r="66" spans="1:13" ht="12.75" customHeight="1" x14ac:dyDescent="0.25">
      <c r="A66" s="94" t="s">
        <v>127</v>
      </c>
      <c r="B66" s="73" t="s">
        <v>221</v>
      </c>
      <c r="H66" s="76">
        <f>H48+1</f>
        <v>21</v>
      </c>
    </row>
    <row r="67" spans="1:13" ht="12.75" customHeight="1" x14ac:dyDescent="0.25">
      <c r="B67" s="73" t="s">
        <v>222</v>
      </c>
      <c r="H67" s="76">
        <f>H66</f>
        <v>21</v>
      </c>
    </row>
    <row r="68" spans="1:13" ht="12.75" customHeight="1" x14ac:dyDescent="0.25">
      <c r="A68" s="94" t="s">
        <v>128</v>
      </c>
      <c r="B68" s="73" t="s">
        <v>223</v>
      </c>
      <c r="H68" s="76">
        <f>H67+1</f>
        <v>22</v>
      </c>
    </row>
    <row r="69" spans="1:13" ht="12.75" customHeight="1" x14ac:dyDescent="0.25">
      <c r="B69" s="73" t="s">
        <v>224</v>
      </c>
      <c r="H69" s="76">
        <f>H68</f>
        <v>22</v>
      </c>
    </row>
    <row r="70" spans="1:13" ht="12.75" customHeight="1" x14ac:dyDescent="0.25">
      <c r="A70" s="94" t="s">
        <v>129</v>
      </c>
      <c r="B70" s="73" t="s">
        <v>225</v>
      </c>
      <c r="H70" s="76">
        <f>H69+1</f>
        <v>23</v>
      </c>
      <c r="J70"/>
      <c r="K70"/>
      <c r="L70"/>
      <c r="M70"/>
    </row>
    <row r="71" spans="1:13" ht="12.75" customHeight="1" x14ac:dyDescent="0.25">
      <c r="B71" s="73" t="s">
        <v>226</v>
      </c>
      <c r="H71" s="76">
        <f>H70</f>
        <v>23</v>
      </c>
      <c r="J71"/>
      <c r="K71" s="71"/>
      <c r="L71" s="72"/>
      <c r="M71" s="72"/>
    </row>
    <row r="72" spans="1:13" ht="12.75" customHeight="1" x14ac:dyDescent="0.2">
      <c r="J72"/>
      <c r="K72" s="70"/>
      <c r="L72"/>
      <c r="M72"/>
    </row>
    <row r="73" spans="1:13" ht="12.75" customHeight="1" x14ac:dyDescent="0.25">
      <c r="A73" s="94"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4" t="s">
        <v>227</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4" t="s">
        <v>228</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4" t="s">
        <v>229</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7">
        <v>2</v>
      </c>
      <c r="I123"/>
      <c r="J123" s="69"/>
      <c r="K123" s="69"/>
      <c r="L123" s="69"/>
    </row>
    <row r="124" spans="2:13" ht="12.75" customHeight="1" x14ac:dyDescent="0.2">
      <c r="B124" s="54" t="str">
        <f>"Skadestatistikk for landbasert forsikring 2. kvartal 2019"</f>
        <v>Skadestatistikk for landbasert forsikring 2. kvartal 2019</v>
      </c>
      <c r="H124" s="198"/>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75" fitToWidth="0" fitToHeight="0" orientation="portrait" horizontalDpi="300" verticalDpi="300" r:id="rId1"/>
  <headerFooter alignWithMargins="0"/>
  <rowBreaks count="1" manualBreakCount="1">
    <brk id="81"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61</v>
      </c>
      <c r="B7" s="19" t="s">
        <v>3</v>
      </c>
      <c r="C7" s="20">
        <v>320312</v>
      </c>
      <c r="D7" s="20">
        <v>333492</v>
      </c>
      <c r="E7" s="79">
        <v>355299.53817666101</v>
      </c>
      <c r="F7" s="22" t="s">
        <v>241</v>
      </c>
      <c r="G7" s="23">
        <v>10.922955798303221</v>
      </c>
      <c r="H7" s="24">
        <v>6.5391488181608679</v>
      </c>
    </row>
    <row r="8" spans="1:8" x14ac:dyDescent="0.2">
      <c r="A8" s="203"/>
      <c r="B8" s="25" t="s">
        <v>242</v>
      </c>
      <c r="C8" s="26">
        <v>148449</v>
      </c>
      <c r="D8" s="26">
        <v>154340</v>
      </c>
      <c r="E8" s="26">
        <v>164509.61538461538</v>
      </c>
      <c r="F8" s="27"/>
      <c r="G8" s="28">
        <v>10.818944812437522</v>
      </c>
      <c r="H8" s="29">
        <v>6.5890989922349235</v>
      </c>
    </row>
    <row r="9" spans="1:8" x14ac:dyDescent="0.2">
      <c r="A9" s="30" t="s">
        <v>62</v>
      </c>
      <c r="B9" s="31" t="s">
        <v>3</v>
      </c>
      <c r="C9" s="20">
        <v>95488</v>
      </c>
      <c r="D9" s="20">
        <v>93851</v>
      </c>
      <c r="E9" s="21">
        <v>100155.12291921249</v>
      </c>
      <c r="F9" s="22" t="s">
        <v>241</v>
      </c>
      <c r="G9" s="32">
        <v>4.8876538614406968</v>
      </c>
      <c r="H9" s="33">
        <v>6.717161158871491</v>
      </c>
    </row>
    <row r="10" spans="1:8" x14ac:dyDescent="0.2">
      <c r="A10" s="34"/>
      <c r="B10" s="25" t="s">
        <v>242</v>
      </c>
      <c r="C10" s="26">
        <v>43408</v>
      </c>
      <c r="D10" s="26">
        <v>41839</v>
      </c>
      <c r="E10" s="26">
        <v>44939</v>
      </c>
      <c r="F10" s="27"/>
      <c r="G10" s="35">
        <v>3.526999631404351</v>
      </c>
      <c r="H10" s="29">
        <v>7.4093549081001129</v>
      </c>
    </row>
    <row r="11" spans="1:8" x14ac:dyDescent="0.2">
      <c r="A11" s="30" t="s">
        <v>47</v>
      </c>
      <c r="B11" s="31" t="s">
        <v>3</v>
      </c>
      <c r="C11" s="20">
        <v>11450</v>
      </c>
      <c r="D11" s="20">
        <v>11771</v>
      </c>
      <c r="E11" s="21">
        <v>12456.097933475101</v>
      </c>
      <c r="F11" s="22" t="s">
        <v>241</v>
      </c>
      <c r="G11" s="37">
        <v>8.7868815150663977</v>
      </c>
      <c r="H11" s="33">
        <v>5.8202186175779502</v>
      </c>
    </row>
    <row r="12" spans="1:8" x14ac:dyDescent="0.2">
      <c r="A12" s="34"/>
      <c r="B12" s="25" t="s">
        <v>242</v>
      </c>
      <c r="C12" s="26">
        <v>5811</v>
      </c>
      <c r="D12" s="26">
        <v>6005</v>
      </c>
      <c r="E12" s="26">
        <v>6343.5</v>
      </c>
      <c r="F12" s="27"/>
      <c r="G12" s="28">
        <v>9.1636551368094956</v>
      </c>
      <c r="H12" s="29">
        <v>5.6369691923397198</v>
      </c>
    </row>
    <row r="13" spans="1:8" x14ac:dyDescent="0.2">
      <c r="A13" s="30" t="s">
        <v>48</v>
      </c>
      <c r="B13" s="31" t="s">
        <v>3</v>
      </c>
      <c r="C13" s="20">
        <v>94408</v>
      </c>
      <c r="D13" s="20">
        <v>97865</v>
      </c>
      <c r="E13" s="21">
        <v>106200.45315750445</v>
      </c>
      <c r="F13" s="22" t="s">
        <v>241</v>
      </c>
      <c r="G13" s="23">
        <v>12.490946908635351</v>
      </c>
      <c r="H13" s="24">
        <v>8.5172974582378345</v>
      </c>
    </row>
    <row r="14" spans="1:8" x14ac:dyDescent="0.2">
      <c r="A14" s="34"/>
      <c r="B14" s="25" t="s">
        <v>242</v>
      </c>
      <c r="C14" s="26">
        <v>43578</v>
      </c>
      <c r="D14" s="26">
        <v>45385</v>
      </c>
      <c r="E14" s="26">
        <v>49173.914000000004</v>
      </c>
      <c r="F14" s="27"/>
      <c r="G14" s="38">
        <v>12.841144614254915</v>
      </c>
      <c r="H14" s="24">
        <v>8.3483838272557165</v>
      </c>
    </row>
    <row r="15" spans="1:8" x14ac:dyDescent="0.2">
      <c r="A15" s="30" t="s">
        <v>49</v>
      </c>
      <c r="B15" s="31" t="s">
        <v>3</v>
      </c>
      <c r="C15" s="20">
        <v>80714</v>
      </c>
      <c r="D15" s="20">
        <v>84267</v>
      </c>
      <c r="E15" s="21">
        <v>87226.896297642583</v>
      </c>
      <c r="F15" s="22" t="s">
        <v>241</v>
      </c>
      <c r="G15" s="37">
        <v>8.0691036222248869</v>
      </c>
      <c r="H15" s="33">
        <v>3.5125212688746217</v>
      </c>
    </row>
    <row r="16" spans="1:8" x14ac:dyDescent="0.2">
      <c r="A16" s="34"/>
      <c r="B16" s="25" t="s">
        <v>242</v>
      </c>
      <c r="C16" s="26">
        <v>39736</v>
      </c>
      <c r="D16" s="26">
        <v>41229</v>
      </c>
      <c r="E16" s="26">
        <v>42765.2</v>
      </c>
      <c r="F16" s="27"/>
      <c r="G16" s="28">
        <v>7.6233138715522415</v>
      </c>
      <c r="H16" s="29">
        <v>3.7260180940599952</v>
      </c>
    </row>
    <row r="17" spans="1:9" x14ac:dyDescent="0.2">
      <c r="A17" s="30" t="s">
        <v>50</v>
      </c>
      <c r="B17" s="31" t="s">
        <v>3</v>
      </c>
      <c r="C17" s="20">
        <v>50788</v>
      </c>
      <c r="D17" s="20">
        <v>58846</v>
      </c>
      <c r="E17" s="21">
        <v>67197.630026058978</v>
      </c>
      <c r="F17" s="22" t="s">
        <v>241</v>
      </c>
      <c r="G17" s="37">
        <v>32.310053607267406</v>
      </c>
      <c r="H17" s="33">
        <v>14.192349566765756</v>
      </c>
    </row>
    <row r="18" spans="1:9" ht="13.5" thickBot="1" x14ac:dyDescent="0.25">
      <c r="A18" s="56"/>
      <c r="B18" s="42" t="s">
        <v>242</v>
      </c>
      <c r="C18" s="43">
        <v>20779</v>
      </c>
      <c r="D18" s="43">
        <v>25112</v>
      </c>
      <c r="E18" s="43">
        <v>28270.400000000001</v>
      </c>
      <c r="F18" s="44"/>
      <c r="G18" s="57">
        <v>36.052745560421585</v>
      </c>
      <c r="H18" s="46">
        <v>12.577253902516745</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61</v>
      </c>
      <c r="B35" s="19" t="s">
        <v>3</v>
      </c>
      <c r="C35" s="80">
        <v>2078.8919979673683</v>
      </c>
      <c r="D35" s="80">
        <v>2198.8611608924543</v>
      </c>
      <c r="E35" s="81">
        <v>2372.3383856018791</v>
      </c>
      <c r="F35" s="22" t="s">
        <v>241</v>
      </c>
      <c r="G35" s="23">
        <v>14.115518647502</v>
      </c>
      <c r="H35" s="24">
        <v>7.889412382863469</v>
      </c>
    </row>
    <row r="36" spans="1:9" ht="12.75" customHeight="1" x14ac:dyDescent="0.2">
      <c r="A36" s="203"/>
      <c r="B36" s="25" t="s">
        <v>242</v>
      </c>
      <c r="C36" s="82">
        <v>1010.1918736481808</v>
      </c>
      <c r="D36" s="82">
        <v>1085.1063746964662</v>
      </c>
      <c r="E36" s="82">
        <v>1164.6768455025992</v>
      </c>
      <c r="F36" s="27"/>
      <c r="G36" s="28">
        <v>15.292636565815499</v>
      </c>
      <c r="H36" s="29">
        <v>7.3329650126137125</v>
      </c>
    </row>
    <row r="37" spans="1:9" x14ac:dyDescent="0.2">
      <c r="A37" s="30" t="s">
        <v>62</v>
      </c>
      <c r="B37" s="31" t="s">
        <v>3</v>
      </c>
      <c r="C37" s="80">
        <v>319.84506398723425</v>
      </c>
      <c r="D37" s="80">
        <v>322.95153879669886</v>
      </c>
      <c r="E37" s="83">
        <v>336.44817910677028</v>
      </c>
      <c r="F37" s="22" t="s">
        <v>241</v>
      </c>
      <c r="G37" s="32">
        <v>5.1909868211061934</v>
      </c>
      <c r="H37" s="33">
        <v>4.1791534297558144</v>
      </c>
    </row>
    <row r="38" spans="1:9" x14ac:dyDescent="0.2">
      <c r="A38" s="34"/>
      <c r="B38" s="25" t="s">
        <v>242</v>
      </c>
      <c r="C38" s="82">
        <v>148.03059381134031</v>
      </c>
      <c r="D38" s="82">
        <v>146.76176559802633</v>
      </c>
      <c r="E38" s="82">
        <v>153.82364219145748</v>
      </c>
      <c r="F38" s="27"/>
      <c r="G38" s="35">
        <v>3.9134129175352825</v>
      </c>
      <c r="H38" s="29">
        <v>4.8117958820237448</v>
      </c>
    </row>
    <row r="39" spans="1:9" x14ac:dyDescent="0.2">
      <c r="A39" s="30" t="s">
        <v>47</v>
      </c>
      <c r="B39" s="31" t="s">
        <v>3</v>
      </c>
      <c r="C39" s="80">
        <v>202.57119352030477</v>
      </c>
      <c r="D39" s="80">
        <v>210.4149472150886</v>
      </c>
      <c r="E39" s="83">
        <v>233.74128737499228</v>
      </c>
      <c r="F39" s="22" t="s">
        <v>241</v>
      </c>
      <c r="G39" s="37">
        <v>15.387229207179033</v>
      </c>
      <c r="H39" s="33">
        <v>11.085876012439002</v>
      </c>
    </row>
    <row r="40" spans="1:9" x14ac:dyDescent="0.2">
      <c r="A40" s="34"/>
      <c r="B40" s="25" t="s">
        <v>242</v>
      </c>
      <c r="C40" s="82">
        <v>120.14336167808423</v>
      </c>
      <c r="D40" s="82">
        <v>126.48774903844235</v>
      </c>
      <c r="E40" s="82">
        <v>139.87774174762444</v>
      </c>
      <c r="F40" s="27"/>
      <c r="G40" s="28">
        <v>16.425693266696754</v>
      </c>
      <c r="H40" s="29">
        <v>10.585999680579803</v>
      </c>
    </row>
    <row r="41" spans="1:9" x14ac:dyDescent="0.2">
      <c r="A41" s="30" t="s">
        <v>48</v>
      </c>
      <c r="B41" s="31" t="s">
        <v>3</v>
      </c>
      <c r="C41" s="80">
        <v>965.9174190222077</v>
      </c>
      <c r="D41" s="80">
        <v>1026.8400479912541</v>
      </c>
      <c r="E41" s="83">
        <v>1129.176068370911</v>
      </c>
      <c r="F41" s="22" t="s">
        <v>241</v>
      </c>
      <c r="G41" s="23">
        <v>16.901926203377627</v>
      </c>
      <c r="H41" s="24">
        <v>9.9661111367686459</v>
      </c>
    </row>
    <row r="42" spans="1:9" x14ac:dyDescent="0.2">
      <c r="A42" s="34"/>
      <c r="B42" s="25" t="s">
        <v>242</v>
      </c>
      <c r="C42" s="82">
        <v>459.43859886770912</v>
      </c>
      <c r="D42" s="82">
        <v>501.4257473985146</v>
      </c>
      <c r="E42" s="82">
        <v>546.54585550558454</v>
      </c>
      <c r="F42" s="27"/>
      <c r="G42" s="38">
        <v>18.959499017399082</v>
      </c>
      <c r="H42" s="24">
        <v>8.9983628366036186</v>
      </c>
    </row>
    <row r="43" spans="1:9" x14ac:dyDescent="0.2">
      <c r="A43" s="30" t="s">
        <v>49</v>
      </c>
      <c r="B43" s="31" t="s">
        <v>3</v>
      </c>
      <c r="C43" s="80">
        <v>435.81523128285698</v>
      </c>
      <c r="D43" s="80">
        <v>482.04813965634258</v>
      </c>
      <c r="E43" s="83">
        <v>496.51420500341527</v>
      </c>
      <c r="F43" s="22" t="s">
        <v>241</v>
      </c>
      <c r="G43" s="37">
        <v>13.927685258242576</v>
      </c>
      <c r="H43" s="33">
        <v>3.0009586505998556</v>
      </c>
    </row>
    <row r="44" spans="1:9" x14ac:dyDescent="0.2">
      <c r="A44" s="34"/>
      <c r="B44" s="25" t="s">
        <v>242</v>
      </c>
      <c r="C44" s="82">
        <v>217.1547181131215</v>
      </c>
      <c r="D44" s="82">
        <v>238.46296876524283</v>
      </c>
      <c r="E44" s="82">
        <v>246.20969038389106</v>
      </c>
      <c r="F44" s="27"/>
      <c r="G44" s="28">
        <v>13.379848489238938</v>
      </c>
      <c r="H44" s="29">
        <v>3.2486057096246839</v>
      </c>
    </row>
    <row r="45" spans="1:9" x14ac:dyDescent="0.2">
      <c r="A45" s="30" t="s">
        <v>50</v>
      </c>
      <c r="B45" s="31" t="s">
        <v>3</v>
      </c>
      <c r="C45" s="80">
        <v>154.74309015476481</v>
      </c>
      <c r="D45" s="80">
        <v>156.60648723306983</v>
      </c>
      <c r="E45" s="83">
        <v>175.14269185084629</v>
      </c>
      <c r="F45" s="22" t="s">
        <v>241</v>
      </c>
      <c r="G45" s="37">
        <v>13.182883756346726</v>
      </c>
      <c r="H45" s="33">
        <v>11.836166524947302</v>
      </c>
    </row>
    <row r="46" spans="1:9" ht="13.5" thickBot="1" x14ac:dyDescent="0.25">
      <c r="A46" s="56"/>
      <c r="B46" s="42" t="s">
        <v>242</v>
      </c>
      <c r="C46" s="86">
        <v>65.424601177925609</v>
      </c>
      <c r="D46" s="86">
        <v>71.968143896240193</v>
      </c>
      <c r="E46" s="86">
        <v>78.2199156740418</v>
      </c>
      <c r="F46" s="44"/>
      <c r="G46" s="57">
        <v>19.557344279896597</v>
      </c>
      <c r="H46" s="46">
        <v>8.6868598234450332</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5">
        <v>24</v>
      </c>
    </row>
    <row r="62" spans="1:9"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51</v>
      </c>
      <c r="B7" s="19" t="s">
        <v>3</v>
      </c>
      <c r="C7" s="20">
        <v>9835.3017456359103</v>
      </c>
      <c r="D7" s="20">
        <v>12077.194513715711</v>
      </c>
      <c r="E7" s="79">
        <v>11666.37551827162</v>
      </c>
      <c r="F7" s="22" t="s">
        <v>241</v>
      </c>
      <c r="G7" s="23">
        <v>18.617362435760427</v>
      </c>
      <c r="H7" s="24">
        <v>-3.4016094961254169</v>
      </c>
    </row>
    <row r="8" spans="1:8" x14ac:dyDescent="0.2">
      <c r="A8" s="203"/>
      <c r="B8" s="25" t="s">
        <v>242</v>
      </c>
      <c r="C8" s="26">
        <v>3833.5464347256857</v>
      </c>
      <c r="D8" s="26">
        <v>4529.9239401496261</v>
      </c>
      <c r="E8" s="26">
        <v>4431.5187032418953</v>
      </c>
      <c r="F8" s="27"/>
      <c r="G8" s="28">
        <v>15.598409428396522</v>
      </c>
      <c r="H8" s="29">
        <v>-2.1723375095891839</v>
      </c>
    </row>
    <row r="9" spans="1:8" x14ac:dyDescent="0.2">
      <c r="A9" s="30" t="s">
        <v>12</v>
      </c>
      <c r="B9" s="31" t="s">
        <v>3</v>
      </c>
      <c r="C9" s="20">
        <v>251.97450000000001</v>
      </c>
      <c r="D9" s="20">
        <v>316.09050000000002</v>
      </c>
      <c r="E9" s="21">
        <v>302.16658929026016</v>
      </c>
      <c r="F9" s="22" t="s">
        <v>241</v>
      </c>
      <c r="G9" s="32">
        <v>19.919511414948786</v>
      </c>
      <c r="H9" s="33">
        <v>-4.4050392877166047</v>
      </c>
    </row>
    <row r="10" spans="1:8" x14ac:dyDescent="0.2">
      <c r="A10" s="34"/>
      <c r="B10" s="25" t="s">
        <v>242</v>
      </c>
      <c r="C10" s="26">
        <v>78.463012032500004</v>
      </c>
      <c r="D10" s="26">
        <v>107.51824999999999</v>
      </c>
      <c r="E10" s="26">
        <v>99.712500000000006</v>
      </c>
      <c r="F10" s="27"/>
      <c r="G10" s="35">
        <v>27.082172117861461</v>
      </c>
      <c r="H10" s="29">
        <v>-7.2599302909040944</v>
      </c>
    </row>
    <row r="11" spans="1:8" x14ac:dyDescent="0.2">
      <c r="A11" s="30" t="s">
        <v>18</v>
      </c>
      <c r="B11" s="31" t="s">
        <v>3</v>
      </c>
      <c r="C11" s="20">
        <v>273.38980000000004</v>
      </c>
      <c r="D11" s="20">
        <v>259.43619999999999</v>
      </c>
      <c r="E11" s="21">
        <v>346.84615237339852</v>
      </c>
      <c r="F11" s="22" t="s">
        <v>241</v>
      </c>
      <c r="G11" s="37">
        <v>26.86872457326443</v>
      </c>
      <c r="H11" s="33">
        <v>33.69227284912381</v>
      </c>
    </row>
    <row r="12" spans="1:8" x14ac:dyDescent="0.2">
      <c r="A12" s="34"/>
      <c r="B12" s="25" t="s">
        <v>242</v>
      </c>
      <c r="C12" s="26">
        <v>113.185204813</v>
      </c>
      <c r="D12" s="26">
        <v>102.2073</v>
      </c>
      <c r="E12" s="26">
        <v>138.88499999999999</v>
      </c>
      <c r="F12" s="27"/>
      <c r="G12" s="28">
        <v>22.70596694105042</v>
      </c>
      <c r="H12" s="29">
        <v>35.885597212723525</v>
      </c>
    </row>
    <row r="13" spans="1:8" x14ac:dyDescent="0.2">
      <c r="A13" s="30" t="s">
        <v>63</v>
      </c>
      <c r="B13" s="31" t="s">
        <v>3</v>
      </c>
      <c r="C13" s="20">
        <v>1360.6543750000001</v>
      </c>
      <c r="D13" s="20">
        <v>1273.089375</v>
      </c>
      <c r="E13" s="21">
        <v>1098.3683141244828</v>
      </c>
      <c r="F13" s="22" t="s">
        <v>241</v>
      </c>
      <c r="G13" s="23">
        <v>-19.276464743334785</v>
      </c>
      <c r="H13" s="24">
        <v>-13.724178703126583</v>
      </c>
    </row>
    <row r="14" spans="1:8" x14ac:dyDescent="0.2">
      <c r="A14" s="34"/>
      <c r="B14" s="25" t="s">
        <v>242</v>
      </c>
      <c r="C14" s="26">
        <v>587.73629512187495</v>
      </c>
      <c r="D14" s="26">
        <v>522.94343750000007</v>
      </c>
      <c r="E14" s="26">
        <v>458.671875</v>
      </c>
      <c r="F14" s="27"/>
      <c r="G14" s="38">
        <v>-21.959579694684635</v>
      </c>
      <c r="H14" s="24">
        <v>-12.290346888615474</v>
      </c>
    </row>
    <row r="15" spans="1:8" x14ac:dyDescent="0.2">
      <c r="A15" s="30" t="s">
        <v>52</v>
      </c>
      <c r="B15" s="31" t="s">
        <v>3</v>
      </c>
      <c r="C15" s="20">
        <v>4984.05375</v>
      </c>
      <c r="D15" s="20">
        <v>6422.0837499999998</v>
      </c>
      <c r="E15" s="21">
        <v>6122.3058397615732</v>
      </c>
      <c r="F15" s="22" t="s">
        <v>241</v>
      </c>
      <c r="G15" s="37">
        <v>22.837877496035702</v>
      </c>
      <c r="H15" s="33">
        <v>-4.6679227787776369</v>
      </c>
    </row>
    <row r="16" spans="1:8" x14ac:dyDescent="0.2">
      <c r="A16" s="34"/>
      <c r="B16" s="25" t="s">
        <v>242</v>
      </c>
      <c r="C16" s="26">
        <v>1846.1027105687499</v>
      </c>
      <c r="D16" s="26">
        <v>2429.069375</v>
      </c>
      <c r="E16" s="26">
        <v>2299.46875</v>
      </c>
      <c r="F16" s="27"/>
      <c r="G16" s="28">
        <v>24.558007354399919</v>
      </c>
      <c r="H16" s="29">
        <v>-5.3354023698890813</v>
      </c>
    </row>
    <row r="17" spans="1:9" x14ac:dyDescent="0.2">
      <c r="A17" s="30" t="s">
        <v>50</v>
      </c>
      <c r="B17" s="31" t="s">
        <v>3</v>
      </c>
      <c r="C17" s="20">
        <v>3582.8724999999999</v>
      </c>
      <c r="D17" s="20">
        <v>4497.4524999999994</v>
      </c>
      <c r="E17" s="21">
        <v>4440.6148939799232</v>
      </c>
      <c r="F17" s="22" t="s">
        <v>241</v>
      </c>
      <c r="G17" s="37">
        <v>23.940075846403232</v>
      </c>
      <c r="H17" s="33">
        <v>-1.2637733476912985</v>
      </c>
    </row>
    <row r="18" spans="1:9" ht="13.5" thickBot="1" x14ac:dyDescent="0.25">
      <c r="A18" s="56"/>
      <c r="B18" s="42" t="s">
        <v>242</v>
      </c>
      <c r="C18" s="43">
        <v>1390.3150601625</v>
      </c>
      <c r="D18" s="43">
        <v>1538.5912499999999</v>
      </c>
      <c r="E18" s="43">
        <v>1581.5625</v>
      </c>
      <c r="F18" s="44"/>
      <c r="G18" s="57">
        <v>13.755690729203991</v>
      </c>
      <c r="H18" s="46">
        <v>2.7928957739750615</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51</v>
      </c>
      <c r="B35" s="19" t="s">
        <v>3</v>
      </c>
      <c r="C35" s="80">
        <v>468.76565664708272</v>
      </c>
      <c r="D35" s="80">
        <v>540.69659437321695</v>
      </c>
      <c r="E35" s="81">
        <v>528.03638164263168</v>
      </c>
      <c r="F35" s="22" t="s">
        <v>241</v>
      </c>
      <c r="G35" s="23">
        <v>12.643999012105908</v>
      </c>
      <c r="H35" s="24">
        <v>-2.3414633756406715</v>
      </c>
    </row>
    <row r="36" spans="1:9" ht="12.75" customHeight="1" x14ac:dyDescent="0.2">
      <c r="A36" s="203"/>
      <c r="B36" s="25" t="s">
        <v>242</v>
      </c>
      <c r="C36" s="82">
        <v>194.09698577243887</v>
      </c>
      <c r="D36" s="82">
        <v>211.62650225395541</v>
      </c>
      <c r="E36" s="82">
        <v>210.51216448811604</v>
      </c>
      <c r="F36" s="27"/>
      <c r="G36" s="28">
        <v>8.4572043457297639</v>
      </c>
      <c r="H36" s="29">
        <v>-0.52655870317326503</v>
      </c>
    </row>
    <row r="37" spans="1:9" x14ac:dyDescent="0.2">
      <c r="A37" s="30" t="s">
        <v>12</v>
      </c>
      <c r="B37" s="31" t="s">
        <v>3</v>
      </c>
      <c r="C37" s="80">
        <v>2.9888742341862051</v>
      </c>
      <c r="D37" s="80">
        <v>4.690887210384215</v>
      </c>
      <c r="E37" s="83">
        <v>5.5815416364693187</v>
      </c>
      <c r="F37" s="22" t="s">
        <v>241</v>
      </c>
      <c r="G37" s="32">
        <v>86.743944346291016</v>
      </c>
      <c r="H37" s="33">
        <v>18.986907724267226</v>
      </c>
    </row>
    <row r="38" spans="1:9" x14ac:dyDescent="0.2">
      <c r="A38" s="34"/>
      <c r="B38" s="25" t="s">
        <v>242</v>
      </c>
      <c r="C38" s="82">
        <v>1.272178690875915</v>
      </c>
      <c r="D38" s="82">
        <v>2.6571599660100933</v>
      </c>
      <c r="E38" s="82">
        <v>2.8476447217000138</v>
      </c>
      <c r="F38" s="27"/>
      <c r="G38" s="35">
        <v>123.8399952870902</v>
      </c>
      <c r="H38" s="29">
        <v>7.1687349699139986</v>
      </c>
    </row>
    <row r="39" spans="1:9" x14ac:dyDescent="0.2">
      <c r="A39" s="30" t="s">
        <v>18</v>
      </c>
      <c r="B39" s="31" t="s">
        <v>3</v>
      </c>
      <c r="C39" s="80">
        <v>31.574270388376654</v>
      </c>
      <c r="D39" s="80">
        <v>30.739915328211765</v>
      </c>
      <c r="E39" s="83">
        <v>32.150631732604701</v>
      </c>
      <c r="F39" s="22" t="s">
        <v>241</v>
      </c>
      <c r="G39" s="37">
        <v>1.8254146085992176</v>
      </c>
      <c r="H39" s="33">
        <v>4.5892006836409251</v>
      </c>
    </row>
    <row r="40" spans="1:9" x14ac:dyDescent="0.2">
      <c r="A40" s="34"/>
      <c r="B40" s="25" t="s">
        <v>242</v>
      </c>
      <c r="C40" s="82">
        <v>13.347601091788466</v>
      </c>
      <c r="D40" s="82">
        <v>13.808685636236454</v>
      </c>
      <c r="E40" s="82">
        <v>14.147076574617044</v>
      </c>
      <c r="F40" s="27"/>
      <c r="G40" s="28">
        <v>5.9896566980895329</v>
      </c>
      <c r="H40" s="29">
        <v>2.4505658778456905</v>
      </c>
    </row>
    <row r="41" spans="1:9" x14ac:dyDescent="0.2">
      <c r="A41" s="30" t="s">
        <v>63</v>
      </c>
      <c r="B41" s="31" t="s">
        <v>3</v>
      </c>
      <c r="C41" s="80">
        <v>63.538101099784932</v>
      </c>
      <c r="D41" s="80">
        <v>59.013278673136298</v>
      </c>
      <c r="E41" s="83">
        <v>58.701178624349502</v>
      </c>
      <c r="F41" s="22" t="s">
        <v>241</v>
      </c>
      <c r="G41" s="23">
        <v>-7.6126330370483828</v>
      </c>
      <c r="H41" s="24">
        <v>-0.52886410618779678</v>
      </c>
    </row>
    <row r="42" spans="1:9" x14ac:dyDescent="0.2">
      <c r="A42" s="34"/>
      <c r="B42" s="25" t="s">
        <v>242</v>
      </c>
      <c r="C42" s="82">
        <v>29.805062899017294</v>
      </c>
      <c r="D42" s="82">
        <v>23.790326245004717</v>
      </c>
      <c r="E42" s="82">
        <v>24.828127631939715</v>
      </c>
      <c r="F42" s="27"/>
      <c r="G42" s="38">
        <v>-16.698288085953592</v>
      </c>
      <c r="H42" s="24">
        <v>4.3622831240193989</v>
      </c>
    </row>
    <row r="43" spans="1:9" x14ac:dyDescent="0.2">
      <c r="A43" s="30" t="s">
        <v>52</v>
      </c>
      <c r="B43" s="31" t="s">
        <v>3</v>
      </c>
      <c r="C43" s="80">
        <v>234.64305984490011</v>
      </c>
      <c r="D43" s="80">
        <v>294.63609474175269</v>
      </c>
      <c r="E43" s="83">
        <v>289.38068907789972</v>
      </c>
      <c r="F43" s="22" t="s">
        <v>241</v>
      </c>
      <c r="G43" s="37">
        <v>23.32804101224275</v>
      </c>
      <c r="H43" s="33">
        <v>-1.7836937692441666</v>
      </c>
    </row>
    <row r="44" spans="1:9" x14ac:dyDescent="0.2">
      <c r="A44" s="34"/>
      <c r="B44" s="25" t="s">
        <v>242</v>
      </c>
      <c r="C44" s="82">
        <v>90.837673472543173</v>
      </c>
      <c r="D44" s="82">
        <v>119.4796114950603</v>
      </c>
      <c r="E44" s="82">
        <v>115.51981243520731</v>
      </c>
      <c r="F44" s="27"/>
      <c r="G44" s="28">
        <v>27.171698722694202</v>
      </c>
      <c r="H44" s="29">
        <v>-3.3142048340328785</v>
      </c>
    </row>
    <row r="45" spans="1:9" x14ac:dyDescent="0.2">
      <c r="A45" s="30" t="s">
        <v>50</v>
      </c>
      <c r="B45" s="31" t="s">
        <v>3</v>
      </c>
      <c r="C45" s="80">
        <v>136.02135107983489</v>
      </c>
      <c r="D45" s="80">
        <v>151.61641841973204</v>
      </c>
      <c r="E45" s="83">
        <v>144.54332424260426</v>
      </c>
      <c r="F45" s="22" t="s">
        <v>241</v>
      </c>
      <c r="G45" s="37">
        <v>6.2651731475359185</v>
      </c>
      <c r="H45" s="33">
        <v>-4.6651241671906263</v>
      </c>
    </row>
    <row r="46" spans="1:9" ht="13.5" thickBot="1" x14ac:dyDescent="0.25">
      <c r="A46" s="56"/>
      <c r="B46" s="42" t="s">
        <v>242</v>
      </c>
      <c r="C46" s="86">
        <v>58.834469618214058</v>
      </c>
      <c r="D46" s="86">
        <v>51.890718911643916</v>
      </c>
      <c r="E46" s="86">
        <v>53.169503124651946</v>
      </c>
      <c r="F46" s="44"/>
      <c r="G46" s="57">
        <v>-9.6286522685135907</v>
      </c>
      <c r="H46" s="46">
        <v>2.4643794494068487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7">
        <v>25</v>
      </c>
    </row>
    <row r="62" spans="1:9"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ht="12.75" customHeight="1" x14ac:dyDescent="0.2">
      <c r="A7" s="202" t="s">
        <v>64</v>
      </c>
      <c r="B7" s="19" t="s">
        <v>3</v>
      </c>
      <c r="C7" s="20">
        <v>9480.0519999999997</v>
      </c>
      <c r="D7" s="20">
        <v>11145.096</v>
      </c>
      <c r="E7" s="79">
        <v>11853.203322765219</v>
      </c>
      <c r="F7" s="22" t="s">
        <v>241</v>
      </c>
      <c r="G7" s="23">
        <v>25.03310448893339</v>
      </c>
      <c r="H7" s="24">
        <v>6.3535327355208011</v>
      </c>
    </row>
    <row r="8" spans="1:8" ht="12.75" customHeight="1" x14ac:dyDescent="0.2">
      <c r="A8" s="203"/>
      <c r="B8" s="25" t="s">
        <v>242</v>
      </c>
      <c r="C8" s="26">
        <v>4864.4012554765559</v>
      </c>
      <c r="D8" s="26">
        <v>5414.37</v>
      </c>
      <c r="E8" s="26">
        <v>5862.3879999999999</v>
      </c>
      <c r="F8" s="27"/>
      <c r="G8" s="28">
        <v>20.516127106082521</v>
      </c>
      <c r="H8" s="29">
        <v>8.2746099730901364</v>
      </c>
    </row>
    <row r="9" spans="1:8" x14ac:dyDescent="0.2">
      <c r="A9" s="30" t="s">
        <v>53</v>
      </c>
      <c r="B9" s="31" t="s">
        <v>3</v>
      </c>
      <c r="C9" s="20">
        <v>3.12052</v>
      </c>
      <c r="D9" s="20">
        <v>3.13096</v>
      </c>
      <c r="E9" s="21">
        <v>11.904636780831202</v>
      </c>
      <c r="F9" s="22" t="s">
        <v>241</v>
      </c>
      <c r="G9" s="32">
        <v>281.49528863238186</v>
      </c>
      <c r="H9" s="33">
        <v>280.22321527043471</v>
      </c>
    </row>
    <row r="10" spans="1:8" x14ac:dyDescent="0.2">
      <c r="A10" s="34"/>
      <c r="B10" s="25" t="s">
        <v>242</v>
      </c>
      <c r="C10" s="26">
        <v>0.11401255476555999</v>
      </c>
      <c r="D10" s="26">
        <v>1.0637000000000001</v>
      </c>
      <c r="E10" s="26">
        <v>1.0738799999999999</v>
      </c>
      <c r="F10" s="27"/>
      <c r="G10" s="35">
        <v>841.89626941364622</v>
      </c>
      <c r="H10" s="29">
        <v>0.95703675848453429</v>
      </c>
    </row>
    <row r="11" spans="1:8" x14ac:dyDescent="0.2">
      <c r="A11" s="30" t="s">
        <v>54</v>
      </c>
      <c r="B11" s="31" t="s">
        <v>3</v>
      </c>
      <c r="C11" s="20">
        <v>781.60259999999994</v>
      </c>
      <c r="D11" s="20">
        <v>955.65480000000002</v>
      </c>
      <c r="E11" s="21">
        <v>1058.3225223826389</v>
      </c>
      <c r="F11" s="22" t="s">
        <v>241</v>
      </c>
      <c r="G11" s="37">
        <v>35.404171171211431</v>
      </c>
      <c r="H11" s="33">
        <v>10.743180736667554</v>
      </c>
    </row>
    <row r="12" spans="1:8" x14ac:dyDescent="0.2">
      <c r="A12" s="34"/>
      <c r="B12" s="25" t="s">
        <v>242</v>
      </c>
      <c r="C12" s="26">
        <v>352.57006277382777</v>
      </c>
      <c r="D12" s="26">
        <v>375.31849999999997</v>
      </c>
      <c r="E12" s="26">
        <v>434.36939999999998</v>
      </c>
      <c r="F12" s="27"/>
      <c r="G12" s="28">
        <v>23.200874340441715</v>
      </c>
      <c r="H12" s="29">
        <v>15.733543643598708</v>
      </c>
    </row>
    <row r="13" spans="1:8" x14ac:dyDescent="0.2">
      <c r="A13" s="30" t="s">
        <v>66</v>
      </c>
      <c r="B13" s="31" t="s">
        <v>3</v>
      </c>
      <c r="C13" s="20">
        <v>370.24104</v>
      </c>
      <c r="D13" s="20">
        <v>56.261920000000003</v>
      </c>
      <c r="E13" s="21">
        <v>233.73933312915329</v>
      </c>
      <c r="F13" s="22" t="s">
        <v>241</v>
      </c>
      <c r="G13" s="23">
        <v>-36.868334982757908</v>
      </c>
      <c r="H13" s="24">
        <v>315.44855406490439</v>
      </c>
    </row>
    <row r="14" spans="1:8" x14ac:dyDescent="0.2">
      <c r="A14" s="34"/>
      <c r="B14" s="25" t="s">
        <v>242</v>
      </c>
      <c r="C14" s="26">
        <v>41.228025109531117</v>
      </c>
      <c r="D14" s="26">
        <v>30.127400000000002</v>
      </c>
      <c r="E14" s="26">
        <v>55.147759999999998</v>
      </c>
      <c r="F14" s="27"/>
      <c r="G14" s="38">
        <v>33.762798129398902</v>
      </c>
      <c r="H14" s="24">
        <v>83.048520615784952</v>
      </c>
    </row>
    <row r="15" spans="1:8" x14ac:dyDescent="0.2">
      <c r="A15" s="30" t="s">
        <v>55</v>
      </c>
      <c r="B15" s="31" t="s">
        <v>3</v>
      </c>
      <c r="C15" s="20">
        <v>6849.6415999999999</v>
      </c>
      <c r="D15" s="20">
        <v>7916.4768000000004</v>
      </c>
      <c r="E15" s="21">
        <v>17718.513183793282</v>
      </c>
      <c r="F15" s="22" t="s">
        <v>241</v>
      </c>
      <c r="G15" s="37">
        <v>158.67796037377025</v>
      </c>
      <c r="H15" s="33">
        <v>123.81816597748738</v>
      </c>
    </row>
    <row r="16" spans="1:8" x14ac:dyDescent="0.2">
      <c r="A16" s="34"/>
      <c r="B16" s="25" t="s">
        <v>242</v>
      </c>
      <c r="C16" s="26">
        <v>3571.1210043812448</v>
      </c>
      <c r="D16" s="26">
        <v>3927.096</v>
      </c>
      <c r="E16" s="26">
        <v>8934.0263999999988</v>
      </c>
      <c r="F16" s="27"/>
      <c r="G16" s="28">
        <v>150.1742839024287</v>
      </c>
      <c r="H16" s="29">
        <v>127.49702069926477</v>
      </c>
    </row>
    <row r="17" spans="1:9" x14ac:dyDescent="0.2">
      <c r="A17" s="30" t="s">
        <v>67</v>
      </c>
      <c r="B17" s="31" t="s">
        <v>3</v>
      </c>
      <c r="C17" s="20">
        <v>355.6026</v>
      </c>
      <c r="D17" s="20">
        <v>408.65480000000002</v>
      </c>
      <c r="E17" s="21">
        <v>413.94174729337038</v>
      </c>
      <c r="F17" s="22" t="s">
        <v>241</v>
      </c>
      <c r="G17" s="37">
        <v>16.405714495161277</v>
      </c>
      <c r="H17" s="33">
        <v>1.2937440826267874</v>
      </c>
    </row>
    <row r="18" spans="1:9" x14ac:dyDescent="0.2">
      <c r="A18" s="30"/>
      <c r="B18" s="25" t="s">
        <v>242</v>
      </c>
      <c r="C18" s="26">
        <v>216.5700627738278</v>
      </c>
      <c r="D18" s="26">
        <v>215.3185</v>
      </c>
      <c r="E18" s="26">
        <v>228.36939999999998</v>
      </c>
      <c r="F18" s="27"/>
      <c r="G18" s="28">
        <v>5.4482771418387017</v>
      </c>
      <c r="H18" s="29">
        <v>6.061207002649553</v>
      </c>
    </row>
    <row r="19" spans="1:9" x14ac:dyDescent="0.2">
      <c r="A19" s="39" t="s">
        <v>56</v>
      </c>
      <c r="B19" s="31" t="s">
        <v>3</v>
      </c>
      <c r="C19" s="20">
        <v>8.1205199999999991</v>
      </c>
      <c r="D19" s="20">
        <v>29.130960000000002</v>
      </c>
      <c r="E19" s="21">
        <v>298.89481352850453</v>
      </c>
      <c r="F19" s="22" t="s">
        <v>241</v>
      </c>
      <c r="G19" s="23">
        <v>3580.7348978698969</v>
      </c>
      <c r="H19" s="24">
        <v>926.03832324270979</v>
      </c>
    </row>
    <row r="20" spans="1:9" x14ac:dyDescent="0.2">
      <c r="A20" s="34"/>
      <c r="B20" s="25" t="s">
        <v>242</v>
      </c>
      <c r="C20" s="26">
        <v>6.1140125547655604</v>
      </c>
      <c r="D20" s="26">
        <v>3.0636999999999999</v>
      </c>
      <c r="E20" s="26">
        <v>44.073880000000003</v>
      </c>
      <c r="F20" s="27"/>
      <c r="G20" s="38">
        <v>620.86669114944266</v>
      </c>
      <c r="H20" s="24">
        <v>1338.5834122139897</v>
      </c>
    </row>
    <row r="21" spans="1:9" x14ac:dyDescent="0.2">
      <c r="A21" s="39" t="s">
        <v>68</v>
      </c>
      <c r="B21" s="31" t="s">
        <v>3</v>
      </c>
      <c r="C21" s="20">
        <v>103.12052</v>
      </c>
      <c r="D21" s="20">
        <v>51.130960000000002</v>
      </c>
      <c r="E21" s="21">
        <v>49.552915535023075</v>
      </c>
      <c r="F21" s="22" t="s">
        <v>241</v>
      </c>
      <c r="G21" s="37">
        <v>-51.946600409866946</v>
      </c>
      <c r="H21" s="33">
        <v>-3.0862797510098119</v>
      </c>
    </row>
    <row r="22" spans="1:9" x14ac:dyDescent="0.2">
      <c r="A22" s="34"/>
      <c r="B22" s="25" t="s">
        <v>242</v>
      </c>
      <c r="C22" s="26">
        <v>69.114012554765566</v>
      </c>
      <c r="D22" s="26">
        <v>31.063700000000001</v>
      </c>
      <c r="E22" s="26">
        <v>31.073879999999999</v>
      </c>
      <c r="F22" s="27"/>
      <c r="G22" s="28">
        <v>-55.039681749953054</v>
      </c>
      <c r="H22" s="29">
        <v>3.2771369798183514E-2</v>
      </c>
    </row>
    <row r="23" spans="1:9" x14ac:dyDescent="0.2">
      <c r="A23" s="30" t="s">
        <v>69</v>
      </c>
      <c r="B23" s="31" t="s">
        <v>3</v>
      </c>
      <c r="C23" s="20">
        <v>1266.6025999999999</v>
      </c>
      <c r="D23" s="20">
        <v>1746.6548</v>
      </c>
      <c r="E23" s="21">
        <v>1767.0171234245856</v>
      </c>
      <c r="F23" s="22" t="s">
        <v>241</v>
      </c>
      <c r="G23" s="23">
        <v>39.508408037736984</v>
      </c>
      <c r="H23" s="24">
        <v>1.1657897957046544</v>
      </c>
    </row>
    <row r="24" spans="1:9" ht="13.5" thickBot="1" x14ac:dyDescent="0.25">
      <c r="A24" s="56"/>
      <c r="B24" s="42" t="s">
        <v>242</v>
      </c>
      <c r="C24" s="43">
        <v>615.57006277382777</v>
      </c>
      <c r="D24" s="43">
        <v>845.31849999999997</v>
      </c>
      <c r="E24" s="43">
        <v>856.36940000000004</v>
      </c>
      <c r="F24" s="44"/>
      <c r="G24" s="57">
        <v>39.118103980090154</v>
      </c>
      <c r="H24" s="46">
        <v>1.3073060627444022</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64</v>
      </c>
      <c r="B35" s="19" t="s">
        <v>3</v>
      </c>
      <c r="C35" s="80">
        <v>963.64843128868392</v>
      </c>
      <c r="D35" s="80">
        <v>1093.9684121220591</v>
      </c>
      <c r="E35" s="81">
        <v>1244.7827911301658</v>
      </c>
      <c r="F35" s="22" t="s">
        <v>241</v>
      </c>
      <c r="G35" s="23">
        <v>29.173955014436302</v>
      </c>
      <c r="H35" s="24">
        <v>13.785990284267882</v>
      </c>
    </row>
    <row r="36" spans="1:8" ht="12.75" customHeight="1" x14ac:dyDescent="0.2">
      <c r="A36" s="203"/>
      <c r="B36" s="25" t="s">
        <v>242</v>
      </c>
      <c r="C36" s="82">
        <v>461.43342745910422</v>
      </c>
      <c r="D36" s="82">
        <v>509.75726956979241</v>
      </c>
      <c r="E36" s="82">
        <v>585.27563423107085</v>
      </c>
      <c r="F36" s="27"/>
      <c r="G36" s="28">
        <v>26.838585893940788</v>
      </c>
      <c r="H36" s="29">
        <v>14.814573360574499</v>
      </c>
    </row>
    <row r="37" spans="1:8" x14ac:dyDescent="0.2">
      <c r="A37" s="30" t="s">
        <v>53</v>
      </c>
      <c r="B37" s="31" t="s">
        <v>3</v>
      </c>
      <c r="C37" s="80">
        <v>0.22367484399517762</v>
      </c>
      <c r="D37" s="80">
        <v>0.132257286811863</v>
      </c>
      <c r="E37" s="83">
        <v>0.22268011461000739</v>
      </c>
      <c r="F37" s="22" t="s">
        <v>241</v>
      </c>
      <c r="G37" s="32">
        <v>-0.44472117087592267</v>
      </c>
      <c r="H37" s="33">
        <v>68.368881577596227</v>
      </c>
    </row>
    <row r="38" spans="1:8" x14ac:dyDescent="0.2">
      <c r="A38" s="34"/>
      <c r="B38" s="25" t="s">
        <v>242</v>
      </c>
      <c r="C38" s="82">
        <v>5.802688775250199E-2</v>
      </c>
      <c r="D38" s="82">
        <v>5.8491609431063622E-2</v>
      </c>
      <c r="E38" s="82">
        <v>7.9747527541790486E-2</v>
      </c>
      <c r="F38" s="27"/>
      <c r="G38" s="35">
        <v>37.432026135766591</v>
      </c>
      <c r="H38" s="29">
        <v>36.340114962605753</v>
      </c>
    </row>
    <row r="39" spans="1:8" x14ac:dyDescent="0.2">
      <c r="A39" s="30" t="s">
        <v>54</v>
      </c>
      <c r="B39" s="31" t="s">
        <v>3</v>
      </c>
      <c r="C39" s="80">
        <v>49.903237326064755</v>
      </c>
      <c r="D39" s="80">
        <v>57.8566841245324</v>
      </c>
      <c r="E39" s="83">
        <v>61.077186030607145</v>
      </c>
      <c r="F39" s="22" t="s">
        <v>241</v>
      </c>
      <c r="G39" s="37">
        <v>22.391230115057439</v>
      </c>
      <c r="H39" s="33">
        <v>5.566343724681559</v>
      </c>
    </row>
    <row r="40" spans="1:8" x14ac:dyDescent="0.2">
      <c r="A40" s="34"/>
      <c r="B40" s="25" t="s">
        <v>242</v>
      </c>
      <c r="C40" s="82">
        <v>24.369913919458281</v>
      </c>
      <c r="D40" s="82">
        <v>23.463479582271027</v>
      </c>
      <c r="E40" s="82">
        <v>26.253283694642576</v>
      </c>
      <c r="F40" s="27"/>
      <c r="G40" s="28">
        <v>7.7282578075932804</v>
      </c>
      <c r="H40" s="29">
        <v>11.889984614556141</v>
      </c>
    </row>
    <row r="41" spans="1:8" x14ac:dyDescent="0.2">
      <c r="A41" s="30" t="s">
        <v>66</v>
      </c>
      <c r="B41" s="31" t="s">
        <v>3</v>
      </c>
      <c r="C41" s="80">
        <v>29.691987090402726</v>
      </c>
      <c r="D41" s="80">
        <v>25.332420010772623</v>
      </c>
      <c r="E41" s="83">
        <v>45.262018986663179</v>
      </c>
      <c r="F41" s="22" t="s">
        <v>241</v>
      </c>
      <c r="G41" s="23">
        <v>52.438497460121539</v>
      </c>
      <c r="H41" s="24">
        <v>78.672305951880958</v>
      </c>
    </row>
    <row r="42" spans="1:8" x14ac:dyDescent="0.2">
      <c r="A42" s="34"/>
      <c r="B42" s="25" t="s">
        <v>242</v>
      </c>
      <c r="C42" s="82">
        <v>3.2248929336199303</v>
      </c>
      <c r="D42" s="82">
        <v>6.6311571437663837</v>
      </c>
      <c r="E42" s="82">
        <v>8.0596937214516693</v>
      </c>
      <c r="F42" s="27"/>
      <c r="G42" s="38">
        <v>149.92128071689788</v>
      </c>
      <c r="H42" s="24">
        <v>21.542794820179779</v>
      </c>
    </row>
    <row r="43" spans="1:8" x14ac:dyDescent="0.2">
      <c r="A43" s="30" t="s">
        <v>55</v>
      </c>
      <c r="B43" s="31" t="s">
        <v>3</v>
      </c>
      <c r="C43" s="80">
        <v>639.02268746624645</v>
      </c>
      <c r="D43" s="80">
        <v>708.58016793359457</v>
      </c>
      <c r="E43" s="83">
        <v>774.26478171255962</v>
      </c>
      <c r="F43" s="22" t="s">
        <v>241</v>
      </c>
      <c r="G43" s="37">
        <v>21.163895570367643</v>
      </c>
      <c r="H43" s="33">
        <v>9.2698916440914019</v>
      </c>
    </row>
    <row r="44" spans="1:8" x14ac:dyDescent="0.2">
      <c r="A44" s="34"/>
      <c r="B44" s="25" t="s">
        <v>242</v>
      </c>
      <c r="C44" s="82">
        <v>311.49451997622526</v>
      </c>
      <c r="D44" s="82">
        <v>339.40377403737915</v>
      </c>
      <c r="E44" s="82">
        <v>373.02495983516337</v>
      </c>
      <c r="F44" s="27"/>
      <c r="G44" s="28">
        <v>19.753297702840626</v>
      </c>
      <c r="H44" s="29">
        <v>9.9059551983889946</v>
      </c>
    </row>
    <row r="45" spans="1:8" x14ac:dyDescent="0.2">
      <c r="A45" s="30" t="s">
        <v>67</v>
      </c>
      <c r="B45" s="31" t="s">
        <v>3</v>
      </c>
      <c r="C45" s="80">
        <v>123.46069868687358</v>
      </c>
      <c r="D45" s="80">
        <v>109.72973136447268</v>
      </c>
      <c r="E45" s="83">
        <v>91.055487382657262</v>
      </c>
      <c r="F45" s="22" t="s">
        <v>241</v>
      </c>
      <c r="G45" s="37">
        <v>-26.247390180743949</v>
      </c>
      <c r="H45" s="33">
        <v>-17.018399434322873</v>
      </c>
    </row>
    <row r="46" spans="1:8" x14ac:dyDescent="0.2">
      <c r="A46" s="30"/>
      <c r="B46" s="25" t="s">
        <v>242</v>
      </c>
      <c r="C46" s="82">
        <v>56.60567037557756</v>
      </c>
      <c r="D46" s="82">
        <v>57.921180921047551</v>
      </c>
      <c r="E46" s="82">
        <v>45.756536043682544</v>
      </c>
      <c r="F46" s="27"/>
      <c r="G46" s="28">
        <v>-19.166161728871359</v>
      </c>
      <c r="H46" s="29">
        <v>-21.002066401143736</v>
      </c>
    </row>
    <row r="47" spans="1:8" x14ac:dyDescent="0.2">
      <c r="A47" s="39" t="s">
        <v>56</v>
      </c>
      <c r="B47" s="31" t="s">
        <v>3</v>
      </c>
      <c r="C47" s="80">
        <v>3.9777678179466296</v>
      </c>
      <c r="D47" s="80">
        <v>4.6671651927617948</v>
      </c>
      <c r="E47" s="83">
        <v>12.346926104176932</v>
      </c>
      <c r="F47" s="22" t="s">
        <v>241</v>
      </c>
      <c r="G47" s="23">
        <v>210.39836082113408</v>
      </c>
      <c r="H47" s="24">
        <v>164.54872699439716</v>
      </c>
    </row>
    <row r="48" spans="1:8" x14ac:dyDescent="0.2">
      <c r="A48" s="34"/>
      <c r="B48" s="25" t="s">
        <v>242</v>
      </c>
      <c r="C48" s="82">
        <v>2.2371336165971498</v>
      </c>
      <c r="D48" s="82">
        <v>1.9002231458429366</v>
      </c>
      <c r="E48" s="82">
        <v>5.5364956604348379</v>
      </c>
      <c r="F48" s="27"/>
      <c r="G48" s="38">
        <v>147.48167115991347</v>
      </c>
      <c r="H48" s="24">
        <v>191.36028958214035</v>
      </c>
    </row>
    <row r="49" spans="1:9" x14ac:dyDescent="0.2">
      <c r="A49" s="39" t="s">
        <v>68</v>
      </c>
      <c r="B49" s="31" t="s">
        <v>3</v>
      </c>
      <c r="C49" s="80">
        <v>12.016896349864272</v>
      </c>
      <c r="D49" s="80">
        <v>7.8416505044696772</v>
      </c>
      <c r="E49" s="83">
        <v>6.690849501961341</v>
      </c>
      <c r="F49" s="22" t="s">
        <v>241</v>
      </c>
      <c r="G49" s="37">
        <v>-44.321318024542066</v>
      </c>
      <c r="H49" s="33">
        <v>-14.675494678733628</v>
      </c>
    </row>
    <row r="50" spans="1:9" x14ac:dyDescent="0.2">
      <c r="A50" s="34"/>
      <c r="B50" s="25" t="s">
        <v>242</v>
      </c>
      <c r="C50" s="82">
        <v>7.7368785041413108</v>
      </c>
      <c r="D50" s="82">
        <v>5.1988693452588439</v>
      </c>
      <c r="E50" s="82">
        <v>4.3923652648181069</v>
      </c>
      <c r="F50" s="27"/>
      <c r="G50" s="28">
        <v>-43.228199040905061</v>
      </c>
      <c r="H50" s="29">
        <v>-15.513066916679406</v>
      </c>
    </row>
    <row r="51" spans="1:9" x14ac:dyDescent="0.2">
      <c r="A51" s="30" t="s">
        <v>69</v>
      </c>
      <c r="B51" s="31" t="s">
        <v>3</v>
      </c>
      <c r="C51" s="80">
        <v>105.35148170729047</v>
      </c>
      <c r="D51" s="80">
        <v>179.82833570464365</v>
      </c>
      <c r="E51" s="83">
        <v>271.83909570283981</v>
      </c>
      <c r="F51" s="22" t="s">
        <v>241</v>
      </c>
      <c r="G51" s="23">
        <v>158.0306335492462</v>
      </c>
      <c r="H51" s="24">
        <v>51.165885308151815</v>
      </c>
    </row>
    <row r="52" spans="1:9" ht="13.5" thickBot="1" x14ac:dyDescent="0.25">
      <c r="A52" s="56"/>
      <c r="B52" s="42" t="s">
        <v>242</v>
      </c>
      <c r="C52" s="86">
        <v>55.706391245732277</v>
      </c>
      <c r="D52" s="86">
        <v>75.180093784795375</v>
      </c>
      <c r="E52" s="86">
        <v>122.17255248333598</v>
      </c>
      <c r="F52" s="44"/>
      <c r="G52" s="57">
        <v>119.31514454850949</v>
      </c>
      <c r="H52" s="46">
        <v>62.50651779320404</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G61" s="53"/>
      <c r="H61" s="205">
        <v>26</v>
      </c>
    </row>
    <row r="62" spans="1:9"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election activeCell="W65" sqref="W65"/>
    </sheetView>
  </sheetViews>
  <sheetFormatPr baseColWidth="10"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5"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113"/>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7">
        <v>27</v>
      </c>
      <c r="H52" s="54" t="str">
        <f>+Innhold!B123</f>
        <v>Finans Norge / Skadestatistikk</v>
      </c>
      <c r="N52" s="197">
        <v>28</v>
      </c>
    </row>
    <row r="53" spans="1:14" ht="12.75" customHeight="1" x14ac:dyDescent="0.2">
      <c r="A53" s="54" t="str">
        <f>+Innhold!B124</f>
        <v>Skadestatistikk for landbasert forsikring 2. kvartal 2019</v>
      </c>
      <c r="G53" s="198"/>
      <c r="H53" s="54" t="str">
        <f>+Innhold!B124</f>
        <v>Skadestatistikk for landbasert forsikring 2. kvartal 2019</v>
      </c>
      <c r="N53" s="198"/>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topLeftCell="A4" zoomScaleNormal="100" workbookViewId="0">
      <selection activeCell="X55" sqref="X55"/>
    </sheetView>
  </sheetViews>
  <sheetFormatPr baseColWidth="10"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5"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6" t="s">
        <v>191</v>
      </c>
      <c r="B46" s="73"/>
      <c r="C46" s="73"/>
      <c r="D46" s="73"/>
      <c r="E46" s="73"/>
      <c r="F46" s="73"/>
      <c r="G46" s="73"/>
      <c r="M46" s="77"/>
    </row>
    <row r="47" spans="1:13" ht="15.6" customHeight="1" x14ac:dyDescent="0.25">
      <c r="A47" s="96" t="s">
        <v>192</v>
      </c>
      <c r="B47" s="73"/>
      <c r="C47" s="73"/>
      <c r="D47" s="73"/>
      <c r="E47" s="73"/>
      <c r="F47" s="73"/>
      <c r="G47" s="73"/>
      <c r="M47" s="77"/>
    </row>
    <row r="48" spans="1:13" ht="15.6" customHeight="1" x14ac:dyDescent="0.25">
      <c r="A48" s="96" t="s">
        <v>131</v>
      </c>
      <c r="B48" s="73"/>
      <c r="C48" s="73"/>
      <c r="D48" s="73"/>
      <c r="E48" s="73"/>
      <c r="F48" s="73"/>
      <c r="G48" s="73"/>
      <c r="M48" s="77"/>
    </row>
    <row r="49" spans="1:13" ht="15.6" customHeight="1" x14ac:dyDescent="0.25">
      <c r="A49" s="96" t="s">
        <v>233</v>
      </c>
      <c r="B49" s="73"/>
      <c r="C49" s="73"/>
      <c r="D49" s="73"/>
      <c r="E49" s="73"/>
      <c r="F49" s="73"/>
      <c r="G49" s="73"/>
      <c r="M49" s="77"/>
    </row>
    <row r="50" spans="1:13" ht="15.6" customHeight="1" x14ac:dyDescent="0.2">
      <c r="A50" s="52"/>
      <c r="B50" s="52"/>
      <c r="C50" s="52"/>
      <c r="D50" s="52"/>
      <c r="E50" s="52"/>
      <c r="F50" s="52"/>
      <c r="G50" s="52"/>
      <c r="H50" s="77"/>
    </row>
    <row r="51" spans="1:13" ht="15.6" customHeight="1" x14ac:dyDescent="0.2">
      <c r="A51" s="54" t="str">
        <f>+Innhold!B123</f>
        <v>Finans Norge / Skadestatistikk</v>
      </c>
      <c r="G51" s="197">
        <v>3</v>
      </c>
      <c r="H51" s="77"/>
    </row>
    <row r="52" spans="1:13" ht="15.6" customHeight="1" x14ac:dyDescent="0.2">
      <c r="A52" s="54" t="s">
        <v>245</v>
      </c>
      <c r="G52" s="198"/>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52"/>
  <sheetViews>
    <sheetView showGridLines="0" showRowColHeaders="0" topLeftCell="P1" zoomScaleNormal="100" workbookViewId="0">
      <selection activeCell="AJ76" sqref="AJ76"/>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95" t="s">
        <v>0</v>
      </c>
      <c r="B2" s="2"/>
      <c r="C2" s="2"/>
      <c r="D2" s="2"/>
      <c r="E2" s="2"/>
      <c r="F2" s="2"/>
      <c r="G2" s="2"/>
    </row>
    <row r="3" spans="1:36" ht="6" customHeight="1" x14ac:dyDescent="0.2">
      <c r="A3" s="3"/>
      <c r="B3" s="2"/>
      <c r="C3" s="2"/>
      <c r="D3" s="2"/>
      <c r="E3" s="2"/>
      <c r="F3" s="2"/>
      <c r="G3" s="2"/>
    </row>
    <row r="4" spans="1:36" ht="12.75" customHeight="1" x14ac:dyDescent="0.2">
      <c r="A4" s="199" t="s">
        <v>90</v>
      </c>
      <c r="B4" s="2"/>
      <c r="C4" s="2"/>
      <c r="D4" s="2"/>
      <c r="E4" s="2"/>
      <c r="F4" s="2"/>
      <c r="G4" s="2"/>
      <c r="H4" s="67"/>
    </row>
    <row r="5" spans="1:36" ht="12.75" customHeight="1" x14ac:dyDescent="0.2">
      <c r="A5" s="199"/>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3"/>
      <c r="B7" s="2"/>
      <c r="C7" s="2"/>
      <c r="D7" s="2"/>
      <c r="E7" s="2"/>
      <c r="F7" s="2"/>
      <c r="G7" s="2"/>
      <c r="H7" s="67"/>
      <c r="V7" s="88"/>
      <c r="AJ7" s="88"/>
    </row>
    <row r="8" spans="1:36" x14ac:dyDescent="0.2">
      <c r="A8" s="3"/>
      <c r="B8" s="2"/>
      <c r="C8" s="2"/>
      <c r="D8" s="2"/>
      <c r="E8" s="2"/>
      <c r="F8" s="2"/>
      <c r="G8" s="2"/>
      <c r="H8" s="67"/>
    </row>
    <row r="9" spans="1:36" x14ac:dyDescent="0.2">
      <c r="A9" s="3"/>
      <c r="B9" s="2"/>
      <c r="C9" s="2"/>
      <c r="D9" s="2"/>
      <c r="E9" s="2"/>
      <c r="F9" s="2"/>
      <c r="G9" s="2"/>
      <c r="H9" s="67"/>
    </row>
    <row r="10" spans="1:36" x14ac:dyDescent="0.2">
      <c r="A10" s="3"/>
      <c r="B10" s="2"/>
      <c r="C10" s="2"/>
      <c r="D10" s="2"/>
      <c r="E10" s="2"/>
      <c r="F10" s="2"/>
      <c r="G10" s="2"/>
      <c r="H10" s="67"/>
    </row>
    <row r="11" spans="1:36" x14ac:dyDescent="0.2">
      <c r="A11" s="3"/>
      <c r="B11" s="2"/>
      <c r="C11" s="2"/>
      <c r="D11" s="2"/>
      <c r="E11" s="2"/>
      <c r="F11" s="2"/>
      <c r="G11" s="2"/>
      <c r="H11" s="67"/>
    </row>
    <row r="12" spans="1:36" x14ac:dyDescent="0.2">
      <c r="A12" s="3"/>
      <c r="B12" s="2"/>
      <c r="C12" s="2"/>
      <c r="D12" s="2"/>
      <c r="E12" s="2"/>
      <c r="F12" s="2"/>
      <c r="G12" s="2"/>
      <c r="H12" s="67"/>
    </row>
    <row r="13" spans="1:36" x14ac:dyDescent="0.2">
      <c r="A13" s="3"/>
      <c r="B13" s="2"/>
      <c r="C13" s="2"/>
      <c r="D13" s="2"/>
      <c r="E13" s="2"/>
      <c r="F13" s="2"/>
      <c r="G13" s="2"/>
      <c r="H13" s="67"/>
    </row>
    <row r="14" spans="1:36" x14ac:dyDescent="0.2">
      <c r="A14" s="3"/>
      <c r="B14" s="2"/>
      <c r="C14" s="2"/>
      <c r="D14" s="2"/>
      <c r="E14" s="2"/>
      <c r="F14" s="2"/>
      <c r="G14" s="2"/>
      <c r="H14" s="67"/>
    </row>
    <row r="15" spans="1:36" x14ac:dyDescent="0.2">
      <c r="A15" s="3"/>
      <c r="B15" s="2"/>
      <c r="C15" s="2"/>
      <c r="D15" s="2"/>
      <c r="E15" s="2"/>
      <c r="F15" s="2"/>
      <c r="G15" s="2"/>
      <c r="H15" s="67"/>
    </row>
    <row r="16" spans="1:36" x14ac:dyDescent="0.2">
      <c r="A16" s="3"/>
      <c r="B16" s="2"/>
      <c r="C16" s="2"/>
      <c r="D16" s="2"/>
      <c r="E16" s="2"/>
      <c r="F16" s="2"/>
      <c r="G16" s="2"/>
      <c r="H16" s="67"/>
    </row>
    <row r="17" spans="1:30" x14ac:dyDescent="0.2">
      <c r="A17" s="3"/>
      <c r="B17" s="2"/>
      <c r="C17" s="2"/>
      <c r="D17" s="2"/>
      <c r="E17" s="2"/>
      <c r="F17" s="2"/>
      <c r="G17" s="2"/>
      <c r="H17" s="67"/>
    </row>
    <row r="18" spans="1:30" x14ac:dyDescent="0.2">
      <c r="A18" s="3"/>
      <c r="B18" s="2"/>
      <c r="C18" s="2"/>
      <c r="D18" s="2"/>
      <c r="E18" s="2"/>
      <c r="F18" s="2"/>
      <c r="G18" s="2"/>
      <c r="H18" s="67"/>
    </row>
    <row r="19" spans="1:30" x14ac:dyDescent="0.2">
      <c r="A19" s="3"/>
      <c r="B19" s="2"/>
      <c r="C19" s="2"/>
      <c r="D19" s="2"/>
      <c r="E19" s="2"/>
      <c r="F19" s="2"/>
      <c r="G19" s="2"/>
      <c r="H19" s="67"/>
    </row>
    <row r="20" spans="1:30" x14ac:dyDescent="0.2">
      <c r="A20" s="3"/>
      <c r="B20" s="2"/>
      <c r="C20" s="2"/>
      <c r="D20" s="2"/>
      <c r="E20" s="2"/>
      <c r="F20" s="2"/>
      <c r="G20" s="2"/>
      <c r="H20" s="67"/>
    </row>
    <row r="21" spans="1:30" x14ac:dyDescent="0.2">
      <c r="A21" s="3"/>
      <c r="B21" s="2"/>
      <c r="C21" s="2"/>
      <c r="D21" s="2"/>
      <c r="E21" s="2"/>
      <c r="F21" s="2"/>
      <c r="G21" s="2"/>
      <c r="H21" s="67"/>
    </row>
    <row r="22" spans="1:30" x14ac:dyDescent="0.2">
      <c r="A22" s="3"/>
      <c r="B22" s="2"/>
      <c r="C22" s="2"/>
      <c r="D22" s="2"/>
      <c r="E22" s="2"/>
      <c r="F22" s="2"/>
      <c r="G22" s="2"/>
      <c r="H22" s="67"/>
    </row>
    <row r="23" spans="1:30" x14ac:dyDescent="0.2">
      <c r="A23" s="3"/>
      <c r="B23" s="2"/>
      <c r="C23" s="2"/>
      <c r="D23" s="2"/>
      <c r="E23" s="2"/>
      <c r="F23" s="2"/>
      <c r="G23" s="2"/>
      <c r="H23" s="67"/>
    </row>
    <row r="24" spans="1:30" x14ac:dyDescent="0.2">
      <c r="A24" s="3"/>
      <c r="B24" s="2"/>
      <c r="C24" s="2"/>
      <c r="D24" s="2"/>
      <c r="E24" s="2"/>
      <c r="F24" s="2"/>
      <c r="G24" s="2"/>
      <c r="H24" s="67"/>
    </row>
    <row r="25" spans="1:30" x14ac:dyDescent="0.2">
      <c r="A25" s="3"/>
      <c r="B25" s="2"/>
      <c r="C25" s="2"/>
      <c r="D25" s="2"/>
      <c r="E25" s="2"/>
      <c r="F25" s="2"/>
      <c r="G25" s="2"/>
      <c r="H25" s="67"/>
    </row>
    <row r="26" spans="1:30" x14ac:dyDescent="0.2">
      <c r="A26" s="3"/>
      <c r="B26" s="2"/>
      <c r="C26" s="2"/>
      <c r="D26" s="2"/>
      <c r="E26" s="2"/>
      <c r="F26" s="2"/>
      <c r="G26" s="2"/>
      <c r="H26" s="67"/>
    </row>
    <row r="27" spans="1:30" x14ac:dyDescent="0.2">
      <c r="A27" s="3"/>
      <c r="B27" s="2"/>
      <c r="C27" s="2"/>
      <c r="D27" s="2"/>
      <c r="E27" s="2"/>
      <c r="F27" s="2"/>
      <c r="G27" s="2"/>
      <c r="H27" s="67"/>
    </row>
    <row r="28" spans="1:30" x14ac:dyDescent="0.2">
      <c r="A28" s="3"/>
      <c r="B28" s="2"/>
      <c r="C28" s="2"/>
      <c r="D28" s="2"/>
      <c r="E28" s="2"/>
      <c r="F28" s="2"/>
      <c r="G28" s="2"/>
      <c r="H28" s="67"/>
    </row>
    <row r="29" spans="1:30" x14ac:dyDescent="0.2">
      <c r="A29" s="3"/>
      <c r="B29" s="2"/>
      <c r="C29" s="2"/>
      <c r="D29" s="2"/>
      <c r="E29" s="2"/>
      <c r="F29" s="2"/>
      <c r="G29" s="2"/>
      <c r="H29" s="67"/>
    </row>
    <row r="30" spans="1:30" x14ac:dyDescent="0.2">
      <c r="A30" s="3"/>
      <c r="B30" s="2"/>
      <c r="C30" s="2"/>
      <c r="D30" s="2"/>
      <c r="E30" s="2"/>
      <c r="F30" s="2"/>
      <c r="G30" s="2"/>
      <c r="H30" s="67"/>
    </row>
    <row r="31" spans="1:30" x14ac:dyDescent="0.2">
      <c r="A31" s="3"/>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2019</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
      <c r="A33" s="3"/>
      <c r="B33" s="2"/>
      <c r="C33" s="2"/>
      <c r="D33" s="2"/>
      <c r="E33" s="2"/>
      <c r="F33" s="2"/>
      <c r="G33" s="2"/>
      <c r="H33" s="67"/>
    </row>
    <row r="34" spans="1:8" x14ac:dyDescent="0.2">
      <c r="A34" s="3"/>
      <c r="B34" s="2"/>
      <c r="C34" s="2"/>
      <c r="D34" s="2"/>
      <c r="E34" s="2"/>
      <c r="F34" s="2"/>
      <c r="G34" s="2"/>
      <c r="H34" s="67"/>
    </row>
    <row r="35" spans="1:8" x14ac:dyDescent="0.2">
      <c r="A35" s="3"/>
      <c r="B35" s="2"/>
      <c r="C35" s="2"/>
      <c r="D35" s="2"/>
      <c r="E35" s="2"/>
      <c r="F35" s="2"/>
      <c r="G35" s="2"/>
      <c r="H35" s="67"/>
    </row>
    <row r="36" spans="1:8" x14ac:dyDescent="0.2">
      <c r="A36" s="3"/>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115"/>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Skadestatistikk</v>
      </c>
      <c r="H61" s="197">
        <v>4</v>
      </c>
      <c r="I61" s="54" t="str">
        <f>+Innhold!B123</f>
        <v>Finans Norge / Skadestatistikk</v>
      </c>
      <c r="O61" s="197">
        <v>5</v>
      </c>
      <c r="P61" s="54" t="str">
        <f>+Innhold!B123</f>
        <v>Finans Norge / Skadestatistikk</v>
      </c>
      <c r="V61" s="197">
        <v>6</v>
      </c>
      <c r="W61" s="54" t="str">
        <f>+Innhold!B123</f>
        <v>Finans Norge / Skadestatistikk</v>
      </c>
      <c r="AC61" s="197">
        <v>7</v>
      </c>
      <c r="AD61" s="54" t="str">
        <f>+Innhold!B123</f>
        <v>Finans Norge / Skadestatistikk</v>
      </c>
      <c r="AJ61" s="197">
        <v>8</v>
      </c>
    </row>
    <row r="62" spans="1:36" x14ac:dyDescent="0.2">
      <c r="A62" s="54" t="str">
        <f>+Innhold!B124</f>
        <v>Skadestatistikk for landbasert forsikring 2. kvartal 2019</v>
      </c>
      <c r="H62" s="198"/>
      <c r="I62" s="54" t="str">
        <f>+Innhold!B124</f>
        <v>Skadestatistikk for landbasert forsikring 2. kvartal 2019</v>
      </c>
      <c r="O62" s="198"/>
      <c r="P62" s="54" t="str">
        <f>+Innhold!B124</f>
        <v>Skadestatistikk for landbasert forsikring 2. kvartal 2019</v>
      </c>
      <c r="V62" s="198"/>
      <c r="W62" s="54" t="str">
        <f>+Innhold!B124</f>
        <v>Skadestatistikk for landbasert forsikring 2. kvartal 2019</v>
      </c>
      <c r="AC62" s="198"/>
      <c r="AD62" s="54" t="str">
        <f>+Innhold!B124</f>
        <v>Skadestatistikk for landbasert forsikring 2. kvartal 2019</v>
      </c>
      <c r="AJ62" s="198"/>
    </row>
    <row r="67" spans="1:32" ht="12.75" customHeight="1" x14ac:dyDescent="0.2">
      <c r="P67" s="218"/>
      <c r="Q67" s="218"/>
      <c r="R67" s="218"/>
      <c r="S67" s="218"/>
      <c r="T67" s="218"/>
      <c r="U67" s="218"/>
      <c r="V67" s="218"/>
      <c r="W67" s="218"/>
      <c r="X67" s="218"/>
      <c r="Y67" s="218"/>
      <c r="Z67" s="218"/>
      <c r="AA67" s="218"/>
      <c r="AB67" s="218"/>
      <c r="AC67" s="218"/>
      <c r="AD67" s="218"/>
      <c r="AE67" s="218"/>
      <c r="AF67" s="218"/>
    </row>
    <row r="68" spans="1:32" ht="12.75" customHeight="1" x14ac:dyDescent="0.2">
      <c r="M68" s="106" t="s">
        <v>178</v>
      </c>
      <c r="P68" s="219" t="s">
        <v>180</v>
      </c>
      <c r="Q68" s="218"/>
      <c r="R68" s="218"/>
      <c r="S68" s="219" t="s">
        <v>179</v>
      </c>
      <c r="T68" s="218"/>
      <c r="U68" s="218"/>
      <c r="V68" s="218"/>
      <c r="W68" s="218"/>
      <c r="X68" s="218"/>
      <c r="Y68" s="218"/>
      <c r="Z68" s="218"/>
      <c r="AA68" s="218"/>
      <c r="AB68" s="218"/>
      <c r="AC68" s="218"/>
      <c r="AD68" s="218"/>
      <c r="AE68" s="218"/>
      <c r="AF68" s="218"/>
    </row>
    <row r="69" spans="1:32" x14ac:dyDescent="0.2">
      <c r="A69" s="68" t="s">
        <v>184</v>
      </c>
      <c r="B69" s="97"/>
      <c r="C69" s="97"/>
      <c r="D69" s="97" t="s">
        <v>74</v>
      </c>
      <c r="E69" s="97"/>
      <c r="F69" s="97"/>
      <c r="G69" s="97"/>
      <c r="H69" s="68"/>
      <c r="I69" s="89">
        <v>151.62166666666664</v>
      </c>
      <c r="J69" s="107" t="s">
        <v>235</v>
      </c>
      <c r="M69" s="106" t="s">
        <v>162</v>
      </c>
      <c r="P69" s="219" t="s">
        <v>176</v>
      </c>
      <c r="Q69" s="218"/>
      <c r="R69" s="218"/>
      <c r="S69" s="219" t="s">
        <v>177</v>
      </c>
      <c r="T69" s="218"/>
      <c r="U69" s="218"/>
      <c r="V69" s="220" t="s">
        <v>185</v>
      </c>
      <c r="W69" s="221"/>
      <c r="X69" s="221"/>
      <c r="Y69" s="221"/>
      <c r="Z69" s="221"/>
      <c r="AA69" s="218"/>
      <c r="AB69" s="218"/>
      <c r="AC69" s="218"/>
      <c r="AD69" s="218"/>
      <c r="AE69" s="218"/>
      <c r="AF69" s="218"/>
    </row>
    <row r="70" spans="1:32" x14ac:dyDescent="0.2">
      <c r="A70" s="97" t="s">
        <v>75</v>
      </c>
      <c r="B70" s="97" t="s">
        <v>76</v>
      </c>
      <c r="C70" s="97" t="s">
        <v>26</v>
      </c>
      <c r="D70" s="97" t="s">
        <v>77</v>
      </c>
      <c r="E70" s="97"/>
      <c r="F70" s="97"/>
      <c r="G70" s="97"/>
      <c r="I70" s="103" t="s">
        <v>160</v>
      </c>
      <c r="J70" s="1" t="s">
        <v>232</v>
      </c>
      <c r="K70" s="103" t="s">
        <v>76</v>
      </c>
      <c r="L70" s="103" t="s">
        <v>108</v>
      </c>
      <c r="M70" s="103" t="s">
        <v>158</v>
      </c>
      <c r="N70" s="103" t="s">
        <v>159</v>
      </c>
      <c r="O70" s="103" t="s">
        <v>108</v>
      </c>
      <c r="P70" s="222" t="s">
        <v>158</v>
      </c>
      <c r="Q70" s="222" t="s">
        <v>159</v>
      </c>
      <c r="R70" s="222" t="s">
        <v>108</v>
      </c>
      <c r="S70" s="222" t="s">
        <v>158</v>
      </c>
      <c r="T70" s="222" t="s">
        <v>159</v>
      </c>
      <c r="U70" s="218"/>
      <c r="V70" s="221" t="s">
        <v>81</v>
      </c>
      <c r="W70" s="221"/>
      <c r="X70" s="223" t="str">
        <f>+'Tab3'!C6</f>
        <v>2017</v>
      </c>
      <c r="Y70" s="223" t="str">
        <f>+'Tab3'!D6</f>
        <v>2018</v>
      </c>
      <c r="Z70" s="223" t="str">
        <f>+'Tab3'!E6</f>
        <v>2019</v>
      </c>
      <c r="AA70" s="218"/>
      <c r="AB70" s="218"/>
      <c r="AC70" s="218"/>
      <c r="AD70" s="218"/>
      <c r="AE70" s="218"/>
      <c r="AF70" s="218"/>
    </row>
    <row r="71" spans="1:32" x14ac:dyDescent="0.2">
      <c r="A71" s="97">
        <v>1</v>
      </c>
      <c r="B71" s="97">
        <v>1983</v>
      </c>
      <c r="C71" s="97">
        <v>97</v>
      </c>
      <c r="D71" s="97">
        <v>78.3</v>
      </c>
      <c r="E71" s="97"/>
      <c r="F71" s="97"/>
      <c r="G71" s="97"/>
      <c r="I71" s="105">
        <v>53.8</v>
      </c>
      <c r="J71" s="1">
        <v>1</v>
      </c>
      <c r="K71" s="1">
        <v>1983</v>
      </c>
      <c r="L71" s="104">
        <v>11621</v>
      </c>
      <c r="M71" s="105">
        <v>80.900000000000006</v>
      </c>
      <c r="N71" s="105">
        <f t="shared" ref="N71:N102" si="0">M71/I71*$I$69</f>
        <v>227.99614931846344</v>
      </c>
      <c r="P71" s="218"/>
      <c r="Q71" s="218"/>
      <c r="R71" s="218"/>
      <c r="S71" s="218"/>
      <c r="T71" s="218"/>
      <c r="U71" s="218"/>
      <c r="V71" s="221"/>
      <c r="W71" s="221"/>
      <c r="X71" s="221"/>
      <c r="Y71" s="221"/>
      <c r="Z71" s="221"/>
      <c r="AA71" s="218"/>
      <c r="AB71" s="218"/>
      <c r="AC71" s="218"/>
      <c r="AD71" s="218"/>
      <c r="AE71" s="218"/>
      <c r="AF71" s="218"/>
    </row>
    <row r="72" spans="1:32" x14ac:dyDescent="0.2">
      <c r="A72" s="97">
        <v>2</v>
      </c>
      <c r="B72" s="97"/>
      <c r="C72" s="97">
        <v>78.8</v>
      </c>
      <c r="D72" s="97">
        <v>61.3</v>
      </c>
      <c r="E72" s="97"/>
      <c r="F72" s="97"/>
      <c r="G72" s="97"/>
      <c r="I72" s="105">
        <v>54.7</v>
      </c>
      <c r="J72" s="1">
        <v>2</v>
      </c>
      <c r="L72" s="104">
        <v>11120</v>
      </c>
      <c r="M72" s="105">
        <v>68.900000000000006</v>
      </c>
      <c r="N72" s="105">
        <f t="shared" si="0"/>
        <v>190.9823187081048</v>
      </c>
      <c r="P72" s="218"/>
      <c r="Q72" s="218"/>
      <c r="R72" s="218"/>
      <c r="S72" s="218"/>
      <c r="T72" s="218"/>
      <c r="U72" s="218"/>
      <c r="V72" s="221" t="s">
        <v>26</v>
      </c>
      <c r="W72" s="221"/>
      <c r="X72" s="224">
        <f>IF('Tab6'!C36="",'Tab6'!C35,'Tab6'!C36)</f>
        <v>7089.2407625657042</v>
      </c>
      <c r="Y72" s="224">
        <f>IF('Tab6'!D36="",'Tab6'!D35,'Tab6'!D36)</f>
        <v>7698.8709484340907</v>
      </c>
      <c r="Z72" s="224">
        <f>IF('Tab6'!E36="",'Tab6'!E35,'Tab6'!E36)</f>
        <v>8046.5419179562896</v>
      </c>
      <c r="AA72" s="218"/>
      <c r="AB72" s="218"/>
      <c r="AC72" s="218"/>
      <c r="AD72" s="218"/>
      <c r="AE72" s="218"/>
      <c r="AF72" s="218"/>
    </row>
    <row r="73" spans="1:32" x14ac:dyDescent="0.2">
      <c r="A73" s="97">
        <v>3</v>
      </c>
      <c r="B73" s="97"/>
      <c r="C73" s="97">
        <v>84.8</v>
      </c>
      <c r="D73" s="97">
        <v>63</v>
      </c>
      <c r="E73" s="97"/>
      <c r="F73" s="97"/>
      <c r="G73" s="97"/>
      <c r="I73" s="105">
        <v>55.3</v>
      </c>
      <c r="J73" s="1">
        <v>3</v>
      </c>
      <c r="L73" s="104">
        <v>11918</v>
      </c>
      <c r="M73" s="105">
        <v>63.7</v>
      </c>
      <c r="N73" s="105">
        <f t="shared" si="0"/>
        <v>174.65280590717299</v>
      </c>
      <c r="P73" s="218"/>
      <c r="Q73" s="218"/>
      <c r="R73" s="218"/>
      <c r="S73" s="218"/>
      <c r="T73" s="218"/>
      <c r="U73" s="218"/>
      <c r="V73" s="221"/>
      <c r="W73" s="221"/>
      <c r="X73" s="224"/>
      <c r="Y73" s="224"/>
      <c r="Z73" s="224"/>
      <c r="AA73" s="218"/>
      <c r="AB73" s="218"/>
      <c r="AC73" s="218"/>
      <c r="AD73" s="218"/>
      <c r="AE73" s="218"/>
      <c r="AF73" s="218"/>
    </row>
    <row r="74" spans="1:32" x14ac:dyDescent="0.2">
      <c r="A74" s="97">
        <v>4</v>
      </c>
      <c r="B74" s="97"/>
      <c r="C74" s="97">
        <v>91.2</v>
      </c>
      <c r="D74" s="97">
        <v>70.8</v>
      </c>
      <c r="E74" s="97"/>
      <c r="F74" s="97"/>
      <c r="G74" s="97"/>
      <c r="I74" s="105">
        <v>56.2</v>
      </c>
      <c r="J74" s="1">
        <v>4</v>
      </c>
      <c r="L74" s="104">
        <v>11905</v>
      </c>
      <c r="M74" s="105">
        <v>79.3</v>
      </c>
      <c r="N74" s="105">
        <f t="shared" si="0"/>
        <v>213.94302787663105</v>
      </c>
      <c r="P74" s="218"/>
      <c r="Q74" s="218"/>
      <c r="R74" s="218"/>
      <c r="S74" s="218"/>
      <c r="T74" s="218"/>
      <c r="U74" s="218"/>
      <c r="V74" s="221" t="s">
        <v>63</v>
      </c>
      <c r="W74" s="221"/>
      <c r="X74" s="224">
        <f>IF('Tab6'!C36="",'Tab6'!C45+'Tab6'!C47,'Tab6'!C46+'Tab6'!C48)</f>
        <v>92.777836120833953</v>
      </c>
      <c r="Y74" s="224">
        <f>IF('Tab6'!D36="",'Tab6'!D45+'Tab6'!D47,'Tab6'!D46+'Tab6'!D48)</f>
        <v>93.279085987252842</v>
      </c>
      <c r="Z74" s="224">
        <f>IF('Tab6'!E36="",'Tab6'!E45+'Tab6'!E47,'Tab6'!E46+'Tab6'!E48)</f>
        <v>135.29004225738475</v>
      </c>
      <c r="AA74" s="218"/>
      <c r="AB74" s="218"/>
      <c r="AC74" s="218"/>
      <c r="AD74" s="218"/>
      <c r="AE74" s="218"/>
      <c r="AF74" s="218"/>
    </row>
    <row r="75" spans="1:32" x14ac:dyDescent="0.2">
      <c r="A75" s="97">
        <v>1</v>
      </c>
      <c r="B75" s="97">
        <v>1984</v>
      </c>
      <c r="C75" s="97">
        <v>112.2</v>
      </c>
      <c r="D75" s="97">
        <v>90.4</v>
      </c>
      <c r="E75" s="97"/>
      <c r="F75" s="97"/>
      <c r="G75" s="97"/>
      <c r="I75" s="105">
        <v>57.3</v>
      </c>
      <c r="J75" s="1">
        <v>1</v>
      </c>
      <c r="K75" s="1">
        <v>1984</v>
      </c>
      <c r="L75" s="104">
        <v>13205</v>
      </c>
      <c r="M75" s="105">
        <v>86.7</v>
      </c>
      <c r="N75" s="105">
        <f t="shared" si="0"/>
        <v>229.41707678883071</v>
      </c>
      <c r="P75" s="218"/>
      <c r="Q75" s="218"/>
      <c r="R75" s="218"/>
      <c r="S75" s="218"/>
      <c r="T75" s="218"/>
      <c r="U75" s="218"/>
      <c r="V75" s="221" t="s">
        <v>39</v>
      </c>
      <c r="W75" s="221"/>
      <c r="X75" s="224">
        <f>IF('Tab6'!C36="",'Tab6'!C49,'Tab6'!C50)</f>
        <v>835.24716621188054</v>
      </c>
      <c r="Y75" s="224">
        <f>IF('Tab6'!D36="",'Tab6'!D49,'Tab6'!D50)</f>
        <v>812.75420314831831</v>
      </c>
      <c r="Z75" s="224">
        <f>IF('Tab6'!E36="",'Tab6'!E49,'Tab6'!E50)</f>
        <v>818.78967411403482</v>
      </c>
      <c r="AA75" s="218"/>
      <c r="AB75" s="218"/>
      <c r="AC75" s="218"/>
      <c r="AD75" s="218"/>
      <c r="AE75" s="218"/>
      <c r="AF75" s="218"/>
    </row>
    <row r="76" spans="1:32" x14ac:dyDescent="0.2">
      <c r="A76" s="97">
        <v>2</v>
      </c>
      <c r="B76" s="97"/>
      <c r="C76" s="97">
        <v>81.8</v>
      </c>
      <c r="D76" s="97">
        <v>64.400000000000006</v>
      </c>
      <c r="E76" s="97"/>
      <c r="F76" s="97"/>
      <c r="G76" s="97"/>
      <c r="I76" s="105">
        <v>58.2</v>
      </c>
      <c r="J76" s="1">
        <v>2</v>
      </c>
      <c r="L76" s="104">
        <v>12453</v>
      </c>
      <c r="M76" s="105">
        <v>83.3</v>
      </c>
      <c r="N76" s="105">
        <f t="shared" si="0"/>
        <v>217.01176689576167</v>
      </c>
      <c r="P76" s="218"/>
      <c r="Q76" s="218"/>
      <c r="R76" s="218"/>
      <c r="S76" s="218"/>
      <c r="T76" s="218"/>
      <c r="U76" s="218"/>
      <c r="V76" s="221" t="s">
        <v>18</v>
      </c>
      <c r="W76" s="221"/>
      <c r="X76" s="224">
        <f>IF('Tab6'!C36="",'Tab6'!C43,'Tab6'!C44)</f>
        <v>121.01125307828093</v>
      </c>
      <c r="Y76" s="224">
        <f>IF('Tab6'!D36="",'Tab6'!D43,'Tab6'!D44)</f>
        <v>139.06257217275049</v>
      </c>
      <c r="Z76" s="224">
        <f>IF('Tab6'!E36="",'Tab6'!E43,'Tab6'!E44)</f>
        <v>145.16111418247914</v>
      </c>
      <c r="AA76" s="218"/>
      <c r="AB76" s="218"/>
      <c r="AC76" s="218"/>
      <c r="AD76" s="218"/>
      <c r="AE76" s="218"/>
      <c r="AF76" s="218"/>
    </row>
    <row r="77" spans="1:32" x14ac:dyDescent="0.2">
      <c r="A77" s="97">
        <v>3</v>
      </c>
      <c r="B77" s="97"/>
      <c r="C77" s="97">
        <v>90.4</v>
      </c>
      <c r="D77" s="97">
        <v>71.099999999999994</v>
      </c>
      <c r="E77" s="97"/>
      <c r="F77" s="97"/>
      <c r="G77" s="97"/>
      <c r="I77" s="105">
        <v>58.7</v>
      </c>
      <c r="J77" s="1">
        <v>3</v>
      </c>
      <c r="L77" s="104">
        <v>12278</v>
      </c>
      <c r="M77" s="105">
        <v>83.3</v>
      </c>
      <c r="N77" s="105">
        <f t="shared" si="0"/>
        <v>215.16328506530374</v>
      </c>
      <c r="P77" s="218"/>
      <c r="Q77" s="218"/>
      <c r="R77" s="218"/>
      <c r="S77" s="218"/>
      <c r="T77" s="218"/>
      <c r="U77" s="218"/>
      <c r="V77" s="221" t="s">
        <v>82</v>
      </c>
      <c r="W77" s="221"/>
      <c r="X77" s="224">
        <f>IF('Tab6'!C36="",'Tab6'!C37+'Tab6'!C39,'Tab6'!C38+'Tab6'!C40)</f>
        <v>749.95290982820723</v>
      </c>
      <c r="Y77" s="224">
        <f>IF('Tab6'!D36="",'Tab6'!D37+'Tab6'!D39,'Tab6'!D38+'Tab6'!D40)</f>
        <v>654.66372392764401</v>
      </c>
      <c r="Z77" s="224">
        <f>IF('Tab6'!E36="",'Tab6'!E37+'Tab6'!E39,'Tab6'!E38+'Tab6'!E40)</f>
        <v>778.14138494012491</v>
      </c>
      <c r="AA77" s="218"/>
      <c r="AB77" s="218"/>
      <c r="AC77" s="218"/>
      <c r="AD77" s="218"/>
      <c r="AE77" s="218"/>
      <c r="AF77" s="218"/>
    </row>
    <row r="78" spans="1:32" x14ac:dyDescent="0.2">
      <c r="A78" s="97">
        <v>4</v>
      </c>
      <c r="B78" s="97"/>
      <c r="C78" s="97">
        <v>92.9</v>
      </c>
      <c r="D78" s="97">
        <v>73.900000000000006</v>
      </c>
      <c r="E78" s="97"/>
      <c r="F78" s="97"/>
      <c r="G78" s="97"/>
      <c r="I78" s="105">
        <v>59.6</v>
      </c>
      <c r="J78" s="1">
        <v>4</v>
      </c>
      <c r="L78" s="104">
        <v>11449</v>
      </c>
      <c r="M78" s="105">
        <v>94.6</v>
      </c>
      <c r="N78" s="105">
        <f t="shared" si="0"/>
        <v>240.66123601789701</v>
      </c>
      <c r="P78" s="218"/>
      <c r="Q78" s="218"/>
      <c r="R78" s="218"/>
      <c r="S78" s="218"/>
      <c r="T78" s="218"/>
      <c r="U78" s="218"/>
      <c r="V78" s="221" t="s">
        <v>83</v>
      </c>
      <c r="W78" s="221"/>
      <c r="X78" s="225">
        <f>X72-X77-X76-X75-X74</f>
        <v>5290.2515973265017</v>
      </c>
      <c r="Y78" s="225">
        <f>Y72-Y77-Y76-Y75-Y74</f>
        <v>5999.1113631981252</v>
      </c>
      <c r="Z78" s="225">
        <f>Z72-Z77-Z76-Z75-Z74</f>
        <v>6169.1597024622661</v>
      </c>
      <c r="AA78" s="218"/>
      <c r="AB78" s="218"/>
      <c r="AC78" s="218"/>
      <c r="AD78" s="218"/>
      <c r="AE78" s="218"/>
      <c r="AF78" s="218"/>
    </row>
    <row r="79" spans="1:32" x14ac:dyDescent="0.2">
      <c r="A79" s="97">
        <v>1</v>
      </c>
      <c r="B79" s="97">
        <v>1985</v>
      </c>
      <c r="C79" s="97">
        <v>123.4</v>
      </c>
      <c r="D79" s="97">
        <v>100.8</v>
      </c>
      <c r="E79" s="97"/>
      <c r="F79" s="97"/>
      <c r="G79" s="97"/>
      <c r="I79" s="105">
        <v>60.4</v>
      </c>
      <c r="J79" s="1">
        <v>1</v>
      </c>
      <c r="K79" s="1">
        <v>1985</v>
      </c>
      <c r="L79" s="104">
        <v>16918</v>
      </c>
      <c r="M79" s="105">
        <v>103.6</v>
      </c>
      <c r="N79" s="105">
        <f t="shared" si="0"/>
        <v>260.06630242825599</v>
      </c>
      <c r="P79" s="218"/>
      <c r="Q79" s="218"/>
      <c r="R79" s="218"/>
      <c r="S79" s="218"/>
      <c r="T79" s="218"/>
      <c r="U79" s="218"/>
      <c r="V79" s="221"/>
      <c r="W79" s="221"/>
      <c r="X79" s="221"/>
      <c r="Y79" s="221"/>
      <c r="Z79" s="221"/>
      <c r="AA79" s="218"/>
      <c r="AB79" s="218"/>
      <c r="AC79" s="218"/>
      <c r="AD79" s="218"/>
      <c r="AE79" s="218"/>
      <c r="AF79" s="218"/>
    </row>
    <row r="80" spans="1:32" x14ac:dyDescent="0.2">
      <c r="A80" s="97">
        <v>2</v>
      </c>
      <c r="B80" s="97"/>
      <c r="C80" s="97">
        <v>102</v>
      </c>
      <c r="D80" s="97">
        <v>81.099999999999994</v>
      </c>
      <c r="E80" s="97"/>
      <c r="F80" s="97"/>
      <c r="G80" s="97"/>
      <c r="I80" s="105">
        <v>61.5</v>
      </c>
      <c r="J80" s="1">
        <v>2</v>
      </c>
      <c r="L80" s="104">
        <v>14237</v>
      </c>
      <c r="M80" s="105">
        <v>115.3</v>
      </c>
      <c r="N80" s="105">
        <f t="shared" si="0"/>
        <v>284.25980758807583</v>
      </c>
      <c r="P80" s="218"/>
      <c r="Q80" s="218"/>
      <c r="R80" s="218"/>
      <c r="S80" s="218"/>
      <c r="T80" s="218"/>
      <c r="U80" s="218"/>
      <c r="V80" s="220" t="s">
        <v>163</v>
      </c>
      <c r="W80" s="221"/>
      <c r="X80" s="221"/>
      <c r="Y80" s="221"/>
      <c r="Z80" s="218"/>
      <c r="AA80" s="218"/>
      <c r="AB80" s="218"/>
      <c r="AC80" s="218"/>
      <c r="AD80" s="218"/>
      <c r="AE80" s="218"/>
      <c r="AF80" s="218"/>
    </row>
    <row r="81" spans="1:32" x14ac:dyDescent="0.2">
      <c r="A81" s="97">
        <v>3</v>
      </c>
      <c r="B81" s="97"/>
      <c r="C81" s="97">
        <v>108.4</v>
      </c>
      <c r="D81" s="97">
        <v>86</v>
      </c>
      <c r="E81" s="97"/>
      <c r="F81" s="97"/>
      <c r="G81" s="97"/>
      <c r="I81" s="105">
        <v>62</v>
      </c>
      <c r="J81" s="1">
        <v>3</v>
      </c>
      <c r="L81" s="104">
        <v>14329</v>
      </c>
      <c r="M81" s="105">
        <v>103</v>
      </c>
      <c r="N81" s="105">
        <f t="shared" si="0"/>
        <v>251.88760752688168</v>
      </c>
      <c r="P81" s="218"/>
      <c r="Q81" s="218"/>
      <c r="R81" s="218"/>
      <c r="S81" s="218"/>
      <c r="T81" s="218"/>
      <c r="U81" s="218"/>
      <c r="V81" s="221"/>
      <c r="W81" s="221"/>
      <c r="X81" s="221"/>
      <c r="Y81" s="221"/>
      <c r="Z81" s="218"/>
      <c r="AA81" s="218"/>
      <c r="AB81" s="218"/>
      <c r="AC81" s="218"/>
      <c r="AD81" s="218"/>
      <c r="AE81" s="218"/>
      <c r="AF81" s="218"/>
    </row>
    <row r="82" spans="1:32" x14ac:dyDescent="0.2">
      <c r="A82" s="97">
        <v>4</v>
      </c>
      <c r="B82" s="97"/>
      <c r="C82" s="97">
        <v>109.6</v>
      </c>
      <c r="D82" s="97">
        <v>87.1</v>
      </c>
      <c r="E82" s="97"/>
      <c r="F82" s="97"/>
      <c r="G82" s="97"/>
      <c r="I82" s="105">
        <v>63</v>
      </c>
      <c r="J82" s="1">
        <v>4</v>
      </c>
      <c r="L82" s="104">
        <v>13060</v>
      </c>
      <c r="M82" s="105">
        <v>118.7</v>
      </c>
      <c r="N82" s="105">
        <f t="shared" si="0"/>
        <v>285.67447354497347</v>
      </c>
      <c r="P82" s="218"/>
      <c r="Q82" s="218"/>
      <c r="R82" s="218"/>
      <c r="S82" s="218"/>
      <c r="T82" s="218"/>
      <c r="U82" s="218"/>
      <c r="V82" s="221"/>
      <c r="W82" s="223" t="str">
        <f>+'Tab4'!C6</f>
        <v>2017</v>
      </c>
      <c r="X82" s="223" t="str">
        <f>+'Tab4'!D6</f>
        <v>2018</v>
      </c>
      <c r="Y82" s="223" t="str">
        <f>+'Tab4'!E6</f>
        <v>2019</v>
      </c>
      <c r="Z82" s="218"/>
      <c r="AA82" s="218"/>
      <c r="AB82" s="218"/>
      <c r="AC82" s="218"/>
      <c r="AD82" s="218"/>
      <c r="AE82" s="218"/>
      <c r="AF82" s="218"/>
    </row>
    <row r="83" spans="1:32" x14ac:dyDescent="0.2">
      <c r="A83" s="97">
        <v>1</v>
      </c>
      <c r="B83" s="97">
        <v>1986</v>
      </c>
      <c r="C83" s="97">
        <v>141</v>
      </c>
      <c r="D83" s="97">
        <v>115.2</v>
      </c>
      <c r="E83" s="97"/>
      <c r="F83" s="97"/>
      <c r="G83" s="97"/>
      <c r="I83" s="105">
        <v>64</v>
      </c>
      <c r="J83" s="1">
        <v>1</v>
      </c>
      <c r="K83" s="1">
        <v>1986</v>
      </c>
      <c r="L83" s="104">
        <v>14314</v>
      </c>
      <c r="M83" s="105">
        <v>111.8</v>
      </c>
      <c r="N83" s="105">
        <f t="shared" si="0"/>
        <v>264.86409895833327</v>
      </c>
      <c r="P83" s="218"/>
      <c r="Q83" s="218"/>
      <c r="R83" s="218"/>
      <c r="S83" s="218"/>
      <c r="T83" s="218"/>
      <c r="U83" s="218"/>
      <c r="V83" s="221" t="s">
        <v>84</v>
      </c>
      <c r="W83" s="224">
        <f>IF('Tab4'!C14="",'Tab4'!C13,'Tab4'!C14)</f>
        <v>3523.3386332618038</v>
      </c>
      <c r="X83" s="224">
        <f>IF('Tab4'!D14="",'Tab4'!D13,'Tab4'!D14)</f>
        <v>4388.2652719303578</v>
      </c>
      <c r="Y83" s="224">
        <f>IF('Tab4'!E14="",'Tab4'!E13,'Tab4'!E14)</f>
        <v>4062.097701355669</v>
      </c>
      <c r="Z83" s="218"/>
      <c r="AA83" s="218"/>
      <c r="AB83" s="218"/>
      <c r="AC83" s="218"/>
      <c r="AD83" s="218"/>
      <c r="AE83" s="218"/>
      <c r="AF83" s="218"/>
    </row>
    <row r="84" spans="1:32" x14ac:dyDescent="0.2">
      <c r="A84" s="97">
        <v>2</v>
      </c>
      <c r="B84" s="97"/>
      <c r="C84" s="97">
        <v>120.5</v>
      </c>
      <c r="D84" s="97">
        <v>93.2</v>
      </c>
      <c r="E84" s="97"/>
      <c r="F84" s="97"/>
      <c r="G84" s="97"/>
      <c r="I84" s="105">
        <v>65</v>
      </c>
      <c r="J84" s="1">
        <v>2</v>
      </c>
      <c r="L84" s="104">
        <v>13505</v>
      </c>
      <c r="M84" s="105">
        <v>121.5</v>
      </c>
      <c r="N84" s="105">
        <f t="shared" si="0"/>
        <v>283.41588461538458</v>
      </c>
      <c r="P84" s="218"/>
      <c r="Q84" s="218"/>
      <c r="R84" s="218"/>
      <c r="S84" s="218"/>
      <c r="T84" s="218"/>
      <c r="U84" s="218"/>
      <c r="V84" s="221" t="s">
        <v>170</v>
      </c>
      <c r="W84" s="224">
        <f>IF('Tab4'!C16="",'Tab4'!C15,'Tab4'!C16)</f>
        <v>2985.4874299653161</v>
      </c>
      <c r="X84" s="224">
        <f>IF('Tab4'!D16="",'Tab4'!D15,'Tab4'!D16)</f>
        <v>2968.4968054676524</v>
      </c>
      <c r="Y84" s="224">
        <f>IF('Tab4'!E16="",'Tab4'!E15,'Tab4'!E16)</f>
        <v>3198.9516949800391</v>
      </c>
      <c r="Z84" s="218"/>
      <c r="AA84" s="218"/>
      <c r="AB84" s="218"/>
      <c r="AC84" s="218"/>
      <c r="AD84" s="218"/>
      <c r="AE84" s="218"/>
      <c r="AF84" s="218"/>
    </row>
    <row r="85" spans="1:32" x14ac:dyDescent="0.2">
      <c r="A85" s="97">
        <v>3</v>
      </c>
      <c r="B85" s="97"/>
      <c r="C85" s="97">
        <v>115.7</v>
      </c>
      <c r="D85" s="97">
        <v>91.1</v>
      </c>
      <c r="E85" s="97"/>
      <c r="F85" s="97"/>
      <c r="G85" s="97"/>
      <c r="I85" s="105">
        <v>67</v>
      </c>
      <c r="J85" s="1">
        <v>3</v>
      </c>
      <c r="L85" s="104">
        <v>12132</v>
      </c>
      <c r="M85" s="105">
        <v>100.8</v>
      </c>
      <c r="N85" s="105">
        <f t="shared" si="0"/>
        <v>228.11140298507459</v>
      </c>
      <c r="P85" s="218"/>
      <c r="Q85" s="218"/>
      <c r="R85" s="218"/>
      <c r="S85" s="218"/>
      <c r="T85" s="218"/>
      <c r="U85" s="218"/>
      <c r="V85" s="221" t="s">
        <v>7</v>
      </c>
      <c r="W85" s="224">
        <f>IF('Tab4'!C18="",'Tab4'!C17,'Tab4'!C18)</f>
        <v>1025.8261380934614</v>
      </c>
      <c r="X85" s="224">
        <f>IF('Tab4'!D18="",'Tab4'!D17,'Tab4'!D18)</f>
        <v>928.78469140608354</v>
      </c>
      <c r="Y85" s="224">
        <f>IF('Tab4'!E18="",'Tab4'!E17,'Tab4'!E18)</f>
        <v>1082.4285095044327</v>
      </c>
      <c r="Z85" s="218"/>
      <c r="AA85" s="218"/>
      <c r="AB85" s="218"/>
      <c r="AC85" s="218"/>
      <c r="AD85" s="218"/>
      <c r="AE85" s="218"/>
      <c r="AF85" s="218"/>
    </row>
    <row r="86" spans="1:32" x14ac:dyDescent="0.2">
      <c r="A86" s="97">
        <v>4</v>
      </c>
      <c r="B86" s="97"/>
      <c r="C86" s="97">
        <v>114.4</v>
      </c>
      <c r="D86" s="97">
        <v>90.8</v>
      </c>
      <c r="E86" s="97"/>
      <c r="F86" s="97"/>
      <c r="G86" s="97"/>
      <c r="I86" s="105">
        <v>68.5</v>
      </c>
      <c r="J86" s="1">
        <v>4</v>
      </c>
      <c r="L86" s="104">
        <v>11763</v>
      </c>
      <c r="M86" s="105">
        <v>120.6</v>
      </c>
      <c r="N86" s="105">
        <f t="shared" si="0"/>
        <v>266.94267153284665</v>
      </c>
      <c r="P86" s="218"/>
      <c r="Q86" s="218"/>
      <c r="R86" s="218"/>
      <c r="S86" s="218"/>
      <c r="T86" s="218"/>
      <c r="U86" s="218"/>
      <c r="V86" s="218" t="s">
        <v>8</v>
      </c>
      <c r="W86" s="224">
        <f>IF('Tab4'!C20="",'Tab4'!C19,'Tab4'!C20)</f>
        <v>908.11823416283517</v>
      </c>
      <c r="X86" s="224">
        <f>IF('Tab4'!D20="",'Tab4'!D19,'Tab4'!D20)</f>
        <v>908.02671589401086</v>
      </c>
      <c r="Y86" s="224">
        <f>IF('Tab4'!E20="",'Tab4'!E19,'Tab4'!E20)</f>
        <v>844.52767250232239</v>
      </c>
      <c r="Z86" s="218"/>
      <c r="AA86" s="218"/>
      <c r="AB86" s="218"/>
      <c r="AC86" s="218"/>
      <c r="AD86" s="218"/>
      <c r="AE86" s="218"/>
      <c r="AF86" s="218"/>
    </row>
    <row r="87" spans="1:32" x14ac:dyDescent="0.2">
      <c r="A87" s="97">
        <v>1</v>
      </c>
      <c r="B87" s="97">
        <v>1987</v>
      </c>
      <c r="C87" s="97">
        <v>152.19999999999999</v>
      </c>
      <c r="D87" s="97">
        <v>121.3</v>
      </c>
      <c r="E87" s="97"/>
      <c r="F87" s="97"/>
      <c r="G87" s="97"/>
      <c r="I87" s="105">
        <v>70.5</v>
      </c>
      <c r="J87" s="1">
        <v>1</v>
      </c>
      <c r="K87" s="1">
        <v>1987</v>
      </c>
      <c r="L87" s="104">
        <v>17280</v>
      </c>
      <c r="M87" s="105">
        <v>135.6</v>
      </c>
      <c r="N87" s="105">
        <f t="shared" si="0"/>
        <v>291.62975886524816</v>
      </c>
      <c r="P87" s="218"/>
      <c r="Q87" s="218"/>
      <c r="R87" s="218"/>
      <c r="S87" s="218"/>
      <c r="T87" s="218"/>
      <c r="U87" s="218"/>
      <c r="V87" s="221" t="s">
        <v>9</v>
      </c>
      <c r="W87" s="224">
        <f>IF('Tab4'!C20="",'Tab4'!C21,'Tab4'!C22)</f>
        <v>259.13745973651857</v>
      </c>
      <c r="X87" s="224">
        <f>IF('Tab4'!D20="",'Tab4'!D21,'Tab4'!D22)</f>
        <v>288.4880988246839</v>
      </c>
      <c r="Y87" s="224">
        <f>IF('Tab4'!E20="",'Tab4'!E21,'Tab4'!E22)</f>
        <v>305.60577524503333</v>
      </c>
      <c r="Z87" s="218"/>
      <c r="AA87" s="218"/>
      <c r="AB87" s="218"/>
      <c r="AC87" s="218"/>
      <c r="AD87" s="218"/>
      <c r="AE87" s="218"/>
      <c r="AF87" s="218"/>
    </row>
    <row r="88" spans="1:32" x14ac:dyDescent="0.2">
      <c r="A88" s="97">
        <v>2</v>
      </c>
      <c r="B88" s="97"/>
      <c r="C88" s="97">
        <v>109.2</v>
      </c>
      <c r="D88" s="97">
        <v>86.1</v>
      </c>
      <c r="E88" s="97"/>
      <c r="F88" s="97"/>
      <c r="G88" s="97"/>
      <c r="I88" s="105">
        <v>71.599999999999994</v>
      </c>
      <c r="J88" s="1">
        <v>2</v>
      </c>
      <c r="L88" s="104">
        <v>12241</v>
      </c>
      <c r="M88" s="105">
        <v>135.9</v>
      </c>
      <c r="N88" s="105">
        <f t="shared" si="0"/>
        <v>287.78469972067035</v>
      </c>
      <c r="P88" s="218"/>
      <c r="Q88" s="218"/>
      <c r="R88" s="218"/>
      <c r="S88" s="218"/>
      <c r="T88" s="218"/>
      <c r="U88" s="218"/>
      <c r="V88" s="221" t="s">
        <v>10</v>
      </c>
      <c r="W88" s="224">
        <f>IF('Tab4'!C22="",'Tab4'!C29,'Tab4'!C30)</f>
        <v>1010.1918736481808</v>
      </c>
      <c r="X88" s="224">
        <f>IF('Tab4'!D22="",'Tab4'!D29,'Tab4'!D30)</f>
        <v>1085.106374696466</v>
      </c>
      <c r="Y88" s="224">
        <f>IF('Tab4'!E22="",'Tab4'!E29,'Tab4'!E30)</f>
        <v>1164.6768455025992</v>
      </c>
      <c r="Z88" s="218"/>
      <c r="AA88" s="218"/>
      <c r="AB88" s="218"/>
      <c r="AC88" s="218"/>
      <c r="AD88" s="218"/>
      <c r="AE88" s="218"/>
      <c r="AF88" s="218"/>
    </row>
    <row r="89" spans="1:32" x14ac:dyDescent="0.2">
      <c r="A89" s="97">
        <v>3</v>
      </c>
      <c r="B89" s="97"/>
      <c r="C89" s="97">
        <v>110.1</v>
      </c>
      <c r="D89" s="97">
        <v>87.3</v>
      </c>
      <c r="E89" s="97"/>
      <c r="F89" s="97"/>
      <c r="G89" s="97"/>
      <c r="I89" s="105">
        <v>72.3</v>
      </c>
      <c r="J89" s="1">
        <v>3</v>
      </c>
      <c r="L89" s="104">
        <v>11506</v>
      </c>
      <c r="M89" s="105">
        <v>112.3</v>
      </c>
      <c r="N89" s="105">
        <f t="shared" si="0"/>
        <v>235.50640617796216</v>
      </c>
      <c r="P89" s="218"/>
      <c r="Q89" s="218"/>
      <c r="R89" s="218"/>
      <c r="S89" s="218"/>
      <c r="T89" s="218"/>
      <c r="U89" s="218"/>
      <c r="V89" s="221" t="s">
        <v>11</v>
      </c>
      <c r="W89" s="224">
        <f>IF('Tab4'!C30="",'Tab4'!C31,'Tab4'!C32)</f>
        <v>194.09698577243887</v>
      </c>
      <c r="X89" s="224">
        <f>IF('Tab4'!D30="",'Tab4'!D31,'Tab4'!D32)</f>
        <v>211.62650225395549</v>
      </c>
      <c r="Y89" s="224">
        <f>IF('Tab4'!E30="",'Tab4'!E31,'Tab4'!E32)</f>
        <v>210.51216448811601</v>
      </c>
      <c r="Z89" s="218"/>
      <c r="AA89" s="218"/>
      <c r="AB89" s="218"/>
      <c r="AC89" s="218"/>
      <c r="AD89" s="218"/>
      <c r="AE89" s="218"/>
      <c r="AF89" s="218"/>
    </row>
    <row r="90" spans="1:32" x14ac:dyDescent="0.2">
      <c r="A90" s="97">
        <v>4</v>
      </c>
      <c r="B90" s="97"/>
      <c r="C90" s="97">
        <v>112</v>
      </c>
      <c r="D90" s="97">
        <v>89.8</v>
      </c>
      <c r="E90" s="97"/>
      <c r="F90" s="97"/>
      <c r="G90" s="97"/>
      <c r="I90" s="105">
        <v>73.599999999999994</v>
      </c>
      <c r="J90" s="1">
        <v>4</v>
      </c>
      <c r="L90" s="104">
        <v>12860</v>
      </c>
      <c r="M90" s="105">
        <v>134.5</v>
      </c>
      <c r="N90" s="105">
        <f t="shared" si="0"/>
        <v>277.08035552536228</v>
      </c>
      <c r="P90" s="218"/>
      <c r="Q90" s="218"/>
      <c r="R90" s="218"/>
      <c r="S90" s="218"/>
      <c r="T90" s="218"/>
      <c r="U90" s="218"/>
      <c r="V90" s="221" t="s">
        <v>12</v>
      </c>
      <c r="W90" s="224">
        <f>IF('Tab4'!C32="",'Tab4'!C33,'Tab4'!C34)</f>
        <v>461.43342745910428</v>
      </c>
      <c r="X90" s="224">
        <f>IF('Tab4'!D32="",'Tab4'!D33,'Tab4'!D34)</f>
        <v>509.7572695697923</v>
      </c>
      <c r="Y90" s="224">
        <f>IF('Tab4'!E32="",'Tab4'!E33,'Tab4'!E34)</f>
        <v>585.27563423107085</v>
      </c>
      <c r="Z90" s="218"/>
      <c r="AA90" s="218"/>
      <c r="AB90" s="218"/>
      <c r="AC90" s="218"/>
      <c r="AD90" s="218"/>
      <c r="AE90" s="218"/>
      <c r="AF90" s="218"/>
    </row>
    <row r="91" spans="1:32" x14ac:dyDescent="0.2">
      <c r="A91" s="97">
        <v>1</v>
      </c>
      <c r="B91" s="97">
        <v>1988</v>
      </c>
      <c r="C91" s="97">
        <v>134.1</v>
      </c>
      <c r="D91" s="97">
        <v>107.5</v>
      </c>
      <c r="E91" s="97"/>
      <c r="F91" s="97"/>
      <c r="G91" s="97"/>
      <c r="I91" s="105">
        <v>75.2</v>
      </c>
      <c r="J91" s="1">
        <v>1</v>
      </c>
      <c r="K91" s="1">
        <v>1988</v>
      </c>
      <c r="L91" s="104">
        <v>10180</v>
      </c>
      <c r="M91" s="105">
        <v>130.80000000000001</v>
      </c>
      <c r="N91" s="105">
        <f t="shared" si="0"/>
        <v>263.72492021276594</v>
      </c>
      <c r="P91" s="218"/>
      <c r="Q91" s="218"/>
      <c r="R91" s="218"/>
      <c r="S91" s="218"/>
      <c r="T91" s="218"/>
      <c r="U91" s="218"/>
      <c r="V91" s="221" t="s">
        <v>13</v>
      </c>
      <c r="W91" s="224">
        <f>IF('Tab4'!C34="",'Tab4'!C35,'Tab4'!C36)</f>
        <v>46.489193005827374</v>
      </c>
      <c r="X91" s="224">
        <f>IF('Tab4'!D34="",'Tab4'!D35,'Tab4'!D36)</f>
        <v>116.93261019898026</v>
      </c>
      <c r="Y91" s="224">
        <f>IF('Tab4'!E34="",'Tab4'!E35,'Tab4'!E36)</f>
        <v>235.6731699503423</v>
      </c>
      <c r="Z91" s="218"/>
      <c r="AA91" s="218"/>
      <c r="AB91" s="218"/>
      <c r="AC91" s="218"/>
      <c r="AD91" s="218"/>
      <c r="AE91" s="218"/>
      <c r="AF91" s="218"/>
    </row>
    <row r="92" spans="1:32" x14ac:dyDescent="0.2">
      <c r="A92" s="97">
        <v>2</v>
      </c>
      <c r="B92" s="97"/>
      <c r="C92" s="97">
        <v>113.7</v>
      </c>
      <c r="D92" s="97">
        <v>90</v>
      </c>
      <c r="E92" s="97"/>
      <c r="F92" s="97"/>
      <c r="G92" s="97"/>
      <c r="I92" s="105">
        <v>76.7</v>
      </c>
      <c r="J92" s="1">
        <v>2</v>
      </c>
      <c r="L92" s="104">
        <v>11081</v>
      </c>
      <c r="M92" s="105">
        <v>95.1</v>
      </c>
      <c r="N92" s="105">
        <f t="shared" si="0"/>
        <v>187.99505215123855</v>
      </c>
      <c r="P92" s="218"/>
      <c r="Q92" s="218"/>
      <c r="R92" s="218"/>
      <c r="S92" s="218"/>
      <c r="T92" s="218"/>
      <c r="U92" s="218"/>
      <c r="V92" s="221" t="s">
        <v>14</v>
      </c>
      <c r="W92" s="224">
        <f>IF('Tab4'!C38="",'Tab4'!C37,'Tab4'!C38)</f>
        <v>363.98026173149066</v>
      </c>
      <c r="X92" s="224">
        <f>IF('Tab4'!D38="",'Tab4'!D37,'Tab4'!D38)</f>
        <v>407.53106160619541</v>
      </c>
      <c r="Y92" s="224">
        <f>IF('Tab4'!E38="",'Tab4'!E37,'Tab4'!E38)</f>
        <v>512.81725711120714</v>
      </c>
      <c r="Z92" s="218"/>
      <c r="AA92" s="218"/>
      <c r="AB92" s="218"/>
      <c r="AC92" s="218"/>
      <c r="AD92" s="218"/>
      <c r="AE92" s="218"/>
      <c r="AF92" s="218"/>
    </row>
    <row r="93" spans="1:32" x14ac:dyDescent="0.2">
      <c r="A93" s="97">
        <v>3</v>
      </c>
      <c r="B93" s="97"/>
      <c r="C93" s="97">
        <v>116.3</v>
      </c>
      <c r="D93" s="97">
        <v>93.1</v>
      </c>
      <c r="E93" s="97"/>
      <c r="F93" s="97"/>
      <c r="G93" s="97"/>
      <c r="I93" s="105">
        <v>77</v>
      </c>
      <c r="J93" s="1">
        <v>3</v>
      </c>
      <c r="L93" s="104">
        <v>15987</v>
      </c>
      <c r="M93" s="105">
        <v>148.69999999999999</v>
      </c>
      <c r="N93" s="105">
        <f t="shared" si="0"/>
        <v>292.80703679653675</v>
      </c>
      <c r="P93" s="218"/>
      <c r="Q93" s="218"/>
      <c r="R93" s="218"/>
      <c r="S93" s="218"/>
      <c r="T93" s="218"/>
      <c r="U93" s="218"/>
      <c r="V93" s="221" t="s">
        <v>85</v>
      </c>
      <c r="W93" s="225">
        <f>SUM(W83:W92)</f>
        <v>10778.099636836978</v>
      </c>
      <c r="X93" s="225">
        <f>SUM(X83:X92)</f>
        <v>11813.015401848181</v>
      </c>
      <c r="Y93" s="225">
        <f>SUM(Y83:Y92)</f>
        <v>12202.566424870833</v>
      </c>
      <c r="Z93" s="218"/>
      <c r="AA93" s="218"/>
      <c r="AB93" s="218"/>
      <c r="AC93" s="218"/>
      <c r="AD93" s="218"/>
      <c r="AE93" s="218"/>
      <c r="AF93" s="218"/>
    </row>
    <row r="94" spans="1:32" x14ac:dyDescent="0.2">
      <c r="A94" s="97">
        <v>4</v>
      </c>
      <c r="B94" s="97"/>
      <c r="C94" s="97">
        <v>115.2</v>
      </c>
      <c r="D94" s="97">
        <v>93.4</v>
      </c>
      <c r="E94" s="97"/>
      <c r="F94" s="97"/>
      <c r="G94" s="97"/>
      <c r="I94" s="105">
        <v>78.099999999999994</v>
      </c>
      <c r="J94" s="1">
        <v>4</v>
      </c>
      <c r="L94" s="104">
        <v>12493</v>
      </c>
      <c r="M94" s="105">
        <v>199.8</v>
      </c>
      <c r="N94" s="105">
        <f t="shared" si="0"/>
        <v>387.8874391805378</v>
      </c>
      <c r="P94" s="218"/>
      <c r="Q94" s="218"/>
      <c r="R94" s="218"/>
      <c r="S94" s="218"/>
      <c r="T94" s="218"/>
      <c r="U94" s="218"/>
      <c r="V94" s="221"/>
      <c r="W94" s="221"/>
      <c r="X94" s="221"/>
      <c r="Y94" s="221"/>
      <c r="Z94" s="218"/>
      <c r="AA94" s="218"/>
      <c r="AB94" s="218"/>
      <c r="AC94" s="218"/>
      <c r="AD94" s="218"/>
      <c r="AE94" s="218"/>
      <c r="AF94" s="218"/>
    </row>
    <row r="95" spans="1:32" x14ac:dyDescent="0.2">
      <c r="A95" s="97">
        <v>1</v>
      </c>
      <c r="B95" s="97">
        <v>1989</v>
      </c>
      <c r="C95" s="97">
        <v>106.6</v>
      </c>
      <c r="D95" s="97">
        <v>86.4</v>
      </c>
      <c r="E95" s="97"/>
      <c r="F95" s="97"/>
      <c r="G95" s="97"/>
      <c r="I95" s="105">
        <v>78.900000000000006</v>
      </c>
      <c r="J95" s="1">
        <v>1</v>
      </c>
      <c r="K95" s="1">
        <v>1989</v>
      </c>
      <c r="L95" s="104">
        <v>10988</v>
      </c>
      <c r="M95" s="105">
        <v>142.6</v>
      </c>
      <c r="N95" s="105">
        <f t="shared" si="0"/>
        <v>274.03358259400079</v>
      </c>
      <c r="P95" s="218"/>
      <c r="Q95" s="218"/>
      <c r="R95" s="218"/>
      <c r="S95" s="218"/>
      <c r="T95" s="218"/>
      <c r="U95" s="218"/>
      <c r="V95" s="221" t="s">
        <v>171</v>
      </c>
      <c r="W95" s="226">
        <f>+W93+X72</f>
        <v>17867.340399402681</v>
      </c>
      <c r="X95" s="226">
        <f>+X93+Y72</f>
        <v>19511.886350282271</v>
      </c>
      <c r="Y95" s="226">
        <f>+Y93+Z72</f>
        <v>20249.108342827123</v>
      </c>
      <c r="Z95" s="218"/>
      <c r="AA95" s="218"/>
      <c r="AB95" s="218"/>
      <c r="AC95" s="218"/>
      <c r="AD95" s="218"/>
      <c r="AE95" s="218"/>
      <c r="AF95" s="218"/>
    </row>
    <row r="96" spans="1:32" x14ac:dyDescent="0.2">
      <c r="A96" s="97">
        <v>2</v>
      </c>
      <c r="B96" s="97"/>
      <c r="C96" s="97">
        <v>98</v>
      </c>
      <c r="D96" s="97">
        <v>79.599999999999994</v>
      </c>
      <c r="E96" s="97"/>
      <c r="F96" s="97"/>
      <c r="G96" s="97"/>
      <c r="I96" s="105">
        <v>80.3</v>
      </c>
      <c r="J96" s="1">
        <v>2</v>
      </c>
      <c r="L96" s="104">
        <v>10292</v>
      </c>
      <c r="M96" s="105">
        <v>117.3</v>
      </c>
      <c r="N96" s="105">
        <f t="shared" si="0"/>
        <v>221.48470112079698</v>
      </c>
      <c r="P96" s="218"/>
      <c r="Q96" s="218"/>
      <c r="R96" s="218"/>
      <c r="S96" s="218"/>
      <c r="T96" s="218"/>
      <c r="U96" s="218"/>
      <c r="V96" s="218"/>
      <c r="W96" s="218"/>
      <c r="X96" s="218"/>
      <c r="Y96" s="218"/>
      <c r="Z96" s="218"/>
      <c r="AA96" s="218"/>
      <c r="AB96" s="218"/>
      <c r="AC96" s="218"/>
      <c r="AD96" s="218"/>
      <c r="AE96" s="218"/>
      <c r="AF96" s="218"/>
    </row>
    <row r="97" spans="1:32" x14ac:dyDescent="0.2">
      <c r="A97" s="97">
        <v>3</v>
      </c>
      <c r="B97" s="97"/>
      <c r="C97" s="97">
        <v>96.9</v>
      </c>
      <c r="D97" s="97">
        <v>79</v>
      </c>
      <c r="E97" s="97"/>
      <c r="F97" s="97"/>
      <c r="G97" s="97"/>
      <c r="I97" s="105">
        <v>80.599999999999994</v>
      </c>
      <c r="J97" s="1">
        <v>3</v>
      </c>
      <c r="L97" s="104">
        <v>11352</v>
      </c>
      <c r="M97" s="105">
        <v>103.6</v>
      </c>
      <c r="N97" s="105">
        <f t="shared" si="0"/>
        <v>194.88839536807274</v>
      </c>
      <c r="P97" s="218"/>
      <c r="Q97" s="218"/>
      <c r="R97" s="218"/>
      <c r="S97" s="218"/>
      <c r="T97" s="218"/>
      <c r="U97" s="218"/>
      <c r="V97" s="218"/>
      <c r="W97" s="218"/>
      <c r="X97" s="218"/>
      <c r="Y97" s="221"/>
      <c r="Z97" s="218"/>
      <c r="AA97" s="218"/>
      <c r="AB97" s="218"/>
      <c r="AC97" s="218"/>
      <c r="AD97" s="218"/>
      <c r="AE97" s="218"/>
      <c r="AF97" s="218"/>
    </row>
    <row r="98" spans="1:32" x14ac:dyDescent="0.2">
      <c r="A98" s="97">
        <v>4</v>
      </c>
      <c r="B98" s="97"/>
      <c r="C98" s="97">
        <v>93.4</v>
      </c>
      <c r="D98" s="97">
        <v>76.8</v>
      </c>
      <c r="E98" s="97"/>
      <c r="F98" s="97"/>
      <c r="G98" s="97"/>
      <c r="I98" s="105">
        <v>81.400000000000006</v>
      </c>
      <c r="J98" s="1">
        <v>4</v>
      </c>
      <c r="L98" s="104">
        <v>11958</v>
      </c>
      <c r="M98" s="105">
        <v>132</v>
      </c>
      <c r="N98" s="105">
        <f t="shared" si="0"/>
        <v>245.87297297297292</v>
      </c>
      <c r="P98" s="218"/>
      <c r="Q98" s="218"/>
      <c r="R98" s="218"/>
      <c r="S98" s="218"/>
      <c r="T98" s="218"/>
      <c r="U98" s="218"/>
      <c r="V98" s="220" t="s">
        <v>186</v>
      </c>
      <c r="W98" s="221"/>
      <c r="X98" s="221"/>
      <c r="Y98" s="221"/>
      <c r="Z98" s="218"/>
      <c r="AA98" s="218"/>
      <c r="AB98" s="218"/>
      <c r="AC98" s="218"/>
      <c r="AD98" s="218"/>
      <c r="AE98" s="218"/>
      <c r="AF98" s="218"/>
    </row>
    <row r="99" spans="1:32" x14ac:dyDescent="0.2">
      <c r="A99" s="97">
        <v>1</v>
      </c>
      <c r="B99" s="97">
        <v>1990</v>
      </c>
      <c r="C99" s="97">
        <v>99.4</v>
      </c>
      <c r="D99" s="97">
        <v>81.3</v>
      </c>
      <c r="E99" s="97"/>
      <c r="F99" s="97"/>
      <c r="G99" s="97"/>
      <c r="I99" s="105">
        <v>82.3</v>
      </c>
      <c r="J99" s="1">
        <v>1</v>
      </c>
      <c r="K99" s="1">
        <v>1990</v>
      </c>
      <c r="L99" s="104">
        <v>13741</v>
      </c>
      <c r="M99" s="105">
        <v>142.9</v>
      </c>
      <c r="N99" s="105">
        <f t="shared" si="0"/>
        <v>263.26532401782094</v>
      </c>
      <c r="P99" s="218"/>
      <c r="Q99" s="218"/>
      <c r="R99" s="218"/>
      <c r="S99" s="218"/>
      <c r="T99" s="218"/>
      <c r="U99" s="218"/>
      <c r="V99" s="221"/>
      <c r="W99" s="218"/>
      <c r="X99" s="221"/>
      <c r="Y99" s="221"/>
      <c r="Z99" s="218"/>
      <c r="AA99" s="218"/>
      <c r="AB99" s="218"/>
      <c r="AC99" s="218"/>
      <c r="AD99" s="218"/>
      <c r="AE99" s="218"/>
      <c r="AF99" s="218"/>
    </row>
    <row r="100" spans="1:32" x14ac:dyDescent="0.2">
      <c r="A100" s="97">
        <v>2</v>
      </c>
      <c r="B100" s="97"/>
      <c r="C100" s="97">
        <v>88.6</v>
      </c>
      <c r="D100" s="97">
        <v>73.099999999999994</v>
      </c>
      <c r="E100" s="97"/>
      <c r="F100" s="97"/>
      <c r="G100" s="97"/>
      <c r="I100" s="105">
        <v>83.4</v>
      </c>
      <c r="J100" s="1">
        <v>2</v>
      </c>
      <c r="L100" s="104">
        <v>10045</v>
      </c>
      <c r="M100" s="105">
        <v>116.5</v>
      </c>
      <c r="N100" s="105">
        <f t="shared" si="0"/>
        <v>211.79765187849716</v>
      </c>
      <c r="P100" s="218"/>
      <c r="Q100" s="218"/>
      <c r="R100" s="218"/>
      <c r="S100" s="218"/>
      <c r="T100" s="218"/>
      <c r="U100" s="218"/>
      <c r="V100" s="221"/>
      <c r="W100" s="223" t="str">
        <f>+W82</f>
        <v>2017</v>
      </c>
      <c r="X100" s="223" t="str">
        <f>+X82</f>
        <v>2018</v>
      </c>
      <c r="Y100" s="223" t="str">
        <f>+Y82</f>
        <v>2019</v>
      </c>
      <c r="Z100" s="218"/>
      <c r="AA100" s="218"/>
      <c r="AB100" s="218"/>
      <c r="AC100" s="218"/>
      <c r="AD100" s="218"/>
      <c r="AE100" s="218"/>
      <c r="AF100" s="218"/>
    </row>
    <row r="101" spans="1:32" x14ac:dyDescent="0.2">
      <c r="A101" s="97">
        <v>3</v>
      </c>
      <c r="B101" s="97"/>
      <c r="C101" s="97">
        <v>88.2</v>
      </c>
      <c r="D101" s="97">
        <v>72.5</v>
      </c>
      <c r="E101" s="97"/>
      <c r="F101" s="97"/>
      <c r="G101" s="97"/>
      <c r="I101" s="105">
        <v>83.7</v>
      </c>
      <c r="J101" s="1">
        <v>3</v>
      </c>
      <c r="L101" s="104">
        <v>10870</v>
      </c>
      <c r="M101" s="105">
        <v>101.4</v>
      </c>
      <c r="N101" s="105">
        <f t="shared" si="0"/>
        <v>183.68502986857825</v>
      </c>
      <c r="P101" s="218"/>
      <c r="Q101" s="218"/>
      <c r="R101" s="218"/>
      <c r="S101" s="218"/>
      <c r="T101" s="218"/>
      <c r="U101" s="218"/>
      <c r="V101" s="221" t="s">
        <v>18</v>
      </c>
      <c r="W101" s="227">
        <f>IF('Tab7'!C10="",+'Tab7'!C9+'Tab11'!C9,+'Tab7'!C10+'Tab11'!C10)</f>
        <v>12131.619408748789</v>
      </c>
      <c r="X101" s="227">
        <f>IF('Tab7'!D10="",+'Tab7'!D9+'Tab11'!D9,+'Tab7'!D10+'Tab11'!D10)</f>
        <v>12186.599271014493</v>
      </c>
      <c r="Y101" s="227">
        <f>IF('Tab7'!E10="",+'Tab7'!E9+'Tab11'!E9,+'Tab7'!E10+'Tab11'!E10)</f>
        <v>14807.767015942027</v>
      </c>
      <c r="Z101" s="218"/>
      <c r="AA101" s="218"/>
      <c r="AB101" s="218"/>
      <c r="AC101" s="218"/>
      <c r="AD101" s="218"/>
      <c r="AE101" s="218"/>
      <c r="AF101" s="218"/>
    </row>
    <row r="102" spans="1:32" x14ac:dyDescent="0.2">
      <c r="A102" s="97">
        <v>4</v>
      </c>
      <c r="B102" s="97"/>
      <c r="C102" s="97">
        <v>84.8</v>
      </c>
      <c r="D102" s="97">
        <v>70.2</v>
      </c>
      <c r="E102" s="97"/>
      <c r="F102" s="97"/>
      <c r="G102" s="97"/>
      <c r="I102" s="105">
        <v>85.1</v>
      </c>
      <c r="J102" s="1">
        <v>4</v>
      </c>
      <c r="L102" s="104">
        <v>11076</v>
      </c>
      <c r="M102" s="105">
        <v>120</v>
      </c>
      <c r="N102" s="105">
        <f t="shared" si="0"/>
        <v>213.80258519388951</v>
      </c>
      <c r="P102" s="218"/>
      <c r="Q102" s="218"/>
      <c r="R102" s="218"/>
      <c r="S102" s="218"/>
      <c r="T102" s="218"/>
      <c r="U102" s="218"/>
      <c r="V102" s="221" t="s">
        <v>86</v>
      </c>
      <c r="W102" s="227">
        <f>IF('Tab7'!C12="",+'Tab7'!C11+'Tab11'!C11,+'Tab7'!C12+'Tab11'!C12)</f>
        <v>36546.508659846164</v>
      </c>
      <c r="X102" s="227">
        <f>IF('Tab7'!D12="",+'Tab7'!D11+'Tab11'!D11,+'Tab7'!D12+'Tab11'!D12)</f>
        <v>46084.437462450587</v>
      </c>
      <c r="Y102" s="227">
        <f>IF('Tab7'!E12="",+'Tab7'!E11+'Tab11'!E11,+'Tab7'!E12+'Tab11'!E12)</f>
        <v>42098.168316205534</v>
      </c>
      <c r="Z102" s="218"/>
      <c r="AA102" s="218"/>
      <c r="AB102" s="218"/>
      <c r="AC102" s="218"/>
      <c r="AD102" s="218"/>
      <c r="AE102" s="218"/>
      <c r="AF102" s="218"/>
    </row>
    <row r="103" spans="1:32" x14ac:dyDescent="0.2">
      <c r="A103" s="97">
        <v>1</v>
      </c>
      <c r="B103" s="97">
        <v>1991</v>
      </c>
      <c r="C103" s="97">
        <v>97.5</v>
      </c>
      <c r="D103" s="97">
        <v>82.4</v>
      </c>
      <c r="E103" s="97"/>
      <c r="F103" s="97"/>
      <c r="G103" s="97"/>
      <c r="I103" s="105">
        <v>85.5</v>
      </c>
      <c r="J103" s="1">
        <v>1</v>
      </c>
      <c r="K103" s="1">
        <v>1991</v>
      </c>
      <c r="L103" s="104">
        <v>10172</v>
      </c>
      <c r="M103" s="105">
        <v>130.10000000000002</v>
      </c>
      <c r="N103" s="105">
        <f t="shared" ref="N103:N106" si="1">M103/I103*$I$69</f>
        <v>230.71320272904484</v>
      </c>
      <c r="O103" s="104">
        <v>6727</v>
      </c>
      <c r="P103" s="228">
        <v>376.9</v>
      </c>
      <c r="Q103" s="228">
        <f>P103/I103*$I$69</f>
        <v>668.3766803118906</v>
      </c>
      <c r="R103" s="229">
        <v>9077</v>
      </c>
      <c r="S103" s="228">
        <v>139.9</v>
      </c>
      <c r="T103" s="228">
        <f>S103/I103*$I$69</f>
        <v>248.09206042884986</v>
      </c>
      <c r="U103" s="218"/>
      <c r="V103" s="221" t="s">
        <v>63</v>
      </c>
      <c r="W103" s="227">
        <f>IF('Tab7'!C14="",+'Tab7'!C13+'Tab11'!C13,+'Tab7'!C14+'Tab11'!C14)</f>
        <v>13316.301288021919</v>
      </c>
      <c r="X103" s="227">
        <f>IF('Tab7'!D14="",+'Tab7'!D13+'Tab11'!D13,+'Tab7'!D14+'Tab11'!D14)</f>
        <v>14752.683947204969</v>
      </c>
      <c r="Y103" s="227">
        <f>IF('Tab7'!E14="",+'Tab7'!E13+'Tab11'!E13,+'Tab7'!E14+'Tab11'!E14)</f>
        <v>17067.714015527949</v>
      </c>
      <c r="Z103" s="218"/>
      <c r="AA103" s="218"/>
      <c r="AB103" s="218"/>
      <c r="AC103" s="218"/>
      <c r="AD103" s="218"/>
      <c r="AE103" s="218"/>
      <c r="AF103" s="218"/>
    </row>
    <row r="104" spans="1:32" x14ac:dyDescent="0.2">
      <c r="A104" s="97">
        <v>2</v>
      </c>
      <c r="B104" s="97"/>
      <c r="C104" s="97">
        <v>93.9</v>
      </c>
      <c r="D104" s="97">
        <v>78</v>
      </c>
      <c r="E104" s="97"/>
      <c r="F104" s="97"/>
      <c r="G104" s="97"/>
      <c r="I104" s="105">
        <v>86.6</v>
      </c>
      <c r="J104" s="1">
        <v>2</v>
      </c>
      <c r="L104" s="104">
        <v>10188</v>
      </c>
      <c r="M104" s="105">
        <v>126.69999999999993</v>
      </c>
      <c r="N104" s="105">
        <f t="shared" si="1"/>
        <v>221.82985180908378</v>
      </c>
      <c r="O104" s="104">
        <v>5864</v>
      </c>
      <c r="P104" s="228">
        <v>369.29999999999995</v>
      </c>
      <c r="Q104" s="228">
        <f t="shared" ref="Q104:Q167" si="2">P104/I104*$I$69</f>
        <v>646.58061778290971</v>
      </c>
      <c r="R104" s="229">
        <v>12525</v>
      </c>
      <c r="S104" s="228">
        <v>176.29999999999998</v>
      </c>
      <c r="T104" s="228">
        <f t="shared" ref="T104:T167" si="3">S104/I104*$I$69</f>
        <v>308.67089876828322</v>
      </c>
      <c r="U104" s="218"/>
      <c r="V104" s="221" t="s">
        <v>14</v>
      </c>
      <c r="W104" s="230">
        <f>+W106-SUM(W101:W103)</f>
        <v>102813.99864433738</v>
      </c>
      <c r="X104" s="230">
        <f>+X106-SUM(X101:X103)</f>
        <v>119937.32143189397</v>
      </c>
      <c r="Y104" s="230">
        <f>+Y106-SUM(Y101:Y103)</f>
        <v>151351.72026880819</v>
      </c>
      <c r="Z104" s="218"/>
      <c r="AA104" s="218"/>
      <c r="AB104" s="218"/>
      <c r="AC104" s="218"/>
      <c r="AD104" s="218"/>
      <c r="AE104" s="218"/>
      <c r="AF104" s="218"/>
    </row>
    <row r="105" spans="1:32" x14ac:dyDescent="0.2">
      <c r="A105" s="97">
        <v>3</v>
      </c>
      <c r="B105" s="97"/>
      <c r="C105" s="97">
        <v>90.2</v>
      </c>
      <c r="D105" s="97">
        <v>76.099999999999994</v>
      </c>
      <c r="E105" s="97"/>
      <c r="F105" s="97"/>
      <c r="G105" s="97"/>
      <c r="I105" s="105">
        <v>86.6</v>
      </c>
      <c r="J105" s="1">
        <v>3</v>
      </c>
      <c r="L105" s="104">
        <v>10621</v>
      </c>
      <c r="M105" s="105">
        <v>132.60000000000002</v>
      </c>
      <c r="N105" s="105">
        <f t="shared" si="1"/>
        <v>232.15973441108545</v>
      </c>
      <c r="O105" s="104">
        <v>7951</v>
      </c>
      <c r="P105" s="228">
        <v>430.9</v>
      </c>
      <c r="Q105" s="228">
        <f t="shared" si="2"/>
        <v>754.43159545804451</v>
      </c>
      <c r="R105" s="229">
        <v>14126</v>
      </c>
      <c r="S105" s="228">
        <v>204.90000000000003</v>
      </c>
      <c r="T105" s="228">
        <f t="shared" si="3"/>
        <v>358.74456697459584</v>
      </c>
      <c r="U105" s="218"/>
      <c r="V105" s="221"/>
      <c r="W105" s="221"/>
      <c r="X105" s="221"/>
      <c r="Y105" s="221"/>
      <c r="Z105" s="218"/>
      <c r="AA105" s="218"/>
      <c r="AB105" s="218"/>
      <c r="AC105" s="218"/>
      <c r="AD105" s="218"/>
      <c r="AE105" s="218"/>
      <c r="AF105" s="218"/>
    </row>
    <row r="106" spans="1:32" x14ac:dyDescent="0.2">
      <c r="A106" s="97">
        <v>4</v>
      </c>
      <c r="B106" s="97"/>
      <c r="C106" s="97">
        <v>92.6</v>
      </c>
      <c r="D106" s="97">
        <v>78.099999999999994</v>
      </c>
      <c r="E106" s="97"/>
      <c r="F106" s="97"/>
      <c r="G106" s="97"/>
      <c r="I106" s="105">
        <v>87.3</v>
      </c>
      <c r="J106" s="1">
        <v>4</v>
      </c>
      <c r="L106" s="104">
        <v>11640</v>
      </c>
      <c r="M106" s="105">
        <v>138.20000000000005</v>
      </c>
      <c r="N106" s="105">
        <f t="shared" si="1"/>
        <v>240.02421916762128</v>
      </c>
      <c r="O106" s="104">
        <v>13048</v>
      </c>
      <c r="P106" s="228">
        <v>427.00000000000023</v>
      </c>
      <c r="Q106" s="228">
        <f t="shared" si="2"/>
        <v>741.60883925162307</v>
      </c>
      <c r="R106" s="229">
        <v>13048</v>
      </c>
      <c r="S106" s="228">
        <v>185</v>
      </c>
      <c r="T106" s="228">
        <f t="shared" si="3"/>
        <v>321.30593738067961</v>
      </c>
      <c r="U106" s="218"/>
      <c r="V106" s="221" t="s">
        <v>87</v>
      </c>
      <c r="W106" s="227">
        <f>IF('Tab7'!C8="",+'Tab7'!C7+'Tab11'!C7,+'Tab7'!C8+'Tab11'!C8)</f>
        <v>164808.42800095424</v>
      </c>
      <c r="X106" s="227">
        <f>IF('Tab7'!D8="",+'Tab7'!D7+'Tab11'!D7,+'Tab7'!D8+'Tab11'!D8)</f>
        <v>192961.04211256403</v>
      </c>
      <c r="Y106" s="227">
        <f>IF('Tab7'!E8="",+'Tab7'!E7+'Tab11'!E7,+'Tab7'!E8+'Tab11'!E8)</f>
        <v>225325.36961648372</v>
      </c>
      <c r="Z106" s="218"/>
      <c r="AA106" s="218"/>
      <c r="AB106" s="218"/>
      <c r="AC106" s="218"/>
      <c r="AD106" s="218"/>
      <c r="AE106" s="218"/>
      <c r="AF106" s="218"/>
    </row>
    <row r="107" spans="1:32" x14ac:dyDescent="0.2">
      <c r="A107" s="97">
        <v>1</v>
      </c>
      <c r="B107" s="97">
        <v>1992</v>
      </c>
      <c r="C107" s="97">
        <v>102</v>
      </c>
      <c r="D107" s="97">
        <v>87.1</v>
      </c>
      <c r="E107" s="97"/>
      <c r="F107" s="97"/>
      <c r="G107" s="97"/>
      <c r="I107" s="105">
        <v>87.5</v>
      </c>
      <c r="J107" s="1">
        <v>1</v>
      </c>
      <c r="K107" s="1">
        <v>1992</v>
      </c>
      <c r="L107" s="104">
        <v>10520</v>
      </c>
      <c r="M107" s="105">
        <v>129.4</v>
      </c>
      <c r="N107" s="105">
        <f>M107/I107*$I$69</f>
        <v>224.22678476190472</v>
      </c>
      <c r="O107" s="104">
        <v>6509</v>
      </c>
      <c r="P107" s="228">
        <v>409.5</v>
      </c>
      <c r="Q107" s="228">
        <f t="shared" si="2"/>
        <v>709.58939999999984</v>
      </c>
      <c r="R107" s="229">
        <v>11030</v>
      </c>
      <c r="S107" s="228">
        <v>180.5</v>
      </c>
      <c r="T107" s="228">
        <f t="shared" si="3"/>
        <v>312.77383809523803</v>
      </c>
      <c r="U107" s="218"/>
      <c r="V107" s="218"/>
      <c r="W107" s="218"/>
      <c r="X107" s="218"/>
      <c r="Y107" s="218"/>
      <c r="Z107" s="218"/>
      <c r="AA107" s="218"/>
      <c r="AB107" s="218"/>
      <c r="AC107" s="218"/>
      <c r="AD107" s="218"/>
      <c r="AE107" s="218"/>
      <c r="AF107" s="218"/>
    </row>
    <row r="108" spans="1:32" x14ac:dyDescent="0.2">
      <c r="A108" s="97">
        <v>2</v>
      </c>
      <c r="B108" s="97"/>
      <c r="C108" s="97">
        <v>92.2</v>
      </c>
      <c r="D108" s="97">
        <v>78.900000000000006</v>
      </c>
      <c r="E108" s="97"/>
      <c r="F108" s="97"/>
      <c r="G108" s="97"/>
      <c r="I108" s="105">
        <v>88.6</v>
      </c>
      <c r="J108" s="1">
        <v>2</v>
      </c>
      <c r="L108" s="104">
        <v>10661</v>
      </c>
      <c r="M108" s="105">
        <v>112.9</v>
      </c>
      <c r="N108" s="105">
        <f t="shared" ref="N108:N171" si="4">M108/I108*$I$69</f>
        <v>193.20639014296464</v>
      </c>
      <c r="O108" s="104">
        <v>5632</v>
      </c>
      <c r="P108" s="228">
        <v>412</v>
      </c>
      <c r="Q108" s="228">
        <f t="shared" si="2"/>
        <v>705.05786305492836</v>
      </c>
      <c r="R108" s="229">
        <v>13252</v>
      </c>
      <c r="S108" s="228">
        <v>167</v>
      </c>
      <c r="T108" s="228">
        <f t="shared" si="3"/>
        <v>285.78801730624525</v>
      </c>
      <c r="U108" s="218"/>
      <c r="V108" s="218"/>
      <c r="W108" s="218"/>
      <c r="X108" s="218"/>
      <c r="Y108" s="218"/>
      <c r="Z108" s="218"/>
      <c r="AA108" s="218"/>
      <c r="AB108" s="218"/>
      <c r="AC108" s="218"/>
      <c r="AD108" s="218"/>
      <c r="AE108" s="218"/>
      <c r="AF108" s="218"/>
    </row>
    <row r="109" spans="1:32" x14ac:dyDescent="0.2">
      <c r="A109" s="97">
        <v>3</v>
      </c>
      <c r="B109" s="97"/>
      <c r="C109" s="97">
        <v>93.3</v>
      </c>
      <c r="D109" s="97">
        <v>79.900000000000006</v>
      </c>
      <c r="E109" s="97"/>
      <c r="F109" s="97"/>
      <c r="G109" s="97"/>
      <c r="I109" s="105">
        <v>88.7</v>
      </c>
      <c r="J109" s="1">
        <v>3</v>
      </c>
      <c r="L109" s="104">
        <v>11590</v>
      </c>
      <c r="M109" s="105">
        <v>130.59999999999997</v>
      </c>
      <c r="N109" s="105">
        <f t="shared" si="4"/>
        <v>223.24452837279208</v>
      </c>
      <c r="O109" s="104">
        <v>8642</v>
      </c>
      <c r="P109" s="228">
        <v>440.40000000000009</v>
      </c>
      <c r="Q109" s="228">
        <f t="shared" si="2"/>
        <v>752.80926719278466</v>
      </c>
      <c r="R109" s="229">
        <v>15450</v>
      </c>
      <c r="S109" s="228">
        <v>219.10000000000002</v>
      </c>
      <c r="T109" s="228">
        <f t="shared" si="3"/>
        <v>374.52431980458465</v>
      </c>
      <c r="U109" s="218"/>
      <c r="V109" s="220" t="s">
        <v>187</v>
      </c>
      <c r="W109" s="221"/>
      <c r="X109" s="221"/>
      <c r="Y109" s="221"/>
      <c r="Z109" s="218"/>
      <c r="AA109" s="218"/>
      <c r="AB109" s="218"/>
      <c r="AC109" s="218"/>
      <c r="AD109" s="218"/>
      <c r="AE109" s="218"/>
      <c r="AF109" s="218"/>
    </row>
    <row r="110" spans="1:32" x14ac:dyDescent="0.2">
      <c r="A110" s="97">
        <v>4</v>
      </c>
      <c r="B110" s="97"/>
      <c r="C110" s="97">
        <v>90.8</v>
      </c>
      <c r="D110" s="97">
        <v>77.599999999999994</v>
      </c>
      <c r="E110" s="97"/>
      <c r="F110" s="97"/>
      <c r="G110" s="97"/>
      <c r="I110" s="105">
        <v>89.3</v>
      </c>
      <c r="J110" s="1">
        <v>4</v>
      </c>
      <c r="L110" s="104">
        <v>11917</v>
      </c>
      <c r="M110" s="105">
        <v>108.50000000000006</v>
      </c>
      <c r="N110" s="105">
        <f t="shared" si="4"/>
        <v>184.22117394550213</v>
      </c>
      <c r="O110" s="104">
        <v>7139</v>
      </c>
      <c r="P110" s="228">
        <v>425.59999999999991</v>
      </c>
      <c r="Q110" s="228">
        <f t="shared" si="2"/>
        <v>722.62241134751741</v>
      </c>
      <c r="R110" s="229">
        <v>12309</v>
      </c>
      <c r="S110" s="228">
        <v>109.39999999999998</v>
      </c>
      <c r="T110" s="228">
        <f t="shared" si="3"/>
        <v>185.7492758491974</v>
      </c>
      <c r="U110" s="218"/>
      <c r="V110" s="221"/>
      <c r="W110" s="221"/>
      <c r="X110" s="221"/>
      <c r="Y110" s="221"/>
      <c r="Z110" s="218"/>
      <c r="AA110" s="218"/>
      <c r="AB110" s="218"/>
      <c r="AC110" s="218"/>
      <c r="AD110" s="218"/>
      <c r="AE110" s="218"/>
      <c r="AF110" s="218"/>
    </row>
    <row r="111" spans="1:32" x14ac:dyDescent="0.2">
      <c r="A111" s="97">
        <v>1</v>
      </c>
      <c r="B111" s="97">
        <v>1993</v>
      </c>
      <c r="C111" s="97">
        <v>112.6</v>
      </c>
      <c r="D111" s="97">
        <v>96.5</v>
      </c>
      <c r="E111" s="97"/>
      <c r="F111" s="97"/>
      <c r="G111" s="97"/>
      <c r="I111" s="105">
        <v>89.8</v>
      </c>
      <c r="J111" s="1">
        <v>1</v>
      </c>
      <c r="K111" s="1">
        <v>1993</v>
      </c>
      <c r="L111" s="104">
        <v>11275</v>
      </c>
      <c r="M111" s="105">
        <v>136.89999999999998</v>
      </c>
      <c r="N111" s="105">
        <f t="shared" si="4"/>
        <v>231.14706198960647</v>
      </c>
      <c r="O111" s="104">
        <v>6982</v>
      </c>
      <c r="P111" s="228">
        <v>449.4</v>
      </c>
      <c r="Q111" s="228">
        <f t="shared" si="2"/>
        <v>758.78370824053434</v>
      </c>
      <c r="R111" s="229">
        <v>10571</v>
      </c>
      <c r="S111" s="228">
        <v>175.5</v>
      </c>
      <c r="T111" s="228">
        <f t="shared" si="3"/>
        <v>296.32074053452112</v>
      </c>
      <c r="U111" s="218"/>
      <c r="V111" s="221"/>
      <c r="W111" s="223" t="str">
        <f>+W100</f>
        <v>2017</v>
      </c>
      <c r="X111" s="223" t="str">
        <f>+X100</f>
        <v>2018</v>
      </c>
      <c r="Y111" s="223" t="str">
        <f>+Y100</f>
        <v>2019</v>
      </c>
      <c r="Z111" s="218"/>
      <c r="AA111" s="218"/>
      <c r="AB111" s="218"/>
      <c r="AC111" s="218"/>
      <c r="AD111" s="218"/>
      <c r="AE111" s="218"/>
      <c r="AF111" s="218"/>
    </row>
    <row r="112" spans="1:32" x14ac:dyDescent="0.2">
      <c r="A112" s="97">
        <v>2</v>
      </c>
      <c r="B112" s="97"/>
      <c r="C112" s="97">
        <f>205.6-C111</f>
        <v>93</v>
      </c>
      <c r="D112" s="97">
        <f>176.6-D111</f>
        <v>80.099999999999994</v>
      </c>
      <c r="E112" s="97"/>
      <c r="F112" s="97"/>
      <c r="G112" s="97"/>
      <c r="I112" s="105">
        <v>90.8</v>
      </c>
      <c r="J112" s="1">
        <v>2</v>
      </c>
      <c r="L112" s="104">
        <v>10076</v>
      </c>
      <c r="M112" s="105">
        <v>115.20000000000002</v>
      </c>
      <c r="N112" s="105">
        <f t="shared" si="4"/>
        <v>192.36581497797357</v>
      </c>
      <c r="O112" s="104">
        <v>6332</v>
      </c>
      <c r="P112" s="228">
        <v>352.9</v>
      </c>
      <c r="Q112" s="228">
        <f t="shared" si="2"/>
        <v>589.28729258443457</v>
      </c>
      <c r="R112" s="229">
        <v>12919</v>
      </c>
      <c r="S112" s="228">
        <v>191.20000000000005</v>
      </c>
      <c r="T112" s="228">
        <f t="shared" si="3"/>
        <v>319.27381791483111</v>
      </c>
      <c r="U112" s="218"/>
      <c r="V112" s="221" t="s">
        <v>172</v>
      </c>
      <c r="W112" s="226">
        <f>IF('Tab7'!C38="",+'Tab7'!C37+'Tab11'!C37,+'Tab7'!C38+'Tab11'!C38)</f>
        <v>2978.2659125529899</v>
      </c>
      <c r="X112" s="226">
        <f>IF('Tab7'!D38="",+'Tab7'!D37+'Tab11'!D37,+'Tab7'!D38+'Tab11'!D38)</f>
        <v>2733.9660798480263</v>
      </c>
      <c r="Y112" s="226">
        <f>IF('Tab7'!E38="",+'Tab7'!E37+'Tab11'!E37,+'Tab7'!E38+'Tab11'!E38)</f>
        <v>2731.2454755245499</v>
      </c>
      <c r="Z112" s="218"/>
      <c r="AA112" s="218"/>
      <c r="AB112" s="218"/>
      <c r="AC112" s="218"/>
      <c r="AD112" s="218"/>
      <c r="AE112" s="218"/>
      <c r="AF112" s="218"/>
    </row>
    <row r="113" spans="1:32" x14ac:dyDescent="0.2">
      <c r="A113" s="97">
        <v>3</v>
      </c>
      <c r="B113" s="97"/>
      <c r="C113" s="97">
        <f>293.1-C112-C111</f>
        <v>87.500000000000028</v>
      </c>
      <c r="D113" s="97">
        <f>250.2-D112-D111</f>
        <v>73.599999999999994</v>
      </c>
      <c r="E113" s="97"/>
      <c r="F113" s="97"/>
      <c r="G113" s="97"/>
      <c r="I113" s="105">
        <v>90.6</v>
      </c>
      <c r="J113" s="1">
        <v>3</v>
      </c>
      <c r="L113" s="104">
        <v>11766</v>
      </c>
      <c r="M113" s="105">
        <v>132.79999999999998</v>
      </c>
      <c r="N113" s="105">
        <f t="shared" si="4"/>
        <v>222.24456217807207</v>
      </c>
      <c r="O113" s="104">
        <v>6675</v>
      </c>
      <c r="P113" s="228">
        <v>388.50000000000023</v>
      </c>
      <c r="Q113" s="228">
        <f t="shared" si="2"/>
        <v>650.16575607064044</v>
      </c>
      <c r="R113" s="229">
        <v>14800</v>
      </c>
      <c r="S113" s="228">
        <v>216.89999999999998</v>
      </c>
      <c r="T113" s="228">
        <f t="shared" si="3"/>
        <v>362.98829470198666</v>
      </c>
      <c r="U113" s="218"/>
      <c r="V113" s="221" t="s">
        <v>86</v>
      </c>
      <c r="W113" s="226">
        <f>IF('Tab7'!C40="",+'Tab7'!C39+'Tab11'!C39,+'Tab7'!C40+'Tab11'!C40)</f>
        <v>1797.6562683560687</v>
      </c>
      <c r="X113" s="226">
        <f>IF('Tab7'!D40="",+'Tab7'!D39+'Tab11'!D39,+'Tab7'!D40+'Tab11'!D40)</f>
        <v>2251.7915513602879</v>
      </c>
      <c r="Y113" s="226">
        <f>IF('Tab7'!E40="",+'Tab7'!E39+'Tab11'!E39,+'Tab7'!E40+'Tab11'!E40)</f>
        <v>2158.0585421578689</v>
      </c>
      <c r="Z113" s="218"/>
      <c r="AA113" s="218"/>
      <c r="AB113" s="218"/>
      <c r="AC113" s="218"/>
      <c r="AD113" s="218"/>
      <c r="AE113" s="218"/>
      <c r="AF113" s="218"/>
    </row>
    <row r="114" spans="1:32" x14ac:dyDescent="0.2">
      <c r="A114" s="97">
        <v>4</v>
      </c>
      <c r="B114" s="97"/>
      <c r="C114" s="97">
        <f>413.2-C113-C112-C111</f>
        <v>120.09999999999994</v>
      </c>
      <c r="D114" s="97">
        <f>356.8-D113-D112-D111</f>
        <v>106.60000000000005</v>
      </c>
      <c r="E114" s="97"/>
      <c r="F114" s="97"/>
      <c r="G114" s="97"/>
      <c r="I114" s="105">
        <v>91</v>
      </c>
      <c r="J114" s="1">
        <v>4</v>
      </c>
      <c r="L114" s="104">
        <v>12707</v>
      </c>
      <c r="M114" s="105">
        <v>157.79999999999995</v>
      </c>
      <c r="N114" s="105">
        <f t="shared" si="4"/>
        <v>262.9219670329669</v>
      </c>
      <c r="O114" s="104">
        <v>6319</v>
      </c>
      <c r="P114" s="228">
        <v>466.99999999999977</v>
      </c>
      <c r="Q114" s="228">
        <f t="shared" si="2"/>
        <v>778.10239926739882</v>
      </c>
      <c r="R114" s="229">
        <v>11391</v>
      </c>
      <c r="S114" s="228">
        <v>164.5</v>
      </c>
      <c r="T114" s="228">
        <f t="shared" si="3"/>
        <v>274.08532051282049</v>
      </c>
      <c r="U114" s="218"/>
      <c r="V114" s="221" t="s">
        <v>63</v>
      </c>
      <c r="W114" s="226">
        <f>IF('Tab7'!C42="",+'Tab7'!C41+'Tab11'!C41,+'Tab7'!C42+'Tab11'!C42)</f>
        <v>261.09582339725051</v>
      </c>
      <c r="X114" s="226">
        <f>IF('Tab7'!D42="",+'Tab7'!D41+'Tab11'!D41,+'Tab7'!D42+'Tab11'!D42)</f>
        <v>251.61776245964279</v>
      </c>
      <c r="Y114" s="226">
        <f>IF('Tab7'!E42="",+'Tab7'!E41+'Tab11'!E41,+'Tab7'!E42+'Tab11'!E42)</f>
        <v>263.97470566479683</v>
      </c>
      <c r="Z114" s="218"/>
      <c r="AA114" s="218"/>
      <c r="AB114" s="218"/>
      <c r="AC114" s="218"/>
      <c r="AD114" s="218"/>
      <c r="AE114" s="218"/>
      <c r="AF114" s="218"/>
    </row>
    <row r="115" spans="1:32" x14ac:dyDescent="0.2">
      <c r="A115" s="97">
        <v>1</v>
      </c>
      <c r="B115" s="97">
        <v>1994</v>
      </c>
      <c r="C115" s="97">
        <v>138.4</v>
      </c>
      <c r="D115" s="97">
        <v>120</v>
      </c>
      <c r="E115" s="97"/>
      <c r="F115" s="97"/>
      <c r="G115" s="97"/>
      <c r="I115" s="105">
        <v>91</v>
      </c>
      <c r="J115" s="1">
        <v>1</v>
      </c>
      <c r="K115" s="1">
        <v>1994</v>
      </c>
      <c r="L115" s="104">
        <v>15224</v>
      </c>
      <c r="M115" s="105">
        <v>189</v>
      </c>
      <c r="N115" s="105">
        <f t="shared" si="4"/>
        <v>314.90653846153845</v>
      </c>
      <c r="O115" s="104">
        <v>6291</v>
      </c>
      <c r="P115" s="228">
        <v>427.6</v>
      </c>
      <c r="Q115" s="228">
        <f t="shared" si="2"/>
        <v>712.45521611721608</v>
      </c>
      <c r="R115" s="229">
        <v>8795</v>
      </c>
      <c r="S115" s="228">
        <v>161.69999999999999</v>
      </c>
      <c r="T115" s="228">
        <f t="shared" si="3"/>
        <v>269.42003846153841</v>
      </c>
      <c r="U115" s="218"/>
      <c r="V115" s="221" t="s">
        <v>14</v>
      </c>
      <c r="W115" s="231">
        <f>+W117-SUM(W112:W114)</f>
        <v>1471.8080589208121</v>
      </c>
      <c r="X115" s="231">
        <f>+X117-SUM(X112:X114)</f>
        <v>2119.3866837300511</v>
      </c>
      <c r="Y115" s="231">
        <f>+Y117-SUM(Y112:Y114)</f>
        <v>2107.7706729884922</v>
      </c>
      <c r="Z115" s="218"/>
      <c r="AA115" s="218"/>
      <c r="AB115" s="218"/>
      <c r="AC115" s="218"/>
      <c r="AD115" s="218"/>
      <c r="AE115" s="218"/>
      <c r="AF115" s="218"/>
    </row>
    <row r="116" spans="1:32" x14ac:dyDescent="0.2">
      <c r="A116" s="97">
        <v>2</v>
      </c>
      <c r="B116" s="97"/>
      <c r="C116" s="97">
        <f>252.9-C115</f>
        <v>114.5</v>
      </c>
      <c r="D116" s="97">
        <f>218.1-D115</f>
        <v>98.1</v>
      </c>
      <c r="E116" s="97"/>
      <c r="F116" s="97"/>
      <c r="G116" s="97"/>
      <c r="I116" s="105">
        <v>91.7</v>
      </c>
      <c r="J116" s="1">
        <v>2</v>
      </c>
      <c r="L116" s="104">
        <v>13585</v>
      </c>
      <c r="M116" s="105">
        <v>166.5</v>
      </c>
      <c r="N116" s="105">
        <f t="shared" si="4"/>
        <v>275.29997273718641</v>
      </c>
      <c r="O116" s="104">
        <v>5517</v>
      </c>
      <c r="P116" s="228">
        <v>494.30000000000007</v>
      </c>
      <c r="Q116" s="228">
        <f t="shared" si="2"/>
        <v>817.30196110505267</v>
      </c>
      <c r="R116" s="229">
        <v>13449</v>
      </c>
      <c r="S116" s="228">
        <v>196.2</v>
      </c>
      <c r="T116" s="228">
        <f t="shared" si="3"/>
        <v>324.4075354416575</v>
      </c>
      <c r="U116" s="218"/>
      <c r="V116" s="221"/>
      <c r="W116" s="226"/>
      <c r="X116" s="226"/>
      <c r="Y116" s="226"/>
      <c r="Z116" s="218"/>
      <c r="AA116" s="218"/>
      <c r="AB116" s="218"/>
      <c r="AC116" s="218"/>
      <c r="AD116" s="218"/>
      <c r="AE116" s="218"/>
      <c r="AF116" s="218"/>
    </row>
    <row r="117" spans="1:32" x14ac:dyDescent="0.2">
      <c r="A117" s="97">
        <v>3</v>
      </c>
      <c r="B117" s="97"/>
      <c r="C117" s="97">
        <f>365.7-C115-C116</f>
        <v>112.79999999999998</v>
      </c>
      <c r="D117" s="97">
        <f>316.9-D115-D116</f>
        <v>98.799999999999983</v>
      </c>
      <c r="E117" s="97"/>
      <c r="F117" s="97"/>
      <c r="G117" s="97"/>
      <c r="I117" s="105">
        <v>92.1</v>
      </c>
      <c r="J117" s="1">
        <v>3</v>
      </c>
      <c r="L117" s="104">
        <v>13956</v>
      </c>
      <c r="M117" s="105">
        <v>169.89999999999998</v>
      </c>
      <c r="N117" s="105">
        <f t="shared" si="4"/>
        <v>279.70164133188558</v>
      </c>
      <c r="O117" s="104">
        <v>8952</v>
      </c>
      <c r="P117" s="228">
        <v>425.5</v>
      </c>
      <c r="Q117" s="228">
        <f t="shared" si="2"/>
        <v>700.48880745566407</v>
      </c>
      <c r="R117" s="229">
        <v>15669</v>
      </c>
      <c r="S117" s="228">
        <v>219.80000000000007</v>
      </c>
      <c r="T117" s="228">
        <f t="shared" si="3"/>
        <v>361.85062251176265</v>
      </c>
      <c r="U117" s="218"/>
      <c r="V117" s="221" t="s">
        <v>87</v>
      </c>
      <c r="W117" s="226">
        <f>IF('Tab7'!C36="",+'Tab7'!C35+'Tab11'!C35,+'Tab7'!C36+'Tab11'!C36)</f>
        <v>6508.8260632271213</v>
      </c>
      <c r="X117" s="226">
        <f>IF('Tab7'!D36="",+'Tab7'!D35+'Tab11'!D35,+'Tab7'!D36+'Tab11'!D36)</f>
        <v>7356.7620773980088</v>
      </c>
      <c r="Y117" s="226">
        <f>IF('Tab7'!E36="",+'Tab7'!E35+'Tab11'!E35,+'Tab7'!E36+'Tab11'!E36)</f>
        <v>7261.0493963357076</v>
      </c>
      <c r="Z117" s="218"/>
      <c r="AA117" s="218"/>
      <c r="AB117" s="218"/>
      <c r="AC117" s="218"/>
      <c r="AD117" s="218"/>
      <c r="AE117" s="218"/>
      <c r="AF117" s="218"/>
    </row>
    <row r="118" spans="1:32" x14ac:dyDescent="0.2">
      <c r="A118" s="97">
        <v>4</v>
      </c>
      <c r="B118" s="97"/>
      <c r="C118" s="97">
        <f>480.2-C115-C116-C117</f>
        <v>114.49999999999997</v>
      </c>
      <c r="D118" s="97">
        <f>417.1-D115-D116-D117</f>
        <v>100.20000000000005</v>
      </c>
      <c r="E118" s="97"/>
      <c r="F118" s="97"/>
      <c r="G118" s="97"/>
      <c r="I118" s="105">
        <v>92.6</v>
      </c>
      <c r="J118" s="1">
        <v>4</v>
      </c>
      <c r="L118" s="104">
        <v>14006</v>
      </c>
      <c r="M118" s="105">
        <v>140.80000000000007</v>
      </c>
      <c r="N118" s="105">
        <f t="shared" si="4"/>
        <v>230.54352771778264</v>
      </c>
      <c r="O118" s="104">
        <v>8189</v>
      </c>
      <c r="P118" s="228">
        <v>390.59999999999991</v>
      </c>
      <c r="Q118" s="228">
        <f t="shared" si="2"/>
        <v>639.56180345572341</v>
      </c>
      <c r="R118" s="229">
        <v>14139</v>
      </c>
      <c r="S118" s="228">
        <v>214.39999999999998</v>
      </c>
      <c r="T118" s="228">
        <f t="shared" si="3"/>
        <v>351.05491720662337</v>
      </c>
      <c r="U118" s="218"/>
      <c r="V118" s="221"/>
      <c r="W118" s="218"/>
      <c r="X118" s="221"/>
      <c r="Y118" s="218"/>
      <c r="Z118" s="218"/>
      <c r="AA118" s="218"/>
      <c r="AB118" s="218"/>
      <c r="AC118" s="218"/>
      <c r="AD118" s="218"/>
      <c r="AE118" s="218"/>
      <c r="AF118" s="218"/>
    </row>
    <row r="119" spans="1:32" x14ac:dyDescent="0.2">
      <c r="A119" s="97">
        <v>1</v>
      </c>
      <c r="B119" s="97">
        <v>1995</v>
      </c>
      <c r="C119" s="97">
        <v>137.19999999999999</v>
      </c>
      <c r="D119" s="97">
        <v>119.3</v>
      </c>
      <c r="E119" s="97"/>
      <c r="F119" s="97"/>
      <c r="G119" s="97"/>
      <c r="I119" s="105">
        <v>93.4</v>
      </c>
      <c r="J119" s="1">
        <v>1</v>
      </c>
      <c r="K119" s="1">
        <v>1995</v>
      </c>
      <c r="L119" s="104">
        <v>13188</v>
      </c>
      <c r="M119" s="105">
        <v>171.1</v>
      </c>
      <c r="N119" s="105">
        <f t="shared" si="4"/>
        <v>277.75660778015697</v>
      </c>
      <c r="O119" s="104">
        <v>7699</v>
      </c>
      <c r="P119" s="228">
        <v>543</v>
      </c>
      <c r="Q119" s="228">
        <f t="shared" si="2"/>
        <v>881.48356531049239</v>
      </c>
      <c r="R119" s="229">
        <v>11007</v>
      </c>
      <c r="S119" s="228">
        <v>183.1</v>
      </c>
      <c r="T119" s="228">
        <f t="shared" si="3"/>
        <v>297.23690756602423</v>
      </c>
      <c r="U119" s="218"/>
      <c r="V119" s="220" t="s">
        <v>181</v>
      </c>
      <c r="W119" s="218"/>
      <c r="X119" s="218"/>
      <c r="Y119" s="218"/>
      <c r="Z119" s="218"/>
      <c r="AA119" s="218"/>
      <c r="AB119" s="218"/>
      <c r="AC119" s="218"/>
      <c r="AD119" s="218"/>
      <c r="AE119" s="218"/>
      <c r="AF119" s="218"/>
    </row>
    <row r="120" spans="1:32" x14ac:dyDescent="0.2">
      <c r="A120" s="97">
        <v>2</v>
      </c>
      <c r="B120" s="97"/>
      <c r="C120" s="97">
        <f>248.2-C119</f>
        <v>111</v>
      </c>
      <c r="D120" s="97">
        <f>214.7-D119</f>
        <v>95.399999999999991</v>
      </c>
      <c r="E120" s="97"/>
      <c r="F120" s="97"/>
      <c r="G120" s="97"/>
      <c r="I120" s="105">
        <v>94.1</v>
      </c>
      <c r="J120" s="1">
        <v>2</v>
      </c>
      <c r="L120" s="104">
        <v>11077</v>
      </c>
      <c r="M120" s="105">
        <v>148.30000000000004</v>
      </c>
      <c r="N120" s="105">
        <f t="shared" si="4"/>
        <v>238.95316861494868</v>
      </c>
      <c r="O120" s="104">
        <v>5465</v>
      </c>
      <c r="P120" s="228">
        <v>462.40000000000009</v>
      </c>
      <c r="Q120" s="228">
        <f t="shared" si="2"/>
        <v>745.05694651080421</v>
      </c>
      <c r="R120" s="229">
        <v>13915</v>
      </c>
      <c r="S120" s="228">
        <v>213.4</v>
      </c>
      <c r="T120" s="228">
        <f t="shared" si="3"/>
        <v>343.84764789231309</v>
      </c>
      <c r="U120" s="218"/>
      <c r="V120" s="218"/>
      <c r="W120" s="218"/>
      <c r="X120" s="218"/>
      <c r="Y120" s="218"/>
      <c r="Z120" s="218"/>
      <c r="AA120" s="218"/>
      <c r="AB120" s="218"/>
      <c r="AC120" s="218"/>
      <c r="AD120" s="218"/>
      <c r="AE120" s="218"/>
      <c r="AF120" s="218"/>
    </row>
    <row r="121" spans="1:32" x14ac:dyDescent="0.2">
      <c r="A121" s="97">
        <v>3</v>
      </c>
      <c r="B121" s="97"/>
      <c r="C121" s="97">
        <f>364.1-C119-C120</f>
        <v>115.90000000000003</v>
      </c>
      <c r="D121" s="97">
        <f>315.7-D119-D120</f>
        <v>100.99999999999999</v>
      </c>
      <c r="E121" s="97"/>
      <c r="F121" s="97"/>
      <c r="G121" s="97"/>
      <c r="I121" s="105">
        <v>94.1</v>
      </c>
      <c r="J121" s="1">
        <v>3</v>
      </c>
      <c r="L121" s="104">
        <v>13937</v>
      </c>
      <c r="M121" s="105">
        <v>180.19999999999993</v>
      </c>
      <c r="N121" s="105">
        <f t="shared" si="4"/>
        <v>290.35307474318085</v>
      </c>
      <c r="O121" s="104">
        <v>9139</v>
      </c>
      <c r="P121" s="228">
        <v>487.89999999999986</v>
      </c>
      <c r="Q121" s="228">
        <f t="shared" si="2"/>
        <v>786.14464576691432</v>
      </c>
      <c r="R121" s="229">
        <v>17436</v>
      </c>
      <c r="S121" s="228">
        <v>224.09999999999991</v>
      </c>
      <c r="T121" s="228">
        <f t="shared" si="3"/>
        <v>361.08836875664167</v>
      </c>
      <c r="U121" s="218"/>
      <c r="V121" s="221"/>
      <c r="W121" s="223" t="str">
        <f>+'Tab3'!C6</f>
        <v>2017</v>
      </c>
      <c r="X121" s="223" t="str">
        <f>+'Tab3'!D6</f>
        <v>2018</v>
      </c>
      <c r="Y121" s="223" t="str">
        <f>+'Tab3'!E6</f>
        <v>2019</v>
      </c>
      <c r="Z121" s="218"/>
      <c r="AA121" s="218"/>
      <c r="AB121" s="218"/>
      <c r="AC121" s="218"/>
      <c r="AD121" s="218"/>
      <c r="AE121" s="218"/>
      <c r="AF121" s="218"/>
    </row>
    <row r="122" spans="1:32" x14ac:dyDescent="0.2">
      <c r="A122" s="97">
        <v>4</v>
      </c>
      <c r="B122" s="97"/>
      <c r="C122" s="97">
        <f>482.9-C119-C120-C121</f>
        <v>118.79999999999995</v>
      </c>
      <c r="D122" s="97">
        <f>420.1-D119-D120-D121</f>
        <v>104.40000000000005</v>
      </c>
      <c r="E122" s="97"/>
      <c r="F122" s="97"/>
      <c r="G122" s="97"/>
      <c r="I122" s="105">
        <v>94.6</v>
      </c>
      <c r="J122" s="1">
        <v>4</v>
      </c>
      <c r="L122" s="104">
        <v>13920</v>
      </c>
      <c r="M122" s="105">
        <v>172.00000000000006</v>
      </c>
      <c r="N122" s="105">
        <f t="shared" si="4"/>
        <v>275.67575757575764</v>
      </c>
      <c r="O122" s="104">
        <v>7500</v>
      </c>
      <c r="P122" s="228">
        <v>369.89999999999986</v>
      </c>
      <c r="Q122" s="228">
        <f t="shared" si="2"/>
        <v>592.86315539112024</v>
      </c>
      <c r="R122" s="229">
        <v>15130</v>
      </c>
      <c r="S122" s="228">
        <v>206.30000000000018</v>
      </c>
      <c r="T122" s="228">
        <f t="shared" si="3"/>
        <v>330.65063248766762</v>
      </c>
      <c r="U122" s="218"/>
      <c r="V122" s="221" t="s">
        <v>10</v>
      </c>
      <c r="W122" s="223">
        <f>IF('Tab3'!C22="",'Tab3'!C29,'Tab3'!C30)</f>
        <v>148449</v>
      </c>
      <c r="X122" s="223">
        <f>IF('Tab3'!D22="",'Tab3'!D29,'Tab3'!D30)</f>
        <v>154340</v>
      </c>
      <c r="Y122" s="223">
        <f>IF('Tab3'!E22="",'Tab3'!E29,'Tab3'!E30)</f>
        <v>164509.61538461538</v>
      </c>
      <c r="Z122" s="218"/>
      <c r="AA122" s="218"/>
      <c r="AB122" s="218"/>
      <c r="AC122" s="218"/>
      <c r="AD122" s="218"/>
      <c r="AE122" s="218"/>
      <c r="AF122" s="218"/>
    </row>
    <row r="123" spans="1:32" x14ac:dyDescent="0.2">
      <c r="A123" s="97">
        <v>1</v>
      </c>
      <c r="B123" s="97">
        <v>1996</v>
      </c>
      <c r="C123" s="97">
        <v>143.9</v>
      </c>
      <c r="D123" s="97">
        <v>126.9</v>
      </c>
      <c r="E123" s="97"/>
      <c r="F123" s="97"/>
      <c r="G123" s="97"/>
      <c r="I123" s="105">
        <v>94.2</v>
      </c>
      <c r="J123" s="1">
        <v>1</v>
      </c>
      <c r="K123" s="1">
        <v>1996</v>
      </c>
      <c r="L123" s="104">
        <v>29850</v>
      </c>
      <c r="M123" s="105">
        <v>375.59999999999997</v>
      </c>
      <c r="N123" s="105">
        <f t="shared" si="4"/>
        <v>604.55518046709108</v>
      </c>
      <c r="O123" s="104">
        <v>7239</v>
      </c>
      <c r="P123" s="228">
        <v>479.9</v>
      </c>
      <c r="Q123" s="228">
        <f t="shared" si="2"/>
        <v>772.43352264685052</v>
      </c>
      <c r="R123" s="229">
        <v>11785</v>
      </c>
      <c r="S123" s="228">
        <v>198.60000000000002</v>
      </c>
      <c r="T123" s="228">
        <f t="shared" si="3"/>
        <v>319.66096602972397</v>
      </c>
      <c r="U123" s="218"/>
      <c r="V123" s="218" t="s">
        <v>112</v>
      </c>
      <c r="W123" s="223">
        <f>IF('Tab9'!C8="",'Tab9'!C7,'Tab9'!C8)</f>
        <v>52500.265517265732</v>
      </c>
      <c r="X123" s="223">
        <f>IF('Tab9'!D8="",'Tab9'!D7,'Tab9'!D8)</f>
        <v>64737.309980990249</v>
      </c>
      <c r="Y123" s="223">
        <f>IF('Tab9'!E8="",'Tab9'!E7,'Tab9'!E8)</f>
        <v>62005.236871937072</v>
      </c>
      <c r="Z123" s="218"/>
      <c r="AA123" s="218"/>
      <c r="AB123" s="218"/>
      <c r="AC123" s="218"/>
      <c r="AD123" s="218"/>
      <c r="AE123" s="218"/>
      <c r="AF123" s="218"/>
    </row>
    <row r="124" spans="1:32" x14ac:dyDescent="0.2">
      <c r="A124" s="97">
        <v>2</v>
      </c>
      <c r="B124" s="97"/>
      <c r="C124" s="97">
        <f>275.5-C123</f>
        <v>131.6</v>
      </c>
      <c r="D124" s="97">
        <f>242.6-D123</f>
        <v>115.69999999999999</v>
      </c>
      <c r="E124" s="97"/>
      <c r="F124" s="97"/>
      <c r="G124" s="97"/>
      <c r="I124" s="105">
        <v>95.1</v>
      </c>
      <c r="J124" s="1">
        <v>2</v>
      </c>
      <c r="L124" s="104">
        <v>17799</v>
      </c>
      <c r="M124" s="105">
        <v>234.8</v>
      </c>
      <c r="N124" s="105">
        <f t="shared" si="4"/>
        <v>374.35086575534524</v>
      </c>
      <c r="O124" s="104">
        <v>6503</v>
      </c>
      <c r="P124" s="228">
        <v>585.30000000000007</v>
      </c>
      <c r="Q124" s="228">
        <f t="shared" si="2"/>
        <v>933.1667875920084</v>
      </c>
      <c r="R124" s="229">
        <v>14642</v>
      </c>
      <c r="S124" s="228">
        <v>220.09999999999997</v>
      </c>
      <c r="T124" s="228">
        <f t="shared" si="3"/>
        <v>350.91407816333674</v>
      </c>
      <c r="U124" s="218"/>
      <c r="V124" s="218" t="s">
        <v>111</v>
      </c>
      <c r="W124" s="223">
        <f>IF('Tab8'!C8="",'Tab8'!C7,'Tab8'!C8)</f>
        <v>69216.435027459491</v>
      </c>
      <c r="X124" s="223">
        <f>IF('Tab8'!D8="",'Tab8'!D7,'Tab8'!D8)</f>
        <v>79397.7951655941</v>
      </c>
      <c r="Y124" s="223">
        <f>IF('Tab8'!E8="",'Tab8'!E7,'Tab8'!E8)</f>
        <v>98699.424545248432</v>
      </c>
      <c r="Z124" s="218"/>
      <c r="AA124" s="218"/>
      <c r="AB124" s="218"/>
      <c r="AC124" s="218"/>
      <c r="AD124" s="218"/>
      <c r="AE124" s="218"/>
      <c r="AF124" s="218"/>
    </row>
    <row r="125" spans="1:32" x14ac:dyDescent="0.2">
      <c r="A125" s="97">
        <v>3</v>
      </c>
      <c r="B125" s="97"/>
      <c r="C125" s="97">
        <f>387.5-C123-C124</f>
        <v>112</v>
      </c>
      <c r="D125" s="97">
        <f>339.3-D123-D124</f>
        <v>96.700000000000017</v>
      </c>
      <c r="E125" s="97"/>
      <c r="F125" s="97"/>
      <c r="G125" s="97"/>
      <c r="I125" s="105">
        <v>95.5</v>
      </c>
      <c r="J125" s="1">
        <v>3</v>
      </c>
      <c r="L125" s="104">
        <v>16263</v>
      </c>
      <c r="M125" s="105">
        <v>240.00000000000011</v>
      </c>
      <c r="N125" s="105">
        <f t="shared" si="4"/>
        <v>381.03874345549752</v>
      </c>
      <c r="O125" s="104">
        <v>8934</v>
      </c>
      <c r="P125" s="228">
        <v>581.89999999999986</v>
      </c>
      <c r="Q125" s="228">
        <f t="shared" si="2"/>
        <v>923.86018673647436</v>
      </c>
      <c r="R125" s="229">
        <v>17198</v>
      </c>
      <c r="S125" s="228">
        <v>233.2</v>
      </c>
      <c r="T125" s="228">
        <f t="shared" si="3"/>
        <v>370.24264572425824</v>
      </c>
      <c r="U125" s="218"/>
      <c r="V125" s="221" t="s">
        <v>170</v>
      </c>
      <c r="W125" s="223">
        <f>IF('Tab3'!C16="",'Tab3'!C15,'Tab3'!C16)</f>
        <v>19019.623626183151</v>
      </c>
      <c r="X125" s="223">
        <f>IF('Tab3'!D16="",'Tab3'!D15,'Tab3'!D16)</f>
        <v>22608.497212931994</v>
      </c>
      <c r="Y125" s="223">
        <f>IF('Tab3'!E16="",'Tab3'!E15,'Tab3'!E16)</f>
        <v>23125.531931836278</v>
      </c>
      <c r="Z125" s="218"/>
      <c r="AA125" s="218"/>
      <c r="AB125" s="218"/>
      <c r="AC125" s="218"/>
      <c r="AD125" s="218"/>
      <c r="AE125" s="218"/>
      <c r="AF125" s="218"/>
    </row>
    <row r="126" spans="1:32" x14ac:dyDescent="0.2">
      <c r="A126" s="97">
        <v>4</v>
      </c>
      <c r="B126" s="97"/>
      <c r="C126" s="97">
        <f>520-C123-C124-C125</f>
        <v>132.50000000000003</v>
      </c>
      <c r="D126" s="97">
        <f>452.4-D123-D124-D125</f>
        <v>113.1</v>
      </c>
      <c r="E126" s="97"/>
      <c r="F126" s="97"/>
      <c r="G126" s="97"/>
      <c r="I126" s="105">
        <v>96.3</v>
      </c>
      <c r="J126" s="1">
        <v>4</v>
      </c>
      <c r="L126" s="104">
        <v>16638</v>
      </c>
      <c r="M126" s="105">
        <v>233.40000000000009</v>
      </c>
      <c r="N126" s="105">
        <f t="shared" si="4"/>
        <v>367.48179646936666</v>
      </c>
      <c r="O126" s="104">
        <v>7966</v>
      </c>
      <c r="P126" s="228">
        <v>665.80000000000018</v>
      </c>
      <c r="Q126" s="228">
        <f t="shared" si="2"/>
        <v>1048.2835479404639</v>
      </c>
      <c r="R126" s="229">
        <v>13841</v>
      </c>
      <c r="S126" s="228">
        <v>188.00000000000011</v>
      </c>
      <c r="T126" s="228">
        <f t="shared" si="3"/>
        <v>296.00076150917289</v>
      </c>
      <c r="U126" s="218"/>
      <c r="V126" s="218"/>
      <c r="W126" s="218"/>
      <c r="X126" s="218"/>
      <c r="Y126" s="218"/>
      <c r="Z126" s="218"/>
      <c r="AA126" s="218"/>
      <c r="AB126" s="218"/>
      <c r="AC126" s="218"/>
      <c r="AD126" s="218"/>
      <c r="AE126" s="218"/>
      <c r="AF126" s="218"/>
    </row>
    <row r="127" spans="1:32" x14ac:dyDescent="0.2">
      <c r="A127" s="97">
        <v>1</v>
      </c>
      <c r="B127" s="97">
        <v>1997</v>
      </c>
      <c r="C127" s="97">
        <v>142.6</v>
      </c>
      <c r="D127" s="97">
        <v>124.8</v>
      </c>
      <c r="E127" s="97"/>
      <c r="F127" s="97"/>
      <c r="G127" s="97"/>
      <c r="I127" s="105">
        <v>97.3</v>
      </c>
      <c r="J127" s="1">
        <v>1</v>
      </c>
      <c r="K127" s="1">
        <v>1997</v>
      </c>
      <c r="L127" s="104">
        <v>17837</v>
      </c>
      <c r="M127" s="105">
        <v>255.29999999999998</v>
      </c>
      <c r="N127" s="105">
        <f t="shared" si="4"/>
        <v>397.83156731757447</v>
      </c>
      <c r="O127" s="104">
        <v>7574</v>
      </c>
      <c r="P127" s="228">
        <v>625.70000000000005</v>
      </c>
      <c r="Q127" s="228">
        <f t="shared" si="2"/>
        <v>975.0223723878039</v>
      </c>
      <c r="R127" s="229">
        <v>10571</v>
      </c>
      <c r="S127" s="228">
        <v>187.8</v>
      </c>
      <c r="T127" s="228">
        <f t="shared" si="3"/>
        <v>292.64695786228157</v>
      </c>
      <c r="U127" s="218"/>
      <c r="V127" s="220" t="s">
        <v>182</v>
      </c>
      <c r="W127" s="218"/>
      <c r="X127" s="218"/>
      <c r="Y127" s="218"/>
      <c r="Z127" s="218"/>
      <c r="AA127" s="218"/>
      <c r="AB127" s="218"/>
      <c r="AC127" s="218"/>
      <c r="AD127" s="218"/>
      <c r="AE127" s="218"/>
      <c r="AF127" s="218"/>
    </row>
    <row r="128" spans="1:32" x14ac:dyDescent="0.2">
      <c r="A128" s="97">
        <v>2</v>
      </c>
      <c r="B128" s="97"/>
      <c r="C128" s="97">
        <f>284.4-C127</f>
        <v>141.79999999999998</v>
      </c>
      <c r="D128" s="97">
        <f>247.3-D127</f>
        <v>122.50000000000001</v>
      </c>
      <c r="E128" s="97"/>
      <c r="F128" s="97"/>
      <c r="G128" s="97"/>
      <c r="I128" s="105">
        <v>97.7</v>
      </c>
      <c r="J128" s="1">
        <v>2</v>
      </c>
      <c r="L128" s="104">
        <v>16872</v>
      </c>
      <c r="M128" s="105">
        <v>281.30000000000007</v>
      </c>
      <c r="N128" s="105">
        <f t="shared" si="4"/>
        <v>436.55245479358587</v>
      </c>
      <c r="O128" s="104">
        <v>7284</v>
      </c>
      <c r="P128" s="228">
        <v>664.39999999999986</v>
      </c>
      <c r="Q128" s="228">
        <f t="shared" si="2"/>
        <v>1031.0894097577614</v>
      </c>
      <c r="R128" s="229">
        <v>14837</v>
      </c>
      <c r="S128" s="228">
        <v>224.59999999999997</v>
      </c>
      <c r="T128" s="228">
        <f t="shared" si="3"/>
        <v>348.55912316615473</v>
      </c>
      <c r="U128" s="218"/>
      <c r="V128" s="218"/>
      <c r="W128" s="223" t="str">
        <f>+'Tab3'!C6</f>
        <v>2017</v>
      </c>
      <c r="X128" s="223" t="str">
        <f>+'Tab3'!D6</f>
        <v>2018</v>
      </c>
      <c r="Y128" s="223" t="str">
        <f>+'Tab3'!E6</f>
        <v>2019</v>
      </c>
      <c r="Z128" s="218"/>
      <c r="AA128" s="218"/>
      <c r="AB128" s="218"/>
      <c r="AC128" s="218"/>
      <c r="AD128" s="218"/>
      <c r="AE128" s="218"/>
      <c r="AF128" s="218"/>
    </row>
    <row r="129" spans="1:32" x14ac:dyDescent="0.2">
      <c r="A129" s="97">
        <v>3</v>
      </c>
      <c r="B129" s="97"/>
      <c r="C129" s="97">
        <f>419.8-C127-C128</f>
        <v>135.40000000000006</v>
      </c>
      <c r="D129" s="97">
        <f>364.6-D127-D128</f>
        <v>117.3</v>
      </c>
      <c r="E129" s="97"/>
      <c r="F129" s="97" t="s">
        <v>74</v>
      </c>
      <c r="G129" s="97"/>
      <c r="I129" s="105">
        <v>97.7</v>
      </c>
      <c r="J129" s="1">
        <v>3</v>
      </c>
      <c r="L129" s="104">
        <v>17873</v>
      </c>
      <c r="M129" s="105">
        <v>297.89999999999998</v>
      </c>
      <c r="N129" s="105">
        <f t="shared" si="4"/>
        <v>462.31417093142261</v>
      </c>
      <c r="O129" s="104">
        <v>14581</v>
      </c>
      <c r="P129" s="228">
        <v>720.30000000000018</v>
      </c>
      <c r="Q129" s="228">
        <f t="shared" si="2"/>
        <v>1117.8412128966224</v>
      </c>
      <c r="R129" s="229">
        <v>15670</v>
      </c>
      <c r="S129" s="228">
        <v>198.80000000000007</v>
      </c>
      <c r="T129" s="228">
        <f t="shared" si="3"/>
        <v>308.51982940975785</v>
      </c>
      <c r="U129" s="218"/>
      <c r="V129" s="221" t="s">
        <v>11</v>
      </c>
      <c r="W129" s="223">
        <f>IF('Tab3'!C30="",'Tab3'!C31,'Tab3'!C32)</f>
        <v>3833.5464347256857</v>
      </c>
      <c r="X129" s="223">
        <f>IF('Tab3'!D30="",'Tab3'!D31,'Tab3'!D32)</f>
        <v>4529.9239401496261</v>
      </c>
      <c r="Y129" s="223">
        <f>IF('Tab3'!E30="",'Tab3'!E31,'Tab3'!E32)</f>
        <v>4431.5187032418953</v>
      </c>
      <c r="Z129" s="218"/>
      <c r="AA129" s="218"/>
      <c r="AB129" s="218"/>
      <c r="AC129" s="218"/>
      <c r="AD129" s="218"/>
      <c r="AE129" s="218"/>
      <c r="AF129" s="218"/>
    </row>
    <row r="130" spans="1:32" x14ac:dyDescent="0.2">
      <c r="A130" s="97">
        <v>4</v>
      </c>
      <c r="B130" s="97"/>
      <c r="C130" s="97">
        <f>550.4-C127-C128-C129</f>
        <v>130.59999999999994</v>
      </c>
      <c r="D130" s="97">
        <f>478.3-D127-D128-D129</f>
        <v>113.7</v>
      </c>
      <c r="E130" s="97"/>
      <c r="F130" s="97"/>
      <c r="G130" s="97"/>
      <c r="I130" s="105">
        <v>98.4</v>
      </c>
      <c r="J130" s="1">
        <v>4</v>
      </c>
      <c r="L130" s="104">
        <v>15493</v>
      </c>
      <c r="M130" s="105">
        <v>267.70000000000005</v>
      </c>
      <c r="N130" s="105">
        <f t="shared" si="4"/>
        <v>412.49105860433599</v>
      </c>
      <c r="O130" s="104">
        <v>9445</v>
      </c>
      <c r="P130" s="228">
        <v>564</v>
      </c>
      <c r="Q130" s="228">
        <f t="shared" si="2"/>
        <v>869.05101626016244</v>
      </c>
      <c r="R130" s="229">
        <v>13087</v>
      </c>
      <c r="S130" s="228">
        <v>185.09999999999991</v>
      </c>
      <c r="T130" s="228">
        <f t="shared" si="3"/>
        <v>285.21514735772337</v>
      </c>
      <c r="U130" s="218"/>
      <c r="V130" s="221" t="s">
        <v>12</v>
      </c>
      <c r="W130" s="223">
        <f>IF('Tab3'!C32="",'Tab3'!C33,'Tab3'!C34)</f>
        <v>4864.4012554765559</v>
      </c>
      <c r="X130" s="223">
        <f>IF('Tab3'!D32="",'Tab3'!D33,'Tab3'!D34)</f>
        <v>5414.37</v>
      </c>
      <c r="Y130" s="223">
        <f>IF('Tab3'!E32="",'Tab3'!E33,'Tab3'!E34)</f>
        <v>5862.3879999999999</v>
      </c>
      <c r="Z130" s="218"/>
      <c r="AA130" s="218"/>
      <c r="AB130" s="218"/>
      <c r="AC130" s="218"/>
      <c r="AD130" s="218"/>
      <c r="AE130" s="218"/>
      <c r="AF130" s="218"/>
    </row>
    <row r="131" spans="1:32" x14ac:dyDescent="0.2">
      <c r="A131" s="97">
        <v>1</v>
      </c>
      <c r="B131" s="97">
        <v>1998</v>
      </c>
      <c r="C131" s="97">
        <v>150</v>
      </c>
      <c r="D131" s="97">
        <v>131.9</v>
      </c>
      <c r="E131" s="97"/>
      <c r="F131" s="97" t="s">
        <v>78</v>
      </c>
      <c r="G131" s="97"/>
      <c r="I131" s="105">
        <v>99.3</v>
      </c>
      <c r="J131" s="1">
        <v>1</v>
      </c>
      <c r="K131" s="1">
        <v>1998</v>
      </c>
      <c r="L131" s="104">
        <v>17629</v>
      </c>
      <c r="M131" s="105">
        <v>285</v>
      </c>
      <c r="N131" s="105">
        <f t="shared" si="4"/>
        <v>435.16792547834837</v>
      </c>
      <c r="O131" s="104">
        <v>7614</v>
      </c>
      <c r="P131" s="228">
        <v>599.6</v>
      </c>
      <c r="Q131" s="228">
        <f t="shared" si="2"/>
        <v>915.53223900637784</v>
      </c>
      <c r="R131" s="229">
        <v>11958</v>
      </c>
      <c r="S131" s="228">
        <v>185.4</v>
      </c>
      <c r="T131" s="228">
        <f t="shared" si="3"/>
        <v>283.08818731117822</v>
      </c>
      <c r="U131" s="218"/>
      <c r="V131" s="221" t="s">
        <v>7</v>
      </c>
      <c r="W131" s="223">
        <f>IF('Tab3'!C18="",'Tab3'!C17,'Tab3'!C18)</f>
        <v>5397.5735274385315</v>
      </c>
      <c r="X131" s="223">
        <f>IF('Tab3'!D18="",'Tab3'!D17,'Tab3'!D18)</f>
        <v>5650.9223836734691</v>
      </c>
      <c r="Y131" s="223">
        <f>IF('Tab3'!E18="",'Tab3'!E17,'Tab3'!E18)</f>
        <v>5021.5564408163264</v>
      </c>
      <c r="Z131" s="218"/>
      <c r="AA131" s="218"/>
      <c r="AB131" s="218"/>
      <c r="AC131" s="218"/>
      <c r="AD131" s="218"/>
      <c r="AE131" s="218"/>
      <c r="AF131" s="218"/>
    </row>
    <row r="132" spans="1:32" x14ac:dyDescent="0.2">
      <c r="A132" s="97">
        <v>2</v>
      </c>
      <c r="B132" s="97"/>
      <c r="C132" s="92">
        <f>289.8-C131</f>
        <v>139.80000000000001</v>
      </c>
      <c r="D132" s="92">
        <f>253.9-D131</f>
        <v>122</v>
      </c>
      <c r="E132" s="97"/>
      <c r="F132" s="97" t="s">
        <v>79</v>
      </c>
      <c r="G132" s="97" t="s">
        <v>80</v>
      </c>
      <c r="I132" s="105">
        <v>99.7</v>
      </c>
      <c r="J132" s="1">
        <v>2</v>
      </c>
      <c r="L132" s="104">
        <v>14484</v>
      </c>
      <c r="M132" s="105">
        <v>253.5</v>
      </c>
      <c r="N132" s="105">
        <f t="shared" si="4"/>
        <v>385.5174774322968</v>
      </c>
      <c r="O132" s="104">
        <v>6009</v>
      </c>
      <c r="P132" s="228">
        <v>576.9</v>
      </c>
      <c r="Q132" s="228">
        <f t="shared" si="2"/>
        <v>877.33740722166476</v>
      </c>
      <c r="R132" s="229">
        <v>15060</v>
      </c>
      <c r="S132" s="228">
        <v>204.20000000000002</v>
      </c>
      <c r="T132" s="228">
        <f t="shared" si="3"/>
        <v>310.54307255098627</v>
      </c>
      <c r="U132" s="218"/>
      <c r="V132" s="218" t="s">
        <v>113</v>
      </c>
      <c r="W132" s="223">
        <f>IF('Tab10'!C8="",'Tab10'!C7,'Tab10'!C8)</f>
        <v>7122.0658691989747</v>
      </c>
      <c r="X132" s="223">
        <f>IF('Tab10'!D8="",'Tab10'!D7,'Tab10'!D8)</f>
        <v>9512.47684821849</v>
      </c>
      <c r="Y132" s="223">
        <f>IF('Tab10'!E8="",'Tab10'!E7,'Tab10'!E8)</f>
        <v>7919.3159106367393</v>
      </c>
      <c r="Z132" s="218"/>
      <c r="AA132" s="218"/>
      <c r="AB132" s="218"/>
      <c r="AC132" s="218"/>
      <c r="AD132" s="218"/>
      <c r="AE132" s="218"/>
      <c r="AF132" s="218"/>
    </row>
    <row r="133" spans="1:32" x14ac:dyDescent="0.2">
      <c r="A133" s="97">
        <v>3</v>
      </c>
      <c r="B133" s="97"/>
      <c r="C133" s="97">
        <f>+E133-C131-C132</f>
        <v>128.09999999999997</v>
      </c>
      <c r="D133" s="97">
        <f>+G133-D131-D132</f>
        <v>112.1</v>
      </c>
      <c r="E133" s="97">
        <v>417.9</v>
      </c>
      <c r="G133" s="97">
        <v>366</v>
      </c>
      <c r="I133" s="100">
        <v>99.8</v>
      </c>
      <c r="J133" s="1">
        <v>3</v>
      </c>
      <c r="L133" s="104">
        <v>15693</v>
      </c>
      <c r="M133" s="105">
        <v>257.89999999999998</v>
      </c>
      <c r="N133" s="105">
        <f t="shared" si="4"/>
        <v>391.81591015364052</v>
      </c>
      <c r="O133" s="104">
        <v>8328</v>
      </c>
      <c r="P133" s="228">
        <v>432.80000000000018</v>
      </c>
      <c r="Q133" s="228">
        <f t="shared" si="2"/>
        <v>657.53364061456261</v>
      </c>
      <c r="R133" s="229">
        <v>17098</v>
      </c>
      <c r="S133" s="228">
        <v>209.60000000000002</v>
      </c>
      <c r="T133" s="228">
        <f t="shared" si="3"/>
        <v>318.43588510354039</v>
      </c>
      <c r="U133" s="218"/>
      <c r="V133" s="221" t="s">
        <v>9</v>
      </c>
      <c r="W133" s="223">
        <f>IF('Tab3'!C22="",'Tab3'!C21,'Tab3'!C22)</f>
        <v>12623.589153783334</v>
      </c>
      <c r="X133" s="223">
        <f>IF('Tab3'!D22="",'Tab3'!D21,'Tab3'!D22)</f>
        <v>11956.071666666667</v>
      </c>
      <c r="Y133" s="223">
        <f>IF('Tab3'!E22="",'Tab3'!E21,'Tab3'!E22)</f>
        <v>13899.584999999999</v>
      </c>
      <c r="Z133" s="218"/>
      <c r="AA133" s="218"/>
      <c r="AB133" s="218"/>
      <c r="AC133" s="218"/>
      <c r="AD133" s="218"/>
      <c r="AE133" s="218"/>
      <c r="AF133" s="218"/>
    </row>
    <row r="134" spans="1:32" x14ac:dyDescent="0.2">
      <c r="A134" s="97">
        <v>4</v>
      </c>
      <c r="B134" s="97"/>
      <c r="C134" s="97">
        <f>+E134-E133</f>
        <v>141.80000000000007</v>
      </c>
      <c r="D134" s="97">
        <f>+G134-G133</f>
        <v>125.60000000000002</v>
      </c>
      <c r="E134" s="97">
        <v>559.70000000000005</v>
      </c>
      <c r="G134" s="97">
        <v>491.6</v>
      </c>
      <c r="I134" s="100">
        <v>100.7</v>
      </c>
      <c r="J134" s="1">
        <v>4</v>
      </c>
      <c r="L134" s="104">
        <v>16502</v>
      </c>
      <c r="M134" s="105">
        <v>299.10000000000002</v>
      </c>
      <c r="N134" s="105">
        <f t="shared" si="4"/>
        <v>450.3479692154915</v>
      </c>
      <c r="O134" s="104">
        <v>7526</v>
      </c>
      <c r="P134" s="228">
        <v>738.59999999999945</v>
      </c>
      <c r="Q134" s="228">
        <f t="shared" si="2"/>
        <v>1112.0929791459771</v>
      </c>
      <c r="R134" s="229">
        <v>14647</v>
      </c>
      <c r="S134" s="228">
        <v>205.79999999999995</v>
      </c>
      <c r="T134" s="228">
        <f t="shared" si="3"/>
        <v>309.86831181727894</v>
      </c>
      <c r="U134" s="218"/>
      <c r="V134" s="218"/>
      <c r="W134" s="218"/>
      <c r="X134" s="218"/>
      <c r="Y134" s="218"/>
      <c r="Z134" s="218"/>
      <c r="AA134" s="218"/>
      <c r="AB134" s="218"/>
      <c r="AC134" s="218"/>
      <c r="AD134" s="218"/>
      <c r="AE134" s="218"/>
      <c r="AF134" s="218"/>
    </row>
    <row r="135" spans="1:32" x14ac:dyDescent="0.2">
      <c r="A135" s="97">
        <v>1</v>
      </c>
      <c r="B135" s="97">
        <v>1999</v>
      </c>
      <c r="C135" s="97">
        <f>+E135</f>
        <v>154.19999999999999</v>
      </c>
      <c r="D135" s="97">
        <f>+G135</f>
        <v>137.1</v>
      </c>
      <c r="E135" s="97">
        <v>154.19999999999999</v>
      </c>
      <c r="G135" s="97">
        <v>137.1</v>
      </c>
      <c r="I135" s="100">
        <v>101.4</v>
      </c>
      <c r="J135" s="1">
        <v>1</v>
      </c>
      <c r="K135" s="1">
        <v>1999</v>
      </c>
      <c r="L135" s="104">
        <v>18095</v>
      </c>
      <c r="M135" s="105">
        <v>328.50000000000006</v>
      </c>
      <c r="N135" s="105">
        <f t="shared" si="4"/>
        <v>491.20036982248519</v>
      </c>
      <c r="O135" s="104">
        <v>8863</v>
      </c>
      <c r="P135" s="228">
        <v>689.1</v>
      </c>
      <c r="Q135" s="228">
        <f t="shared" si="2"/>
        <v>1030.3993145956606</v>
      </c>
      <c r="R135" s="229">
        <v>11175</v>
      </c>
      <c r="S135" s="228">
        <v>162.80000000000001</v>
      </c>
      <c r="T135" s="228">
        <f t="shared" si="3"/>
        <v>243.43202498356339</v>
      </c>
      <c r="U135" s="218"/>
      <c r="V135" s="218"/>
      <c r="W135" s="218"/>
      <c r="X135" s="218"/>
      <c r="Y135" s="218"/>
      <c r="Z135" s="218"/>
      <c r="AA135" s="218"/>
      <c r="AB135" s="218"/>
      <c r="AC135" s="218"/>
      <c r="AD135" s="218"/>
      <c r="AE135" s="218"/>
      <c r="AF135" s="218"/>
    </row>
    <row r="136" spans="1:32" x14ac:dyDescent="0.2">
      <c r="A136" s="97">
        <v>2</v>
      </c>
      <c r="B136" s="97"/>
      <c r="C136" s="92">
        <f>+E136-E135</f>
        <v>159.30000000000001</v>
      </c>
      <c r="D136" s="92">
        <f>+G136-G135</f>
        <v>140.70000000000002</v>
      </c>
      <c r="E136" s="97">
        <v>313.5</v>
      </c>
      <c r="G136" s="97">
        <v>277.8</v>
      </c>
      <c r="I136" s="100">
        <v>102.2</v>
      </c>
      <c r="J136" s="1">
        <v>2</v>
      </c>
      <c r="L136" s="104">
        <v>12899</v>
      </c>
      <c r="M136" s="105">
        <v>332.7</v>
      </c>
      <c r="N136" s="105">
        <f t="shared" si="4"/>
        <v>493.58638454011731</v>
      </c>
      <c r="O136" s="104">
        <v>5920</v>
      </c>
      <c r="P136" s="228">
        <v>874.6</v>
      </c>
      <c r="Q136" s="228">
        <f t="shared" si="2"/>
        <v>1297.5372765818654</v>
      </c>
      <c r="R136" s="229">
        <v>12451</v>
      </c>
      <c r="S136" s="228">
        <v>199.09999999999997</v>
      </c>
      <c r="T136" s="228">
        <f t="shared" si="3"/>
        <v>295.38037018917146</v>
      </c>
      <c r="U136" s="218"/>
      <c r="V136" s="218"/>
      <c r="W136" s="218"/>
      <c r="X136" s="218"/>
      <c r="Y136" s="218"/>
      <c r="Z136" s="218"/>
      <c r="AA136" s="218"/>
      <c r="AB136" s="218"/>
      <c r="AC136" s="218"/>
      <c r="AD136" s="218"/>
      <c r="AE136" s="218"/>
      <c r="AF136" s="218"/>
    </row>
    <row r="137" spans="1:32" x14ac:dyDescent="0.2">
      <c r="A137" s="97">
        <v>3</v>
      </c>
      <c r="B137" s="97"/>
      <c r="C137" s="92">
        <f>+E137-E136</f>
        <v>146.30000000000001</v>
      </c>
      <c r="D137" s="92">
        <f>+G137-G136</f>
        <v>128.69999999999999</v>
      </c>
      <c r="E137" s="97">
        <v>459.8</v>
      </c>
      <c r="G137" s="97">
        <v>406.5</v>
      </c>
      <c r="I137" s="100">
        <v>101.7</v>
      </c>
      <c r="J137" s="1">
        <v>3</v>
      </c>
      <c r="L137" s="104">
        <v>23305</v>
      </c>
      <c r="M137" s="105">
        <v>445.5</v>
      </c>
      <c r="N137" s="105">
        <f t="shared" si="4"/>
        <v>664.1834070796458</v>
      </c>
      <c r="O137" s="104">
        <v>11181</v>
      </c>
      <c r="P137" s="228">
        <v>566.99999999999977</v>
      </c>
      <c r="Q137" s="228">
        <f t="shared" si="2"/>
        <v>845.32433628318529</v>
      </c>
      <c r="R137" s="229">
        <v>18817</v>
      </c>
      <c r="S137" s="228">
        <v>227.70000000000005</v>
      </c>
      <c r="T137" s="228">
        <f t="shared" si="3"/>
        <v>339.4715191740413</v>
      </c>
      <c r="U137" s="218"/>
      <c r="V137" s="218"/>
      <c r="W137" s="218"/>
      <c r="X137" s="218"/>
      <c r="Y137" s="218"/>
      <c r="Z137" s="218"/>
      <c r="AA137" s="218"/>
      <c r="AB137" s="218"/>
      <c r="AC137" s="218"/>
      <c r="AD137" s="218"/>
      <c r="AE137" s="218"/>
      <c r="AF137" s="218"/>
    </row>
    <row r="138" spans="1:32" x14ac:dyDescent="0.2">
      <c r="A138" s="97">
        <v>4</v>
      </c>
      <c r="B138" s="97"/>
      <c r="C138" s="92">
        <f>+E138-E137</f>
        <v>141.90000000000003</v>
      </c>
      <c r="D138" s="92">
        <f>+G138-G137</f>
        <v>126.39999999999998</v>
      </c>
      <c r="E138" s="97">
        <v>601.70000000000005</v>
      </c>
      <c r="G138" s="97">
        <v>532.9</v>
      </c>
      <c r="I138" s="105">
        <v>103.5</v>
      </c>
      <c r="J138" s="1">
        <v>4</v>
      </c>
      <c r="L138" s="104">
        <v>18359</v>
      </c>
      <c r="M138" s="105">
        <v>410.59999999999968</v>
      </c>
      <c r="N138" s="105">
        <f t="shared" si="4"/>
        <v>601.50585829307511</v>
      </c>
      <c r="O138" s="104">
        <v>9544</v>
      </c>
      <c r="P138" s="228">
        <v>935.5</v>
      </c>
      <c r="Q138" s="228">
        <f t="shared" si="2"/>
        <v>1370.4547745571656</v>
      </c>
      <c r="R138" s="229">
        <v>13692</v>
      </c>
      <c r="S138" s="228">
        <v>192.19999999999993</v>
      </c>
      <c r="T138" s="228">
        <f t="shared" si="3"/>
        <v>281.56216747181952</v>
      </c>
      <c r="U138" s="218"/>
      <c r="V138" s="218"/>
      <c r="W138" s="218"/>
      <c r="X138" s="218"/>
      <c r="Y138" s="218"/>
      <c r="Z138" s="218"/>
      <c r="AA138" s="218"/>
      <c r="AB138" s="218"/>
      <c r="AC138" s="218"/>
      <c r="AD138" s="218"/>
      <c r="AE138" s="218"/>
      <c r="AF138" s="218"/>
    </row>
    <row r="139" spans="1:32" x14ac:dyDescent="0.2">
      <c r="A139" s="97">
        <v>1</v>
      </c>
      <c r="B139" s="97">
        <v>2000</v>
      </c>
      <c r="C139" s="97">
        <f>+E139</f>
        <v>169.1</v>
      </c>
      <c r="D139" s="97">
        <f>+G139</f>
        <v>150.9</v>
      </c>
      <c r="E139" s="97">
        <v>169.1</v>
      </c>
      <c r="G139" s="97">
        <v>150.9</v>
      </c>
      <c r="I139" s="105">
        <v>104.6</v>
      </c>
      <c r="J139" s="1">
        <v>1</v>
      </c>
      <c r="K139" s="1">
        <v>2000</v>
      </c>
      <c r="L139" s="104">
        <v>17570</v>
      </c>
      <c r="M139" s="105">
        <v>345.9</v>
      </c>
      <c r="N139" s="105">
        <f t="shared" si="4"/>
        <v>501.39516730401522</v>
      </c>
      <c r="O139" s="104">
        <v>9154</v>
      </c>
      <c r="P139" s="228">
        <v>819.9</v>
      </c>
      <c r="Q139" s="228">
        <f t="shared" si="2"/>
        <v>1188.4761424474186</v>
      </c>
      <c r="R139" s="229">
        <v>12421</v>
      </c>
      <c r="S139" s="228">
        <v>198</v>
      </c>
      <c r="T139" s="228">
        <f t="shared" si="3"/>
        <v>287.00850860420644</v>
      </c>
      <c r="U139" s="218"/>
      <c r="V139" s="218"/>
      <c r="W139" s="218"/>
      <c r="X139" s="218"/>
      <c r="Y139" s="218"/>
      <c r="Z139" s="218"/>
      <c r="AA139" s="218"/>
      <c r="AB139" s="218"/>
      <c r="AC139" s="218"/>
      <c r="AD139" s="218"/>
      <c r="AE139" s="218"/>
      <c r="AF139" s="218"/>
    </row>
    <row r="140" spans="1:32" x14ac:dyDescent="0.2">
      <c r="A140" s="97">
        <v>2</v>
      </c>
      <c r="B140" s="97"/>
      <c r="C140" s="92">
        <f>+E140-E139</f>
        <v>151.50000000000003</v>
      </c>
      <c r="D140" s="92">
        <f>+G140-G139</f>
        <v>133.4</v>
      </c>
      <c r="E140" s="97">
        <v>320.60000000000002</v>
      </c>
      <c r="G140" s="97">
        <v>284.3</v>
      </c>
      <c r="I140" s="105">
        <v>105.1</v>
      </c>
      <c r="J140" s="1">
        <v>2</v>
      </c>
      <c r="L140" s="104">
        <v>14069</v>
      </c>
      <c r="M140" s="105">
        <v>252.39999999999998</v>
      </c>
      <c r="N140" s="105">
        <f t="shared" si="4"/>
        <v>364.12282270853149</v>
      </c>
      <c r="O140" s="104">
        <v>10238</v>
      </c>
      <c r="P140" s="228">
        <v>674.19999999999993</v>
      </c>
      <c r="Q140" s="228">
        <f t="shared" si="2"/>
        <v>972.62918807484914</v>
      </c>
      <c r="R140" s="229">
        <v>13950</v>
      </c>
      <c r="S140" s="228">
        <v>184.5</v>
      </c>
      <c r="T140" s="228">
        <f t="shared" si="3"/>
        <v>266.16743577545191</v>
      </c>
      <c r="U140" s="218"/>
      <c r="V140" s="218"/>
      <c r="W140" s="218"/>
      <c r="X140" s="218"/>
      <c r="Y140" s="218"/>
      <c r="Z140" s="218"/>
      <c r="AA140" s="218"/>
      <c r="AB140" s="218"/>
      <c r="AC140" s="218"/>
      <c r="AD140" s="218"/>
      <c r="AE140" s="218"/>
      <c r="AF140" s="218"/>
    </row>
    <row r="141" spans="1:32" x14ac:dyDescent="0.2">
      <c r="A141" s="97">
        <v>3</v>
      </c>
      <c r="B141"/>
      <c r="C141" s="92">
        <f>+E141-E140</f>
        <v>139</v>
      </c>
      <c r="D141" s="92">
        <f>+G141-G140</f>
        <v>123.5</v>
      </c>
      <c r="E141" s="97">
        <v>459.6</v>
      </c>
      <c r="G141" s="97">
        <v>407.8</v>
      </c>
      <c r="I141" s="105">
        <v>105.3</v>
      </c>
      <c r="J141" s="1">
        <v>3</v>
      </c>
      <c r="L141" s="104">
        <v>16329</v>
      </c>
      <c r="M141" s="105">
        <v>313.5</v>
      </c>
      <c r="N141" s="105">
        <f t="shared" si="4"/>
        <v>451.40923551756879</v>
      </c>
      <c r="O141" s="104">
        <v>13877</v>
      </c>
      <c r="P141" s="228">
        <v>706.20000000000027</v>
      </c>
      <c r="Q141" s="228">
        <f t="shared" si="2"/>
        <v>1016.8586989553659</v>
      </c>
      <c r="R141" s="229">
        <v>14850</v>
      </c>
      <c r="S141" s="228">
        <v>193.89999999999998</v>
      </c>
      <c r="T141" s="228">
        <f t="shared" si="3"/>
        <v>279.1969721430832</v>
      </c>
      <c r="U141" s="218"/>
      <c r="V141" s="218"/>
      <c r="W141" s="218"/>
      <c r="X141" s="218"/>
      <c r="Y141" s="218"/>
      <c r="Z141" s="218"/>
      <c r="AA141" s="218"/>
      <c r="AB141" s="218"/>
      <c r="AC141" s="218"/>
      <c r="AD141" s="218"/>
      <c r="AE141" s="218"/>
      <c r="AF141" s="218"/>
    </row>
    <row r="142" spans="1:32" x14ac:dyDescent="0.2">
      <c r="A142" s="97">
        <v>4</v>
      </c>
      <c r="B142"/>
      <c r="C142" s="92">
        <f>+E142-E141</f>
        <v>135.10000000000002</v>
      </c>
      <c r="D142" s="92">
        <f>+G142-G141</f>
        <v>121.40000000000003</v>
      </c>
      <c r="E142" s="97">
        <v>594.70000000000005</v>
      </c>
      <c r="G142" s="97">
        <v>529.20000000000005</v>
      </c>
      <c r="I142" s="105">
        <v>106.8</v>
      </c>
      <c r="J142" s="1">
        <v>4</v>
      </c>
      <c r="L142" s="104">
        <v>21735</v>
      </c>
      <c r="M142" s="105">
        <v>484.79999999999995</v>
      </c>
      <c r="N142" s="105">
        <f t="shared" si="4"/>
        <v>688.26014981273386</v>
      </c>
      <c r="O142" s="104">
        <v>9978</v>
      </c>
      <c r="P142" s="228">
        <v>739.19999999999982</v>
      </c>
      <c r="Q142" s="228">
        <f t="shared" si="2"/>
        <v>1049.4263670411981</v>
      </c>
      <c r="R142" s="229">
        <v>13212</v>
      </c>
      <c r="S142" s="228">
        <v>215</v>
      </c>
      <c r="T142" s="228">
        <f t="shared" si="3"/>
        <v>305.23088327091131</v>
      </c>
      <c r="U142" s="218"/>
      <c r="V142" s="218"/>
      <c r="W142" s="218"/>
      <c r="X142" s="218"/>
      <c r="Y142" s="218"/>
      <c r="Z142" s="218"/>
      <c r="AA142" s="218"/>
      <c r="AB142" s="218"/>
      <c r="AC142" s="218"/>
      <c r="AD142" s="218"/>
      <c r="AE142" s="218"/>
      <c r="AF142" s="218"/>
    </row>
    <row r="143" spans="1:32" x14ac:dyDescent="0.2">
      <c r="A143" s="97">
        <v>1</v>
      </c>
      <c r="B143">
        <v>2001</v>
      </c>
      <c r="C143" s="97">
        <f>+E143</f>
        <v>158.5</v>
      </c>
      <c r="D143" s="97">
        <f>+G143</f>
        <v>143.1</v>
      </c>
      <c r="E143" s="97">
        <v>158.5</v>
      </c>
      <c r="G143" s="97">
        <v>143.1</v>
      </c>
      <c r="I143" s="105">
        <v>108.4</v>
      </c>
      <c r="J143" s="1">
        <v>1</v>
      </c>
      <c r="K143" s="1">
        <v>2001</v>
      </c>
      <c r="L143" s="104">
        <v>27280</v>
      </c>
      <c r="M143" s="105">
        <v>675.3</v>
      </c>
      <c r="N143" s="105">
        <f t="shared" si="4"/>
        <v>944.55822416974138</v>
      </c>
      <c r="O143" s="104">
        <v>7776</v>
      </c>
      <c r="P143" s="228">
        <v>877</v>
      </c>
      <c r="Q143" s="228">
        <f t="shared" si="2"/>
        <v>1226.6808271832715</v>
      </c>
      <c r="R143" s="229">
        <v>10538</v>
      </c>
      <c r="S143" s="228">
        <v>164.1</v>
      </c>
      <c r="T143" s="228">
        <f t="shared" si="3"/>
        <v>229.53058579335789</v>
      </c>
      <c r="U143" s="218"/>
      <c r="V143" s="218"/>
      <c r="W143" s="218"/>
      <c r="X143" s="218"/>
      <c r="Y143" s="218"/>
      <c r="Z143" s="218"/>
      <c r="AA143" s="218"/>
      <c r="AB143" s="218"/>
      <c r="AC143" s="218"/>
      <c r="AD143" s="218"/>
      <c r="AE143" s="218"/>
      <c r="AF143" s="218"/>
    </row>
    <row r="144" spans="1:32" x14ac:dyDescent="0.2">
      <c r="A144" s="97">
        <v>2</v>
      </c>
      <c r="B144" s="97"/>
      <c r="C144" s="92">
        <f>+E144-E143</f>
        <v>140.45999999999998</v>
      </c>
      <c r="D144" s="92">
        <f>+G144-G143</f>
        <v>125.70000000000002</v>
      </c>
      <c r="E144" s="97">
        <v>298.95999999999998</v>
      </c>
      <c r="G144" s="97">
        <v>268.8</v>
      </c>
      <c r="I144" s="105">
        <v>109.6</v>
      </c>
      <c r="J144" s="1">
        <v>2</v>
      </c>
      <c r="L144" s="104">
        <v>17111</v>
      </c>
      <c r="M144" s="105">
        <v>452</v>
      </c>
      <c r="N144" s="105">
        <f t="shared" si="4"/>
        <v>625.30103406326032</v>
      </c>
      <c r="O144" s="104">
        <v>5711</v>
      </c>
      <c r="P144" s="228">
        <v>923</v>
      </c>
      <c r="Q144" s="228">
        <f t="shared" si="2"/>
        <v>1276.8868461070556</v>
      </c>
      <c r="R144" s="229">
        <v>11841</v>
      </c>
      <c r="S144" s="228">
        <v>190.29999999999998</v>
      </c>
      <c r="T144" s="228">
        <f t="shared" si="3"/>
        <v>263.26280261557173</v>
      </c>
      <c r="U144" s="218"/>
      <c r="V144" s="218"/>
      <c r="W144" s="218"/>
      <c r="X144" s="218"/>
      <c r="Y144" s="218"/>
      <c r="Z144" s="218"/>
      <c r="AA144" s="218"/>
      <c r="AB144" s="218"/>
      <c r="AC144" s="218"/>
      <c r="AD144" s="218"/>
      <c r="AE144" s="218"/>
      <c r="AF144" s="218"/>
    </row>
    <row r="145" spans="1:32" x14ac:dyDescent="0.2">
      <c r="A145" s="97">
        <v>3</v>
      </c>
      <c r="C145" s="92">
        <f>+E145-E144</f>
        <v>134.24</v>
      </c>
      <c r="D145" s="92">
        <f>+G145-G144</f>
        <v>119.19999999999999</v>
      </c>
      <c r="E145" s="97">
        <v>433.2</v>
      </c>
      <c r="G145" s="97">
        <v>388</v>
      </c>
      <c r="I145" s="105">
        <v>108.1</v>
      </c>
      <c r="J145" s="1">
        <v>3</v>
      </c>
      <c r="L145" s="104">
        <v>16407</v>
      </c>
      <c r="M145" s="105">
        <v>400.40000000000009</v>
      </c>
      <c r="N145" s="105">
        <f t="shared" si="4"/>
        <v>561.60328707986434</v>
      </c>
      <c r="O145" s="104">
        <v>15359</v>
      </c>
      <c r="P145" s="228">
        <v>1172.1999999999998</v>
      </c>
      <c r="Q145" s="228">
        <f t="shared" si="2"/>
        <v>1644.134298489053</v>
      </c>
      <c r="R145" s="229">
        <v>13534</v>
      </c>
      <c r="S145" s="228">
        <v>158.5</v>
      </c>
      <c r="T145" s="228">
        <f t="shared" si="3"/>
        <v>222.3129895158803</v>
      </c>
      <c r="U145" s="218"/>
      <c r="V145" s="218"/>
      <c r="W145" s="218"/>
      <c r="X145" s="218"/>
      <c r="Y145" s="218"/>
      <c r="Z145" s="218"/>
      <c r="AA145" s="218"/>
      <c r="AB145" s="218"/>
      <c r="AC145" s="218"/>
      <c r="AD145" s="218"/>
      <c r="AE145" s="218"/>
      <c r="AF145" s="218"/>
    </row>
    <row r="146" spans="1:32" x14ac:dyDescent="0.2">
      <c r="A146" s="97">
        <v>4</v>
      </c>
      <c r="C146" s="92">
        <f>+E146-E145</f>
        <v>137.49520000000001</v>
      </c>
      <c r="D146" s="92">
        <f>+G146-G145</f>
        <v>124.07220000000007</v>
      </c>
      <c r="E146" s="99">
        <v>570.6952</v>
      </c>
      <c r="F146" s="91"/>
      <c r="G146" s="99">
        <v>512.07220000000007</v>
      </c>
      <c r="I146" s="105">
        <v>108.7</v>
      </c>
      <c r="J146" s="1">
        <v>4</v>
      </c>
      <c r="L146" s="104">
        <v>16945</v>
      </c>
      <c r="M146" s="105">
        <v>509.39999999999986</v>
      </c>
      <c r="N146" s="105">
        <f t="shared" si="4"/>
        <v>710.54348666053318</v>
      </c>
      <c r="O146" s="104">
        <v>9601</v>
      </c>
      <c r="P146" s="228">
        <v>803.30000000000018</v>
      </c>
      <c r="Q146" s="228">
        <f t="shared" si="2"/>
        <v>1120.4938807114384</v>
      </c>
      <c r="R146" s="229">
        <v>12341</v>
      </c>
      <c r="S146" s="228">
        <v>258.5</v>
      </c>
      <c r="T146" s="228">
        <f t="shared" si="3"/>
        <v>360.5722247776755</v>
      </c>
      <c r="U146" s="218"/>
      <c r="V146" s="218"/>
      <c r="W146" s="218"/>
      <c r="X146" s="218"/>
      <c r="Y146" s="218"/>
      <c r="Z146" s="218"/>
      <c r="AA146" s="218"/>
      <c r="AB146" s="218"/>
      <c r="AC146" s="218"/>
      <c r="AD146" s="218"/>
      <c r="AE146" s="218"/>
      <c r="AF146" s="218"/>
    </row>
    <row r="147" spans="1:32" x14ac:dyDescent="0.2">
      <c r="A147" s="97">
        <v>1</v>
      </c>
      <c r="B147" s="97">
        <v>2002</v>
      </c>
      <c r="C147" s="97">
        <f>+E147</f>
        <v>155.81399999999999</v>
      </c>
      <c r="D147" s="97">
        <f>+G147</f>
        <v>141.72399999999999</v>
      </c>
      <c r="E147" s="99">
        <v>155.81399999999999</v>
      </c>
      <c r="F147" s="91"/>
      <c r="G147" s="99">
        <v>141.72399999999999</v>
      </c>
      <c r="I147" s="105">
        <v>109.3</v>
      </c>
      <c r="J147" s="1">
        <v>1</v>
      </c>
      <c r="K147" s="1">
        <v>2002</v>
      </c>
      <c r="L147" s="104">
        <v>17523</v>
      </c>
      <c r="M147" s="105">
        <v>466.5</v>
      </c>
      <c r="N147" s="105">
        <f t="shared" si="4"/>
        <v>647.13181610247011</v>
      </c>
      <c r="O147" s="104">
        <v>6856</v>
      </c>
      <c r="P147" s="228">
        <v>820.40000000000009</v>
      </c>
      <c r="Q147" s="228">
        <f t="shared" si="2"/>
        <v>1138.0641842025007</v>
      </c>
      <c r="R147" s="229">
        <v>9371</v>
      </c>
      <c r="S147" s="228">
        <v>197.9</v>
      </c>
      <c r="T147" s="228">
        <f t="shared" si="3"/>
        <v>274.52815949984745</v>
      </c>
      <c r="U147" s="218"/>
      <c r="V147" s="218"/>
      <c r="W147" s="218"/>
      <c r="X147" s="218"/>
      <c r="Y147" s="218"/>
      <c r="Z147" s="218"/>
      <c r="AA147" s="218"/>
      <c r="AB147" s="218"/>
      <c r="AC147" s="218"/>
      <c r="AD147" s="218"/>
      <c r="AE147" s="218"/>
      <c r="AF147" s="218"/>
    </row>
    <row r="148" spans="1:32" x14ac:dyDescent="0.2">
      <c r="A148" s="97">
        <v>2</v>
      </c>
      <c r="B148" s="97"/>
      <c r="C148" s="92">
        <f>+E148-E147</f>
        <v>146.54300000000003</v>
      </c>
      <c r="D148" s="92">
        <f>+G148-G147</f>
        <v>133.19</v>
      </c>
      <c r="E148" s="97">
        <v>302.35700000000003</v>
      </c>
      <c r="G148" s="97">
        <v>274.91399999999999</v>
      </c>
      <c r="I148" s="105">
        <v>110</v>
      </c>
      <c r="J148" s="1">
        <v>2</v>
      </c>
      <c r="L148" s="104">
        <v>17469</v>
      </c>
      <c r="M148" s="105">
        <v>408.5</v>
      </c>
      <c r="N148" s="105">
        <f t="shared" si="4"/>
        <v>563.06773484848475</v>
      </c>
      <c r="O148" s="104">
        <v>9323</v>
      </c>
      <c r="P148" s="228">
        <v>689.09999999999991</v>
      </c>
      <c r="Q148" s="228">
        <f t="shared" si="2"/>
        <v>949.84082272727244</v>
      </c>
      <c r="R148" s="229">
        <v>14749</v>
      </c>
      <c r="S148" s="228">
        <v>233.49999999999997</v>
      </c>
      <c r="T148" s="228">
        <f t="shared" si="3"/>
        <v>321.85144696969689</v>
      </c>
      <c r="U148" s="218"/>
      <c r="V148" s="218"/>
      <c r="W148" s="218"/>
      <c r="X148" s="218"/>
      <c r="Y148" s="218"/>
      <c r="Z148" s="218"/>
      <c r="AA148" s="218"/>
      <c r="AB148" s="218"/>
      <c r="AC148" s="218"/>
      <c r="AD148" s="218"/>
      <c r="AE148" s="218"/>
      <c r="AF148" s="218"/>
    </row>
    <row r="149" spans="1:32" x14ac:dyDescent="0.2">
      <c r="A149" s="97">
        <v>3</v>
      </c>
      <c r="C149" s="92">
        <f>+E149-E148</f>
        <v>146.23099999999999</v>
      </c>
      <c r="D149" s="92">
        <f>+G149-G148</f>
        <v>127.14100000000002</v>
      </c>
      <c r="E149" s="97">
        <v>448.58800000000002</v>
      </c>
      <c r="G149" s="97">
        <v>402.05500000000001</v>
      </c>
      <c r="I149" s="105">
        <v>109.6</v>
      </c>
      <c r="J149" s="1">
        <v>3</v>
      </c>
      <c r="L149" s="104">
        <v>19641</v>
      </c>
      <c r="M149" s="105">
        <v>503</v>
      </c>
      <c r="N149" s="105">
        <f t="shared" si="4"/>
        <v>695.85491180048655</v>
      </c>
      <c r="O149" s="104">
        <v>17422</v>
      </c>
      <c r="P149" s="228">
        <v>895.90000000000009</v>
      </c>
      <c r="Q149" s="228">
        <f t="shared" si="2"/>
        <v>1239.3964522506083</v>
      </c>
      <c r="R149" s="229">
        <v>14722</v>
      </c>
      <c r="S149" s="228">
        <v>184.5</v>
      </c>
      <c r="T149" s="228">
        <f t="shared" si="3"/>
        <v>255.23902828467152</v>
      </c>
      <c r="U149" s="218"/>
      <c r="V149" s="218"/>
      <c r="W149" s="218"/>
      <c r="X149" s="218"/>
      <c r="Y149" s="218"/>
      <c r="Z149" s="218"/>
      <c r="AA149" s="218"/>
      <c r="AB149" s="218"/>
      <c r="AC149" s="218"/>
      <c r="AD149" s="218"/>
      <c r="AE149" s="218"/>
      <c r="AF149" s="218"/>
    </row>
    <row r="150" spans="1:32" x14ac:dyDescent="0.2">
      <c r="A150" s="97">
        <v>4</v>
      </c>
      <c r="C150" s="92">
        <f>+E150-E149</f>
        <v>137.96699999999993</v>
      </c>
      <c r="D150" s="92">
        <f>+G150-G149</f>
        <v>124.64100000000002</v>
      </c>
      <c r="E150" s="99">
        <v>586.55499999999995</v>
      </c>
      <c r="F150" s="91"/>
      <c r="G150" s="99">
        <v>526.69600000000003</v>
      </c>
      <c r="I150" s="105">
        <v>111</v>
      </c>
      <c r="J150" s="1">
        <v>4</v>
      </c>
      <c r="L150" s="104">
        <v>17442</v>
      </c>
      <c r="M150" s="105">
        <v>464.20000000000005</v>
      </c>
      <c r="N150" s="105">
        <f t="shared" si="4"/>
        <v>634.07907807807806</v>
      </c>
      <c r="O150" s="104">
        <v>8123</v>
      </c>
      <c r="P150" s="228">
        <v>938.5</v>
      </c>
      <c r="Q150" s="228">
        <f t="shared" si="2"/>
        <v>1281.9543618618616</v>
      </c>
      <c r="R150" s="229">
        <v>14689</v>
      </c>
      <c r="S150" s="228">
        <v>194.00000000000011</v>
      </c>
      <c r="T150" s="228">
        <f t="shared" si="3"/>
        <v>264.99642642642652</v>
      </c>
      <c r="U150" s="218"/>
      <c r="V150" s="218"/>
      <c r="W150" s="218"/>
      <c r="X150" s="218"/>
      <c r="Y150" s="218"/>
      <c r="Z150" s="218"/>
      <c r="AA150" s="218"/>
      <c r="AB150" s="218"/>
      <c r="AC150" s="218"/>
      <c r="AD150" s="218"/>
      <c r="AE150" s="218"/>
      <c r="AF150" s="218"/>
    </row>
    <row r="151" spans="1:32" x14ac:dyDescent="0.2">
      <c r="A151" s="97">
        <v>1</v>
      </c>
      <c r="B151" s="97">
        <v>2003</v>
      </c>
      <c r="C151" s="99">
        <f>+E151</f>
        <v>165.679</v>
      </c>
      <c r="D151" s="97">
        <f>+G151</f>
        <v>150.81100000000001</v>
      </c>
      <c r="E151" s="99">
        <v>165.679</v>
      </c>
      <c r="F151" s="91"/>
      <c r="G151" s="99">
        <v>150.81100000000001</v>
      </c>
      <c r="I151" s="105">
        <v>114.6</v>
      </c>
      <c r="J151" s="1">
        <v>1</v>
      </c>
      <c r="K151" s="1">
        <v>2003</v>
      </c>
      <c r="L151" s="104">
        <v>22781</v>
      </c>
      <c r="M151" s="105">
        <v>626.79999999999995</v>
      </c>
      <c r="N151" s="105">
        <f t="shared" si="4"/>
        <v>829.28848749272811</v>
      </c>
      <c r="O151" s="104">
        <v>6823</v>
      </c>
      <c r="P151" s="228">
        <v>1087.2</v>
      </c>
      <c r="Q151" s="228">
        <f t="shared" si="2"/>
        <v>1438.4212565445025</v>
      </c>
      <c r="R151" s="229">
        <v>10626</v>
      </c>
      <c r="S151" s="228">
        <v>183</v>
      </c>
      <c r="T151" s="228">
        <f t="shared" si="3"/>
        <v>242.11836823734725</v>
      </c>
      <c r="U151" s="218"/>
      <c r="V151" s="218"/>
      <c r="W151" s="218"/>
      <c r="X151" s="218"/>
      <c r="Y151" s="218"/>
      <c r="Z151" s="218"/>
      <c r="AA151" s="218"/>
      <c r="AB151" s="218"/>
      <c r="AC151" s="218"/>
      <c r="AD151" s="218"/>
      <c r="AE151" s="218"/>
      <c r="AF151" s="218"/>
    </row>
    <row r="152" spans="1:32" x14ac:dyDescent="0.2">
      <c r="A152" s="97">
        <v>2</v>
      </c>
      <c r="B152" s="97"/>
      <c r="C152" s="98">
        <f>+E152-E151</f>
        <v>135.02099999999999</v>
      </c>
      <c r="D152" s="92">
        <f>+G152-G151</f>
        <v>121.10099999999997</v>
      </c>
      <c r="E152" s="97">
        <v>300.7</v>
      </c>
      <c r="G152" s="97">
        <v>271.91199999999998</v>
      </c>
      <c r="I152" s="105">
        <v>112.3</v>
      </c>
      <c r="J152" s="1">
        <v>2</v>
      </c>
      <c r="L152" s="104">
        <v>15417</v>
      </c>
      <c r="M152" s="105">
        <v>406.10000000000014</v>
      </c>
      <c r="N152" s="105">
        <f t="shared" si="4"/>
        <v>548.29527010982497</v>
      </c>
      <c r="O152" s="104">
        <v>5618</v>
      </c>
      <c r="P152" s="228">
        <v>817.8</v>
      </c>
      <c r="Q152" s="228">
        <f t="shared" si="2"/>
        <v>1104.151371326803</v>
      </c>
      <c r="R152" s="229">
        <v>12719</v>
      </c>
      <c r="S152" s="228">
        <v>203.2</v>
      </c>
      <c r="T152" s="228">
        <f t="shared" si="3"/>
        <v>274.35015731671115</v>
      </c>
      <c r="U152" s="218"/>
      <c r="V152" s="218"/>
      <c r="W152" s="218"/>
      <c r="X152" s="218"/>
      <c r="Y152" s="218"/>
      <c r="Z152" s="218"/>
      <c r="AA152" s="218"/>
      <c r="AB152" s="218"/>
      <c r="AC152" s="218"/>
      <c r="AD152" s="218"/>
      <c r="AE152" s="218"/>
      <c r="AF152" s="218"/>
    </row>
    <row r="153" spans="1:32" x14ac:dyDescent="0.2">
      <c r="A153" s="97">
        <v>3</v>
      </c>
      <c r="B153" s="97"/>
      <c r="C153" s="98">
        <f>+E153-E152</f>
        <v>134.11099999999999</v>
      </c>
      <c r="D153" s="92">
        <f>+G153-G152</f>
        <v>119.49100000000004</v>
      </c>
      <c r="E153" s="97">
        <v>434.81099999999998</v>
      </c>
      <c r="G153" s="97">
        <v>391.40300000000002</v>
      </c>
      <c r="I153" s="105">
        <v>111.9</v>
      </c>
      <c r="J153" s="1">
        <v>3</v>
      </c>
      <c r="L153" s="104">
        <v>18848</v>
      </c>
      <c r="M153" s="105">
        <v>430.5</v>
      </c>
      <c r="N153" s="105">
        <f t="shared" si="4"/>
        <v>583.31659964253788</v>
      </c>
      <c r="O153" s="104">
        <v>16056</v>
      </c>
      <c r="P153" s="228">
        <v>860.19999999999982</v>
      </c>
      <c r="Q153" s="228">
        <f t="shared" si="2"/>
        <v>1165.5492195412567</v>
      </c>
      <c r="R153" s="229">
        <v>13690</v>
      </c>
      <c r="S153" s="228">
        <v>188.8</v>
      </c>
      <c r="T153" s="228">
        <f t="shared" si="3"/>
        <v>255.81921954125701</v>
      </c>
      <c r="U153" s="218"/>
      <c r="V153" s="218"/>
      <c r="W153" s="218"/>
      <c r="X153" s="218"/>
      <c r="Y153" s="218"/>
      <c r="Z153" s="218"/>
      <c r="AA153" s="218"/>
      <c r="AB153" s="218"/>
      <c r="AC153" s="218"/>
      <c r="AD153" s="218"/>
      <c r="AE153" s="218"/>
      <c r="AF153" s="218"/>
    </row>
    <row r="154" spans="1:32" x14ac:dyDescent="0.2">
      <c r="A154" s="97">
        <v>4</v>
      </c>
      <c r="B154" s="97"/>
      <c r="C154" s="98">
        <f>+E154-E153</f>
        <v>142.01299999999998</v>
      </c>
      <c r="D154" s="92">
        <f>+G154-G153</f>
        <v>125.95899999999995</v>
      </c>
      <c r="E154" s="97">
        <v>576.82399999999996</v>
      </c>
      <c r="G154" s="97">
        <v>517.36199999999997</v>
      </c>
      <c r="I154" s="105">
        <v>112.6</v>
      </c>
      <c r="J154" s="1">
        <v>4</v>
      </c>
      <c r="L154" s="104">
        <v>16096</v>
      </c>
      <c r="M154" s="105">
        <v>471.89999999999986</v>
      </c>
      <c r="N154" s="105">
        <f t="shared" si="4"/>
        <v>635.43751776198906</v>
      </c>
      <c r="O154" s="104">
        <v>7652</v>
      </c>
      <c r="P154" s="228">
        <v>762.30000000000018</v>
      </c>
      <c r="Q154" s="228">
        <f t="shared" si="2"/>
        <v>1026.4759902309058</v>
      </c>
      <c r="R154" s="229">
        <v>11607</v>
      </c>
      <c r="S154" s="228">
        <v>220.90000000000009</v>
      </c>
      <c r="T154" s="228">
        <f t="shared" si="3"/>
        <v>297.45316311426888</v>
      </c>
      <c r="U154" s="218"/>
      <c r="V154" s="218"/>
      <c r="W154" s="218"/>
      <c r="X154" s="218"/>
      <c r="Y154" s="218"/>
      <c r="Z154" s="218"/>
      <c r="AA154" s="218"/>
      <c r="AB154" s="218"/>
      <c r="AC154" s="218"/>
      <c r="AD154" s="218"/>
      <c r="AE154" s="218"/>
      <c r="AF154" s="218"/>
    </row>
    <row r="155" spans="1:32" x14ac:dyDescent="0.2">
      <c r="A155" s="97">
        <v>1</v>
      </c>
      <c r="B155" s="97">
        <v>2004</v>
      </c>
      <c r="C155" s="99">
        <f>+E155</f>
        <v>168.309</v>
      </c>
      <c r="D155" s="97">
        <f>+G155</f>
        <v>153.04300000000001</v>
      </c>
      <c r="E155" s="97">
        <v>168.309</v>
      </c>
      <c r="G155" s="97">
        <v>153.04300000000001</v>
      </c>
      <c r="I155" s="105">
        <v>112.6</v>
      </c>
      <c r="J155" s="1">
        <v>1</v>
      </c>
      <c r="K155" s="1">
        <v>2004</v>
      </c>
      <c r="L155" s="104">
        <v>17805</v>
      </c>
      <c r="M155" s="105">
        <v>517.69999999999993</v>
      </c>
      <c r="N155" s="105">
        <f t="shared" si="4"/>
        <v>697.10956335109506</v>
      </c>
      <c r="O155" s="104">
        <v>7033</v>
      </c>
      <c r="P155" s="228">
        <v>735.2</v>
      </c>
      <c r="Q155" s="228">
        <f t="shared" si="2"/>
        <v>989.98445233866187</v>
      </c>
      <c r="R155" s="229">
        <v>8913</v>
      </c>
      <c r="S155" s="228">
        <v>178.89999999999998</v>
      </c>
      <c r="T155" s="228">
        <f t="shared" si="3"/>
        <v>240.8980121373593</v>
      </c>
      <c r="U155" s="218"/>
      <c r="V155" s="218"/>
      <c r="W155" s="218"/>
      <c r="X155" s="218"/>
      <c r="Y155" s="218"/>
      <c r="Z155" s="218"/>
      <c r="AA155" s="218"/>
      <c r="AB155" s="218"/>
      <c r="AC155" s="218"/>
      <c r="AD155" s="218"/>
      <c r="AE155" s="218"/>
      <c r="AF155" s="218"/>
    </row>
    <row r="156" spans="1:32" x14ac:dyDescent="0.2">
      <c r="A156" s="97">
        <v>2</v>
      </c>
      <c r="B156" s="97"/>
      <c r="C156" s="98">
        <f>+E156-E155</f>
        <v>140.26700000000002</v>
      </c>
      <c r="D156" s="92">
        <f>+G156-G155</f>
        <v>125.56799999999998</v>
      </c>
      <c r="E156" s="97">
        <v>308.57600000000002</v>
      </c>
      <c r="G156" s="97">
        <v>278.61099999999999</v>
      </c>
      <c r="I156" s="105">
        <v>113.4</v>
      </c>
      <c r="J156" s="1">
        <v>2</v>
      </c>
      <c r="L156" s="104">
        <v>13855</v>
      </c>
      <c r="M156" s="105">
        <v>344.69999999999993</v>
      </c>
      <c r="N156" s="105">
        <f t="shared" si="4"/>
        <v>460.88173280423263</v>
      </c>
      <c r="O156" s="104">
        <v>6436</v>
      </c>
      <c r="P156" s="228">
        <v>708.3</v>
      </c>
      <c r="Q156" s="228">
        <f t="shared" si="2"/>
        <v>947.03374338624315</v>
      </c>
      <c r="R156" s="229">
        <v>10802</v>
      </c>
      <c r="S156" s="228">
        <v>228.40000000000003</v>
      </c>
      <c r="T156" s="228">
        <f t="shared" si="3"/>
        <v>305.38261610817159</v>
      </c>
      <c r="U156" s="218"/>
      <c r="V156" s="218"/>
      <c r="W156" s="218"/>
      <c r="X156" s="218"/>
      <c r="Y156" s="218"/>
      <c r="Z156" s="218"/>
      <c r="AA156" s="218"/>
      <c r="AB156" s="218"/>
      <c r="AC156" s="218"/>
      <c r="AD156" s="218"/>
      <c r="AE156" s="218"/>
      <c r="AF156" s="218"/>
    </row>
    <row r="157" spans="1:32" x14ac:dyDescent="0.2">
      <c r="A157" s="97">
        <v>3</v>
      </c>
      <c r="B157" s="97"/>
      <c r="C157" s="98">
        <f>+E157-E156</f>
        <v>137.76999999999998</v>
      </c>
      <c r="D157" s="92">
        <f>+G157-G156</f>
        <v>123.12100000000004</v>
      </c>
      <c r="E157" s="97">
        <v>446.346</v>
      </c>
      <c r="G157" s="97">
        <v>401.73200000000003</v>
      </c>
      <c r="I157" s="105">
        <v>113</v>
      </c>
      <c r="J157" s="1">
        <v>3</v>
      </c>
      <c r="L157" s="104">
        <v>17630</v>
      </c>
      <c r="M157" s="105">
        <v>454.09999999999991</v>
      </c>
      <c r="N157" s="105">
        <f t="shared" si="4"/>
        <v>609.30441445427698</v>
      </c>
      <c r="O157" s="104">
        <v>11805</v>
      </c>
      <c r="P157" s="228">
        <v>652.69999999999982</v>
      </c>
      <c r="Q157" s="228">
        <f t="shared" si="2"/>
        <v>875.78284808259559</v>
      </c>
      <c r="R157" s="229">
        <v>11365</v>
      </c>
      <c r="S157" s="228">
        <v>160.7999999999999</v>
      </c>
      <c r="T157" s="228">
        <f t="shared" si="3"/>
        <v>215.75897345132728</v>
      </c>
      <c r="U157" s="218"/>
      <c r="V157" s="218"/>
      <c r="W157" s="218"/>
      <c r="X157" s="218"/>
      <c r="Y157" s="218"/>
      <c r="Z157" s="218"/>
      <c r="AA157" s="218"/>
      <c r="AB157" s="218"/>
      <c r="AC157" s="218"/>
      <c r="AD157" s="218"/>
      <c r="AE157" s="218"/>
      <c r="AF157" s="218"/>
    </row>
    <row r="158" spans="1:32" x14ac:dyDescent="0.2">
      <c r="A158" s="97">
        <v>4</v>
      </c>
      <c r="B158" s="97"/>
      <c r="C158" s="98">
        <f>+E158-E157</f>
        <v>137.68499999999995</v>
      </c>
      <c r="D158" s="92">
        <f>+G158-G157</f>
        <v>124.50600000000003</v>
      </c>
      <c r="E158" s="97">
        <v>584.03099999999995</v>
      </c>
      <c r="G158" s="97">
        <v>526.23800000000006</v>
      </c>
      <c r="I158" s="105">
        <v>114</v>
      </c>
      <c r="J158" s="1">
        <v>4</v>
      </c>
      <c r="L158" s="104">
        <v>16674</v>
      </c>
      <c r="M158" s="105">
        <v>428.20000000000027</v>
      </c>
      <c r="N158" s="105">
        <f t="shared" si="4"/>
        <v>569.51226023391837</v>
      </c>
      <c r="O158" s="104">
        <v>10088</v>
      </c>
      <c r="P158" s="228">
        <v>709.40000000000055</v>
      </c>
      <c r="Q158" s="228">
        <f t="shared" si="2"/>
        <v>943.51237134502981</v>
      </c>
      <c r="R158" s="229">
        <v>9276</v>
      </c>
      <c r="S158" s="228">
        <v>162.90000000000009</v>
      </c>
      <c r="T158" s="228">
        <f t="shared" si="3"/>
        <v>216.65938157894746</v>
      </c>
      <c r="U158" s="218"/>
      <c r="V158" s="218"/>
      <c r="W158" s="218"/>
      <c r="X158" s="218"/>
      <c r="Y158" s="218"/>
      <c r="Z158" s="218"/>
      <c r="AA158" s="218"/>
      <c r="AB158" s="218"/>
      <c r="AC158" s="218"/>
      <c r="AD158" s="218"/>
      <c r="AE158" s="218"/>
      <c r="AF158" s="218"/>
    </row>
    <row r="159" spans="1:32" x14ac:dyDescent="0.2">
      <c r="A159" s="97">
        <v>1</v>
      </c>
      <c r="B159" s="97">
        <v>2005</v>
      </c>
      <c r="C159" s="99">
        <f>+E159</f>
        <v>147.31100000000001</v>
      </c>
      <c r="D159" s="97">
        <f>+G159</f>
        <v>133.756</v>
      </c>
      <c r="E159" s="97">
        <v>147.31100000000001</v>
      </c>
      <c r="G159" s="97">
        <v>133.756</v>
      </c>
      <c r="I159" s="105">
        <v>113.7</v>
      </c>
      <c r="J159" s="1">
        <v>1</v>
      </c>
      <c r="K159" s="1">
        <v>2005</v>
      </c>
      <c r="L159" s="104">
        <v>15151</v>
      </c>
      <c r="M159" s="105">
        <v>418</v>
      </c>
      <c r="N159" s="105">
        <f t="shared" si="4"/>
        <v>557.4129873937261</v>
      </c>
      <c r="O159" s="104">
        <v>7287</v>
      </c>
      <c r="P159" s="228">
        <v>715.2</v>
      </c>
      <c r="Q159" s="228">
        <f t="shared" si="2"/>
        <v>953.73628847845191</v>
      </c>
      <c r="R159" s="229">
        <v>7498</v>
      </c>
      <c r="S159" s="228">
        <v>159.69999999999999</v>
      </c>
      <c r="T159" s="228">
        <f t="shared" si="3"/>
        <v>212.96376575784222</v>
      </c>
      <c r="U159" s="218"/>
      <c r="V159" s="218"/>
      <c r="W159" s="218"/>
      <c r="X159" s="218"/>
      <c r="Y159" s="218"/>
      <c r="Z159" s="218"/>
      <c r="AA159" s="218"/>
      <c r="AB159" s="218"/>
      <c r="AC159" s="218"/>
      <c r="AD159" s="218"/>
      <c r="AE159" s="218"/>
      <c r="AF159" s="218"/>
    </row>
    <row r="160" spans="1:32" x14ac:dyDescent="0.2">
      <c r="A160" s="97">
        <v>2</v>
      </c>
      <c r="B160" s="97"/>
      <c r="C160" s="98">
        <f>+E160-E159</f>
        <v>143.51699999999997</v>
      </c>
      <c r="D160" s="92">
        <f>+G160-G159</f>
        <v>128.79</v>
      </c>
      <c r="E160" s="97">
        <v>290.82799999999997</v>
      </c>
      <c r="G160" s="97">
        <v>262.54599999999999</v>
      </c>
      <c r="I160" s="105">
        <v>115.2</v>
      </c>
      <c r="J160" s="1">
        <v>2</v>
      </c>
      <c r="L160" s="104">
        <v>14855</v>
      </c>
      <c r="M160" s="105">
        <v>323.20000000000005</v>
      </c>
      <c r="N160" s="105">
        <f t="shared" si="4"/>
        <v>425.38300925925921</v>
      </c>
      <c r="O160" s="104">
        <v>6172</v>
      </c>
      <c r="P160" s="228">
        <v>745.5</v>
      </c>
      <c r="Q160" s="228">
        <f t="shared" si="2"/>
        <v>981.19750434027753</v>
      </c>
      <c r="R160" s="229">
        <v>11610</v>
      </c>
      <c r="S160" s="228">
        <v>152.50000000000006</v>
      </c>
      <c r="T160" s="228">
        <f t="shared" si="3"/>
        <v>200.71444589120375</v>
      </c>
      <c r="U160" s="218"/>
      <c r="V160" s="218"/>
      <c r="W160" s="218"/>
      <c r="X160" s="218"/>
      <c r="Y160" s="218"/>
      <c r="Z160" s="218"/>
      <c r="AA160" s="218"/>
      <c r="AB160" s="218"/>
      <c r="AC160" s="218"/>
      <c r="AD160" s="218"/>
      <c r="AE160" s="218"/>
      <c r="AF160" s="218"/>
    </row>
    <row r="161" spans="1:32" x14ac:dyDescent="0.2">
      <c r="A161" s="97">
        <v>3</v>
      </c>
      <c r="B161" s="97"/>
      <c r="C161" s="98">
        <f>+E161-E160</f>
        <v>134.78300000000002</v>
      </c>
      <c r="D161" s="92">
        <f>+G161-G160</f>
        <v>120.57100000000003</v>
      </c>
      <c r="E161" s="97">
        <v>425.61099999999999</v>
      </c>
      <c r="G161" s="97">
        <v>383.11700000000002</v>
      </c>
      <c r="I161" s="105">
        <v>115.1</v>
      </c>
      <c r="J161" s="1">
        <v>3</v>
      </c>
      <c r="L161" s="104">
        <v>13014</v>
      </c>
      <c r="M161" s="105">
        <v>448.29999999999995</v>
      </c>
      <c r="N161" s="105">
        <f t="shared" si="4"/>
        <v>590.54729076165631</v>
      </c>
      <c r="O161" s="104">
        <v>6734</v>
      </c>
      <c r="P161" s="228">
        <v>832.10000000000014</v>
      </c>
      <c r="Q161" s="228">
        <f t="shared" si="2"/>
        <v>1096.1284868230525</v>
      </c>
      <c r="R161" s="229">
        <v>8742</v>
      </c>
      <c r="S161" s="228">
        <v>152.99999999999994</v>
      </c>
      <c r="T161" s="228">
        <f t="shared" si="3"/>
        <v>201.54748045178096</v>
      </c>
      <c r="U161" s="218"/>
      <c r="V161" s="218"/>
      <c r="W161" s="218"/>
      <c r="X161" s="218"/>
      <c r="Y161" s="218"/>
      <c r="Z161" s="218"/>
      <c r="AA161" s="218"/>
      <c r="AB161" s="218"/>
      <c r="AC161" s="218"/>
      <c r="AD161" s="218"/>
      <c r="AE161" s="218"/>
      <c r="AF161" s="218"/>
    </row>
    <row r="162" spans="1:32" x14ac:dyDescent="0.2">
      <c r="A162" s="97">
        <v>4</v>
      </c>
      <c r="B162" s="97"/>
      <c r="C162" s="98">
        <f>+E162-E161</f>
        <v>137.37</v>
      </c>
      <c r="D162" s="92">
        <f>+G162-G161</f>
        <v>124.38200000000001</v>
      </c>
      <c r="E162" s="97">
        <v>562.98099999999999</v>
      </c>
      <c r="G162" s="97">
        <v>507.49900000000002</v>
      </c>
      <c r="I162" s="105">
        <v>116</v>
      </c>
      <c r="J162" s="1">
        <v>4</v>
      </c>
      <c r="L162" s="104">
        <v>22745</v>
      </c>
      <c r="M162" s="105">
        <v>478.79999999999995</v>
      </c>
      <c r="N162" s="105">
        <f t="shared" si="4"/>
        <v>625.83149999999989</v>
      </c>
      <c r="O162" s="104">
        <v>8144</v>
      </c>
      <c r="P162" s="228">
        <v>795.79999999999973</v>
      </c>
      <c r="Q162" s="228">
        <f t="shared" si="2"/>
        <v>1040.1769166666661</v>
      </c>
      <c r="R162" s="229">
        <v>11407</v>
      </c>
      <c r="S162" s="228">
        <v>142.00000000000006</v>
      </c>
      <c r="T162" s="228">
        <f t="shared" si="3"/>
        <v>185.60583333333338</v>
      </c>
      <c r="U162" s="218"/>
      <c r="V162" s="218"/>
      <c r="W162" s="218"/>
      <c r="X162" s="218"/>
      <c r="Y162" s="218"/>
      <c r="Z162" s="218"/>
      <c r="AA162" s="218"/>
      <c r="AB162" s="218"/>
      <c r="AC162" s="218"/>
      <c r="AD162" s="218"/>
      <c r="AE162" s="218"/>
      <c r="AF162" s="218"/>
    </row>
    <row r="163" spans="1:32" x14ac:dyDescent="0.2">
      <c r="A163" s="97">
        <v>1</v>
      </c>
      <c r="B163" s="97">
        <v>2006</v>
      </c>
      <c r="C163" s="99">
        <f>+E163</f>
        <v>155.21299999999999</v>
      </c>
      <c r="D163" s="97">
        <f>+G163</f>
        <v>139.72800000000001</v>
      </c>
      <c r="E163" s="97">
        <v>155.21299999999999</v>
      </c>
      <c r="G163" s="97">
        <v>139.72800000000001</v>
      </c>
      <c r="I163" s="105">
        <v>116.6</v>
      </c>
      <c r="J163" s="1">
        <v>1</v>
      </c>
      <c r="K163" s="1">
        <v>2006</v>
      </c>
      <c r="L163" s="104">
        <v>18196</v>
      </c>
      <c r="M163" s="105">
        <v>585</v>
      </c>
      <c r="N163" s="105">
        <f t="shared" si="4"/>
        <v>760.70904802744417</v>
      </c>
      <c r="O163" s="104">
        <v>6106</v>
      </c>
      <c r="P163" s="228">
        <v>947.2</v>
      </c>
      <c r="Q163" s="228">
        <f t="shared" si="2"/>
        <v>1231.6984791309319</v>
      </c>
      <c r="R163" s="229">
        <v>7106</v>
      </c>
      <c r="S163" s="228">
        <v>150.6</v>
      </c>
      <c r="T163" s="228">
        <f t="shared" si="3"/>
        <v>195.83381646655229</v>
      </c>
      <c r="U163" s="218"/>
      <c r="V163" s="218"/>
      <c r="W163" s="218"/>
      <c r="X163" s="218"/>
      <c r="Y163" s="218"/>
      <c r="Z163" s="218"/>
      <c r="AA163" s="218"/>
      <c r="AB163" s="218"/>
      <c r="AC163" s="218"/>
      <c r="AD163" s="218"/>
      <c r="AE163" s="218"/>
      <c r="AF163" s="218"/>
    </row>
    <row r="164" spans="1:32" x14ac:dyDescent="0.2">
      <c r="A164" s="97">
        <v>2</v>
      </c>
      <c r="B164" s="97"/>
      <c r="C164" s="98">
        <f>+E164-E163</f>
        <v>147.44399999999999</v>
      </c>
      <c r="D164" s="92">
        <f>+G164-G163</f>
        <v>129.572</v>
      </c>
      <c r="E164" s="97">
        <v>302.65699999999998</v>
      </c>
      <c r="G164" s="97">
        <v>269.3</v>
      </c>
      <c r="I164" s="105">
        <v>117.9</v>
      </c>
      <c r="J164" s="1">
        <v>2</v>
      </c>
      <c r="L164" s="104">
        <v>13943</v>
      </c>
      <c r="M164" s="105">
        <v>433.79999999999995</v>
      </c>
      <c r="N164" s="105">
        <f t="shared" si="4"/>
        <v>557.87513994910921</v>
      </c>
      <c r="O164" s="104">
        <v>5246</v>
      </c>
      <c r="P164" s="228">
        <v>811.2</v>
      </c>
      <c r="Q164" s="228">
        <f t="shared" si="2"/>
        <v>1043.2187955894824</v>
      </c>
      <c r="R164" s="229">
        <v>9193</v>
      </c>
      <c r="S164" s="228">
        <v>176.1</v>
      </c>
      <c r="T164" s="228">
        <f t="shared" si="3"/>
        <v>226.46798558100079</v>
      </c>
      <c r="U164" s="218"/>
      <c r="V164" s="218"/>
      <c r="W164" s="218"/>
      <c r="X164" s="218"/>
      <c r="Y164" s="218"/>
      <c r="Z164" s="218"/>
      <c r="AA164" s="218"/>
      <c r="AB164" s="218"/>
      <c r="AC164" s="218"/>
      <c r="AD164" s="218"/>
      <c r="AE164" s="218"/>
      <c r="AF164" s="218"/>
    </row>
    <row r="165" spans="1:32" x14ac:dyDescent="0.2">
      <c r="A165" s="97">
        <v>3</v>
      </c>
      <c r="B165" s="97"/>
      <c r="C165" s="98">
        <f>+E165-E164</f>
        <v>143.45100000000002</v>
      </c>
      <c r="D165" s="92">
        <f>+G165-G164</f>
        <v>126.00599999999997</v>
      </c>
      <c r="E165" s="97">
        <v>446.108</v>
      </c>
      <c r="G165" s="97">
        <v>395.30599999999998</v>
      </c>
      <c r="I165" s="100">
        <v>117.3</v>
      </c>
      <c r="J165" s="1">
        <v>3</v>
      </c>
      <c r="L165" s="104">
        <v>13690</v>
      </c>
      <c r="M165" s="105">
        <v>496.59999999999991</v>
      </c>
      <c r="N165" s="105">
        <f t="shared" si="4"/>
        <v>641.90383347541888</v>
      </c>
      <c r="O165" s="104">
        <v>9450</v>
      </c>
      <c r="P165" s="228">
        <v>855.90000000000009</v>
      </c>
      <c r="Q165" s="228">
        <f t="shared" si="2"/>
        <v>1106.3340537084398</v>
      </c>
      <c r="R165" s="229">
        <v>10840</v>
      </c>
      <c r="S165" s="228">
        <v>167.10000000000002</v>
      </c>
      <c r="T165" s="228">
        <f t="shared" si="3"/>
        <v>215.9930136402387</v>
      </c>
      <c r="U165" s="218"/>
      <c r="V165" s="218"/>
      <c r="W165" s="218"/>
      <c r="X165" s="218"/>
      <c r="Y165" s="218"/>
      <c r="Z165" s="218"/>
      <c r="AA165" s="218"/>
      <c r="AB165" s="218"/>
      <c r="AC165" s="218"/>
      <c r="AD165" s="218"/>
      <c r="AE165" s="218"/>
      <c r="AF165" s="218"/>
    </row>
    <row r="166" spans="1:32" x14ac:dyDescent="0.2">
      <c r="A166" s="97">
        <v>4</v>
      </c>
      <c r="B166" s="97"/>
      <c r="C166" s="98">
        <f>+E166-E165</f>
        <v>148.56090999999998</v>
      </c>
      <c r="D166" s="92">
        <f>+G166-G165</f>
        <v>131.19532799999996</v>
      </c>
      <c r="E166" s="97">
        <v>594.66890999999998</v>
      </c>
      <c r="G166" s="97">
        <v>526.50132799999994</v>
      </c>
      <c r="I166" s="100">
        <v>119</v>
      </c>
      <c r="J166" s="1">
        <v>4</v>
      </c>
      <c r="L166" s="104">
        <v>16682</v>
      </c>
      <c r="M166" s="105">
        <v>525.60000000000014</v>
      </c>
      <c r="N166" s="105">
        <f t="shared" si="4"/>
        <v>669.68359663865556</v>
      </c>
      <c r="O166" s="104">
        <v>10233</v>
      </c>
      <c r="P166" s="228">
        <v>826</v>
      </c>
      <c r="Q166" s="228">
        <f t="shared" si="2"/>
        <v>1052.432745098039</v>
      </c>
      <c r="R166" s="229">
        <v>9520</v>
      </c>
      <c r="S166" s="228">
        <v>144.09999999999997</v>
      </c>
      <c r="T166" s="228">
        <f t="shared" si="3"/>
        <v>183.6023711484593</v>
      </c>
      <c r="U166" s="218"/>
      <c r="V166" s="218"/>
      <c r="W166" s="218"/>
      <c r="X166" s="218"/>
      <c r="Y166" s="218"/>
      <c r="Z166" s="218"/>
      <c r="AA166" s="218"/>
      <c r="AB166" s="218"/>
      <c r="AC166" s="218"/>
      <c r="AD166" s="218"/>
      <c r="AE166" s="218"/>
      <c r="AF166" s="218"/>
    </row>
    <row r="167" spans="1:32" x14ac:dyDescent="0.2">
      <c r="A167" s="97">
        <v>1</v>
      </c>
      <c r="B167" s="97">
        <v>2007</v>
      </c>
      <c r="C167" s="99">
        <f>+E167</f>
        <v>158.09976</v>
      </c>
      <c r="D167" s="97">
        <f>+G167</f>
        <v>141.08400800000001</v>
      </c>
      <c r="E167" s="97">
        <v>158.09976</v>
      </c>
      <c r="G167" s="97">
        <v>141.08400800000001</v>
      </c>
      <c r="I167" s="100">
        <v>117.5</v>
      </c>
      <c r="J167" s="1">
        <v>1</v>
      </c>
      <c r="K167" s="1">
        <v>2007</v>
      </c>
      <c r="L167" s="104">
        <v>18623</v>
      </c>
      <c r="M167" s="105">
        <v>649.6</v>
      </c>
      <c r="N167" s="105">
        <f t="shared" si="4"/>
        <v>838.24199716312035</v>
      </c>
      <c r="O167" s="104">
        <v>7737</v>
      </c>
      <c r="P167" s="228">
        <v>1092.1999999999998</v>
      </c>
      <c r="Q167" s="228">
        <f t="shared" si="2"/>
        <v>1409.3717815602834</v>
      </c>
      <c r="R167" s="229">
        <v>8112</v>
      </c>
      <c r="S167" s="228">
        <v>167.4</v>
      </c>
      <c r="T167" s="228">
        <f t="shared" si="3"/>
        <v>216.01248510638294</v>
      </c>
      <c r="U167" s="218"/>
      <c r="V167" s="218"/>
      <c r="W167" s="218"/>
      <c r="X167" s="218"/>
      <c r="Y167" s="218"/>
      <c r="Z167" s="218"/>
      <c r="AA167" s="218"/>
      <c r="AB167" s="218"/>
      <c r="AC167" s="218"/>
      <c r="AD167" s="218"/>
      <c r="AE167" s="218"/>
      <c r="AF167" s="218"/>
    </row>
    <row r="168" spans="1:32" x14ac:dyDescent="0.2">
      <c r="A168" s="97">
        <v>2</v>
      </c>
      <c r="B168" s="97"/>
      <c r="C168" s="98">
        <f>+E168-E167</f>
        <v>161.61276000000004</v>
      </c>
      <c r="D168" s="92">
        <f>+G168-G167</f>
        <v>142.897008</v>
      </c>
      <c r="E168" s="97">
        <v>319.71252000000004</v>
      </c>
      <c r="G168" s="97">
        <v>283.98101600000001</v>
      </c>
      <c r="I168" s="100">
        <v>118.3</v>
      </c>
      <c r="J168" s="1">
        <v>2</v>
      </c>
      <c r="L168" s="104">
        <v>15831</v>
      </c>
      <c r="M168" s="105">
        <v>514.19999999999993</v>
      </c>
      <c r="N168" s="105">
        <f t="shared" si="4"/>
        <v>659.03517328825012</v>
      </c>
      <c r="O168" s="104">
        <v>5067</v>
      </c>
      <c r="P168" s="228">
        <v>1041.6999999999998</v>
      </c>
      <c r="Q168" s="228">
        <f t="shared" ref="Q168:Q189" si="5">P168/I168*$I$69</f>
        <v>1335.1165694561846</v>
      </c>
      <c r="R168" s="229">
        <v>10608</v>
      </c>
      <c r="S168" s="228">
        <v>160.99999999999997</v>
      </c>
      <c r="T168" s="228">
        <f t="shared" ref="T168:T189" si="6">S168/I168*$I$69</f>
        <v>206.34901380670607</v>
      </c>
      <c r="U168" s="218"/>
      <c r="V168" s="218"/>
      <c r="W168" s="218"/>
      <c r="X168" s="218"/>
      <c r="Y168" s="218"/>
      <c r="Z168" s="218"/>
      <c r="AA168" s="218"/>
      <c r="AB168" s="218"/>
      <c r="AC168" s="218"/>
      <c r="AD168" s="218"/>
      <c r="AE168" s="218"/>
      <c r="AF168" s="218"/>
    </row>
    <row r="169" spans="1:32" x14ac:dyDescent="0.2">
      <c r="A169" s="97">
        <v>3</v>
      </c>
      <c r="B169" s="97"/>
      <c r="C169" s="98">
        <f>+E169-E168</f>
        <v>135.82058024999998</v>
      </c>
      <c r="D169" s="92">
        <f>+G169-G168</f>
        <v>119.75308425000003</v>
      </c>
      <c r="E169" s="97">
        <v>455.53310025000002</v>
      </c>
      <c r="G169" s="97">
        <v>403.73410025000004</v>
      </c>
      <c r="I169" s="100">
        <v>117.8</v>
      </c>
      <c r="J169" s="1">
        <v>3</v>
      </c>
      <c r="L169" s="104">
        <v>18428</v>
      </c>
      <c r="M169" s="105">
        <v>654.20000000000027</v>
      </c>
      <c r="N169" s="105">
        <f t="shared" si="4"/>
        <v>842.02796547821197</v>
      </c>
      <c r="O169" s="104">
        <v>6417</v>
      </c>
      <c r="P169" s="228">
        <v>679.60000000000036</v>
      </c>
      <c r="Q169" s="228">
        <f t="shared" si="5"/>
        <v>874.72058290888549</v>
      </c>
      <c r="R169" s="229">
        <v>10319</v>
      </c>
      <c r="S169" s="228">
        <v>152.89999999999998</v>
      </c>
      <c r="T169" s="228">
        <f t="shared" si="6"/>
        <v>196.79926004527439</v>
      </c>
      <c r="U169" s="218"/>
      <c r="V169" s="218"/>
      <c r="W169" s="218"/>
      <c r="X169" s="218"/>
      <c r="Y169" s="218"/>
      <c r="Z169" s="218"/>
      <c r="AA169" s="218"/>
      <c r="AB169" s="218"/>
      <c r="AC169" s="218"/>
      <c r="AD169" s="218"/>
      <c r="AE169" s="218"/>
      <c r="AF169" s="218"/>
    </row>
    <row r="170" spans="1:32" x14ac:dyDescent="0.2">
      <c r="A170" s="101">
        <v>4</v>
      </c>
      <c r="B170" s="97"/>
      <c r="C170" s="98">
        <f>+E170-E169</f>
        <v>149.79139924999998</v>
      </c>
      <c r="D170" s="92">
        <f>+G170-G169</f>
        <v>133.49839924999998</v>
      </c>
      <c r="E170" s="97">
        <v>605.3244995</v>
      </c>
      <c r="G170" s="97">
        <v>537.23249950000002</v>
      </c>
      <c r="I170" s="100">
        <v>120.8</v>
      </c>
      <c r="J170" s="1">
        <v>4</v>
      </c>
      <c r="L170" s="104">
        <v>15870</v>
      </c>
      <c r="M170" s="105">
        <v>567.19999999999959</v>
      </c>
      <c r="N170" s="105">
        <f t="shared" si="4"/>
        <v>711.91895143487807</v>
      </c>
      <c r="O170" s="104">
        <v>5114</v>
      </c>
      <c r="P170" s="228">
        <v>911.69999999999982</v>
      </c>
      <c r="Q170" s="228">
        <f t="shared" si="5"/>
        <v>1144.316833609271</v>
      </c>
      <c r="R170" s="229">
        <v>8645</v>
      </c>
      <c r="S170" s="228">
        <v>142.80000000000007</v>
      </c>
      <c r="T170" s="228">
        <f t="shared" si="6"/>
        <v>179.23488410596033</v>
      </c>
      <c r="U170" s="218"/>
      <c r="V170" s="218"/>
      <c r="W170" s="218"/>
      <c r="X170" s="218"/>
      <c r="Y170" s="218"/>
      <c r="Z170" s="218"/>
      <c r="AA170" s="218"/>
      <c r="AB170" s="218"/>
      <c r="AC170" s="218"/>
      <c r="AD170" s="218"/>
      <c r="AE170" s="218"/>
      <c r="AF170" s="218"/>
    </row>
    <row r="171" spans="1:32" x14ac:dyDescent="0.2">
      <c r="A171" s="97">
        <v>1</v>
      </c>
      <c r="B171" s="97">
        <v>2008</v>
      </c>
      <c r="C171" s="99">
        <f>+E171</f>
        <v>164.64169099999998</v>
      </c>
      <c r="D171" s="97">
        <f>+G171</f>
        <v>148.61369099999999</v>
      </c>
      <c r="E171" s="97">
        <v>164.64169099999998</v>
      </c>
      <c r="G171" s="97">
        <v>148.61369099999999</v>
      </c>
      <c r="I171" s="100">
        <v>121.9</v>
      </c>
      <c r="J171" s="1">
        <v>1</v>
      </c>
      <c r="K171" s="1">
        <v>2008</v>
      </c>
      <c r="L171" s="104">
        <v>17004</v>
      </c>
      <c r="M171" s="105">
        <v>591.9</v>
      </c>
      <c r="N171" s="105">
        <f t="shared" si="4"/>
        <v>736.21710008203422</v>
      </c>
      <c r="O171" s="104">
        <v>6274</v>
      </c>
      <c r="P171" s="228">
        <v>963.6</v>
      </c>
      <c r="Q171" s="228">
        <f t="shared" si="5"/>
        <v>1198.5450205086136</v>
      </c>
      <c r="R171" s="229">
        <v>7939</v>
      </c>
      <c r="S171" s="228">
        <v>160.1</v>
      </c>
      <c r="T171" s="228">
        <f t="shared" si="6"/>
        <v>199.13559338255396</v>
      </c>
      <c r="U171" s="218"/>
      <c r="V171" s="218"/>
      <c r="W171" s="218"/>
      <c r="X171" s="218"/>
      <c r="Y171" s="218"/>
      <c r="Z171" s="218"/>
      <c r="AA171" s="218"/>
      <c r="AB171" s="218"/>
      <c r="AC171" s="218"/>
      <c r="AD171" s="218"/>
      <c r="AE171" s="218"/>
      <c r="AF171" s="218"/>
    </row>
    <row r="172" spans="1:32" x14ac:dyDescent="0.2">
      <c r="A172" s="97">
        <v>2</v>
      </c>
      <c r="B172" s="97"/>
      <c r="C172" s="98">
        <f>+E172-E171</f>
        <v>197.28657850000002</v>
      </c>
      <c r="D172" s="92">
        <f>+G172-G171</f>
        <v>175.71357850000001</v>
      </c>
      <c r="E172" s="97">
        <v>361.9282695</v>
      </c>
      <c r="G172" s="97">
        <v>324.3272695</v>
      </c>
      <c r="I172" s="100">
        <v>122</v>
      </c>
      <c r="J172" s="1">
        <v>2</v>
      </c>
      <c r="L172" s="104">
        <v>14987</v>
      </c>
      <c r="M172" s="105">
        <v>548.4</v>
      </c>
      <c r="N172" s="105">
        <f t="shared" ref="N172:N181" si="7">M172/I172*$I$69</f>
        <v>681.55181967213105</v>
      </c>
      <c r="O172" s="104">
        <v>5831</v>
      </c>
      <c r="P172" s="228">
        <v>1153.8000000000002</v>
      </c>
      <c r="Q172" s="228">
        <f t="shared" si="5"/>
        <v>1433.9432704918033</v>
      </c>
      <c r="R172" s="229">
        <v>10207</v>
      </c>
      <c r="S172" s="228">
        <v>188.4</v>
      </c>
      <c r="T172" s="228">
        <f t="shared" si="6"/>
        <v>234.14362295081966</v>
      </c>
      <c r="U172" s="218"/>
      <c r="V172" s="218"/>
      <c r="W172" s="218"/>
      <c r="X172" s="218"/>
      <c r="Y172" s="218"/>
      <c r="Z172" s="218"/>
      <c r="AA172" s="218"/>
      <c r="AB172" s="218"/>
      <c r="AC172" s="218"/>
      <c r="AD172" s="218"/>
      <c r="AE172" s="218"/>
      <c r="AF172" s="218"/>
    </row>
    <row r="173" spans="1:32" x14ac:dyDescent="0.2">
      <c r="A173" s="97">
        <v>3</v>
      </c>
      <c r="B173" s="97"/>
      <c r="C173" s="98">
        <f>+E173-E172</f>
        <v>159.71767174999997</v>
      </c>
      <c r="D173" s="92">
        <f>+G173-G172</f>
        <v>141.40667174999999</v>
      </c>
      <c r="E173" s="97">
        <v>521.64594124999996</v>
      </c>
      <c r="G173" s="97">
        <v>465.73394124999999</v>
      </c>
      <c r="I173" s="100">
        <v>123.1</v>
      </c>
      <c r="J173" s="1">
        <v>3</v>
      </c>
      <c r="L173" s="104">
        <v>19290</v>
      </c>
      <c r="M173" s="105">
        <v>722.70000000000027</v>
      </c>
      <c r="N173" s="105">
        <f t="shared" si="7"/>
        <v>890.14604792851367</v>
      </c>
      <c r="O173" s="104">
        <v>12252</v>
      </c>
      <c r="P173" s="228">
        <v>1486.4999999999995</v>
      </c>
      <c r="Q173" s="228">
        <f t="shared" si="5"/>
        <v>1830.9147644191705</v>
      </c>
      <c r="R173" s="229">
        <v>11007</v>
      </c>
      <c r="S173" s="228">
        <v>186.29999999999995</v>
      </c>
      <c r="T173" s="228">
        <f t="shared" si="6"/>
        <v>229.46479691307871</v>
      </c>
      <c r="U173" s="218"/>
      <c r="V173" s="218"/>
      <c r="W173" s="218"/>
      <c r="X173" s="218"/>
      <c r="Y173" s="218"/>
      <c r="Z173" s="218"/>
      <c r="AA173" s="218"/>
      <c r="AB173" s="218"/>
      <c r="AC173" s="218"/>
      <c r="AD173" s="218"/>
      <c r="AE173" s="218"/>
      <c r="AF173" s="218"/>
    </row>
    <row r="174" spans="1:32" x14ac:dyDescent="0.2">
      <c r="A174" s="101">
        <v>4</v>
      </c>
      <c r="B174" s="97"/>
      <c r="C174" s="98">
        <f>+E174-E173</f>
        <v>170.05706974999998</v>
      </c>
      <c r="D174" s="92">
        <f>+G174-G173</f>
        <v>152.54014889999991</v>
      </c>
      <c r="E174" s="97">
        <v>691.70301099999995</v>
      </c>
      <c r="G174" s="97">
        <v>618.27409014999989</v>
      </c>
      <c r="I174" s="105">
        <v>124.7</v>
      </c>
      <c r="J174" s="1">
        <v>4</v>
      </c>
      <c r="L174" s="104">
        <v>16976</v>
      </c>
      <c r="M174" s="105">
        <v>703.10000000000014</v>
      </c>
      <c r="N174" s="105">
        <f t="shared" si="7"/>
        <v>854.89329457364352</v>
      </c>
      <c r="O174" s="104">
        <v>7247</v>
      </c>
      <c r="P174" s="228">
        <v>1160</v>
      </c>
      <c r="Q174" s="228">
        <f t="shared" si="5"/>
        <v>1410.4341085271317</v>
      </c>
      <c r="R174" s="229">
        <v>10145</v>
      </c>
      <c r="S174" s="228">
        <v>269.60000000000014</v>
      </c>
      <c r="T174" s="228">
        <f t="shared" si="6"/>
        <v>327.80434108527146</v>
      </c>
      <c r="U174" s="218"/>
      <c r="V174" s="218"/>
      <c r="W174" s="218"/>
      <c r="X174" s="218"/>
      <c r="Y174" s="218"/>
      <c r="Z174" s="218"/>
      <c r="AA174" s="218"/>
      <c r="AB174" s="218"/>
      <c r="AC174" s="218"/>
      <c r="AD174" s="218"/>
      <c r="AE174" s="218"/>
      <c r="AF174" s="218"/>
    </row>
    <row r="175" spans="1:32" x14ac:dyDescent="0.2">
      <c r="A175" s="97">
        <v>1</v>
      </c>
      <c r="B175" s="97">
        <v>2009</v>
      </c>
      <c r="C175" s="99">
        <f>+E175</f>
        <v>191.37959499999999</v>
      </c>
      <c r="D175" s="97">
        <f>+G175</f>
        <v>172.55938714999999</v>
      </c>
      <c r="E175" s="97">
        <v>191.37959499999999</v>
      </c>
      <c r="G175" s="97">
        <v>172.55938714999999</v>
      </c>
      <c r="I175" s="105">
        <v>125</v>
      </c>
      <c r="J175" s="1">
        <v>1</v>
      </c>
      <c r="K175" s="1">
        <v>2009</v>
      </c>
      <c r="L175" s="104">
        <v>18865</v>
      </c>
      <c r="M175" s="105">
        <v>739.59999999999991</v>
      </c>
      <c r="N175" s="105">
        <f t="shared" si="7"/>
        <v>897.11507733333315</v>
      </c>
      <c r="O175" s="104">
        <v>6194</v>
      </c>
      <c r="P175" s="228">
        <v>1049.9000000000001</v>
      </c>
      <c r="Q175" s="228">
        <f t="shared" si="5"/>
        <v>1273.5007026666665</v>
      </c>
      <c r="R175" s="229">
        <v>8619</v>
      </c>
      <c r="S175" s="228">
        <v>213.2</v>
      </c>
      <c r="T175" s="228">
        <f t="shared" si="6"/>
        <v>258.60591466666665</v>
      </c>
      <c r="U175" s="218"/>
      <c r="V175" s="218"/>
      <c r="W175" s="218"/>
      <c r="X175" s="218"/>
      <c r="Y175" s="218"/>
      <c r="Z175" s="218"/>
      <c r="AA175" s="218"/>
      <c r="AB175" s="218"/>
      <c r="AC175" s="218"/>
      <c r="AD175" s="218"/>
      <c r="AE175" s="218"/>
      <c r="AF175" s="218"/>
    </row>
    <row r="176" spans="1:32" x14ac:dyDescent="0.2">
      <c r="A176" s="97">
        <v>2</v>
      </c>
      <c r="B176" s="97"/>
      <c r="C176" s="98">
        <f>+E176-E175</f>
        <v>178.90604250000001</v>
      </c>
      <c r="D176" s="92">
        <f>+G176-G175</f>
        <v>160.765232725</v>
      </c>
      <c r="E176" s="97">
        <v>370.28563750000001</v>
      </c>
      <c r="G176" s="97">
        <v>333.324619875</v>
      </c>
      <c r="I176" s="105">
        <v>125.7</v>
      </c>
      <c r="J176" s="1">
        <v>2</v>
      </c>
      <c r="L176" s="104">
        <v>14610</v>
      </c>
      <c r="M176" s="105">
        <v>603.80000000000018</v>
      </c>
      <c r="N176" s="105">
        <f t="shared" si="7"/>
        <v>728.31473614425886</v>
      </c>
      <c r="O176" s="104">
        <v>5486</v>
      </c>
      <c r="P176" s="228">
        <v>1077.9000000000001</v>
      </c>
      <c r="Q176" s="228">
        <f t="shared" si="5"/>
        <v>1300.1829315831342</v>
      </c>
      <c r="R176" s="229">
        <v>11296</v>
      </c>
      <c r="S176" s="228">
        <v>235.3</v>
      </c>
      <c r="T176" s="228">
        <f t="shared" si="6"/>
        <v>283.82321532749933</v>
      </c>
      <c r="U176" s="218"/>
      <c r="V176" s="218"/>
      <c r="W176" s="218"/>
      <c r="X176" s="218"/>
      <c r="Y176" s="218"/>
      <c r="Z176" s="218"/>
      <c r="AA176" s="218"/>
      <c r="AB176" s="218"/>
      <c r="AC176" s="218"/>
      <c r="AD176" s="218"/>
      <c r="AE176" s="218"/>
      <c r="AF176" s="218"/>
    </row>
    <row r="177" spans="1:32" x14ac:dyDescent="0.2">
      <c r="A177" s="97">
        <v>3</v>
      </c>
      <c r="B177" s="97"/>
      <c r="C177" s="98">
        <f>+E177-E176</f>
        <v>160.23377500000004</v>
      </c>
      <c r="D177" s="92">
        <f>+G177-G176</f>
        <v>142.31202375000004</v>
      </c>
      <c r="E177" s="97">
        <v>530.51941250000004</v>
      </c>
      <c r="G177" s="97">
        <v>475.63664362500003</v>
      </c>
      <c r="I177" s="105">
        <v>125.4</v>
      </c>
      <c r="J177" s="1">
        <v>3</v>
      </c>
      <c r="L177" s="104">
        <v>19220</v>
      </c>
      <c r="M177" s="105">
        <v>795.69999999999982</v>
      </c>
      <c r="N177" s="105">
        <f t="shared" si="7"/>
        <v>962.08421185539567</v>
      </c>
      <c r="O177" s="104">
        <v>13278</v>
      </c>
      <c r="P177" s="228">
        <v>1278.0999999999999</v>
      </c>
      <c r="Q177" s="228">
        <f t="shared" si="5"/>
        <v>1545.3560778841038</v>
      </c>
      <c r="R177" s="229">
        <v>11383</v>
      </c>
      <c r="S177" s="228">
        <v>231.79999999999995</v>
      </c>
      <c r="T177" s="228">
        <f t="shared" si="6"/>
        <v>280.27035353535342</v>
      </c>
      <c r="U177" s="218"/>
      <c r="V177" s="218"/>
      <c r="W177" s="218"/>
      <c r="X177" s="218"/>
      <c r="Y177" s="218"/>
      <c r="Z177" s="218"/>
      <c r="AA177" s="218"/>
      <c r="AB177" s="218"/>
      <c r="AC177" s="218"/>
      <c r="AD177" s="218"/>
      <c r="AE177" s="218"/>
      <c r="AF177" s="218"/>
    </row>
    <row r="178" spans="1:32" x14ac:dyDescent="0.2">
      <c r="A178" s="101">
        <v>4</v>
      </c>
      <c r="B178" s="97"/>
      <c r="C178" s="98">
        <f>+E178-E177</f>
        <v>179.8571388695641</v>
      </c>
      <c r="D178" s="92">
        <f>+G178-G177</f>
        <v>163.53199924456408</v>
      </c>
      <c r="E178" s="97">
        <v>710.37655136956414</v>
      </c>
      <c r="G178" s="97">
        <v>639.16864286956411</v>
      </c>
      <c r="I178" s="105">
        <v>126.6</v>
      </c>
      <c r="J178" s="1">
        <v>4</v>
      </c>
      <c r="L178" s="104">
        <v>16838</v>
      </c>
      <c r="M178" s="105">
        <v>759.30000000000018</v>
      </c>
      <c r="N178" s="105">
        <f t="shared" si="7"/>
        <v>909.37070695102693</v>
      </c>
      <c r="O178" s="104">
        <v>6227</v>
      </c>
      <c r="P178" s="228">
        <v>1192.2000000000003</v>
      </c>
      <c r="Q178" s="228">
        <f t="shared" si="5"/>
        <v>1427.8305766192736</v>
      </c>
      <c r="R178" s="229">
        <v>10409</v>
      </c>
      <c r="S178" s="228">
        <v>276.40000000000009</v>
      </c>
      <c r="T178" s="228">
        <f t="shared" si="6"/>
        <v>331.02866245392318</v>
      </c>
      <c r="U178" s="218"/>
      <c r="V178" s="218"/>
      <c r="W178" s="218"/>
      <c r="X178" s="218"/>
      <c r="Y178" s="218"/>
      <c r="Z178" s="218"/>
      <c r="AA178" s="218"/>
      <c r="AB178" s="218"/>
      <c r="AC178" s="218"/>
      <c r="AD178" s="218"/>
      <c r="AE178" s="218"/>
      <c r="AF178" s="218"/>
    </row>
    <row r="179" spans="1:32" x14ac:dyDescent="0.2">
      <c r="A179" s="97">
        <v>1</v>
      </c>
      <c r="B179" s="97">
        <v>2010</v>
      </c>
      <c r="C179" s="99">
        <f>+E179</f>
        <v>204.63648875000001</v>
      </c>
      <c r="D179" s="97">
        <f>+G179</f>
        <v>186.506571025</v>
      </c>
      <c r="E179" s="97">
        <v>204.63648875000001</v>
      </c>
      <c r="G179" s="97">
        <v>186.506571025</v>
      </c>
      <c r="I179" s="105">
        <v>128.69999999999999</v>
      </c>
      <c r="J179" s="1">
        <v>1</v>
      </c>
      <c r="K179" s="1">
        <v>2010</v>
      </c>
      <c r="L179" s="104">
        <v>40484.70904761905</v>
      </c>
      <c r="M179" s="105">
        <v>1693.2251146266974</v>
      </c>
      <c r="N179" s="105">
        <f t="shared" si="7"/>
        <v>1994.7910949615971</v>
      </c>
      <c r="O179" s="104">
        <v>6690</v>
      </c>
      <c r="P179" s="228">
        <v>1648.5</v>
      </c>
      <c r="Q179" s="228">
        <f t="shared" si="5"/>
        <v>1942.1003690753689</v>
      </c>
      <c r="R179" s="229">
        <v>7227</v>
      </c>
      <c r="S179" s="228">
        <v>243.10000000000002</v>
      </c>
      <c r="T179" s="228">
        <f t="shared" si="6"/>
        <v>286.39648148148149</v>
      </c>
      <c r="U179" s="218"/>
      <c r="V179" s="218"/>
      <c r="W179" s="218"/>
      <c r="X179" s="218"/>
      <c r="Y179" s="218"/>
      <c r="Z179" s="218"/>
      <c r="AA179" s="218"/>
      <c r="AB179" s="218"/>
      <c r="AC179" s="218"/>
      <c r="AD179" s="218"/>
      <c r="AE179" s="218"/>
      <c r="AF179" s="218"/>
    </row>
    <row r="180" spans="1:32" x14ac:dyDescent="0.2">
      <c r="A180" s="97">
        <v>2</v>
      </c>
      <c r="B180" s="97"/>
      <c r="C180" s="98">
        <f>+E180-E179</f>
        <v>188.95691625000001</v>
      </c>
      <c r="D180" s="92">
        <f>+G180-G179</f>
        <v>170.46253197500002</v>
      </c>
      <c r="E180" s="97">
        <v>393.59340500000002</v>
      </c>
      <c r="G180" s="97">
        <v>356.96910300000002</v>
      </c>
      <c r="I180" s="105">
        <v>128.9</v>
      </c>
      <c r="J180" s="1">
        <v>2</v>
      </c>
      <c r="L180" s="104">
        <v>20633.79583333333</v>
      </c>
      <c r="M180" s="105">
        <v>864.97098885712671</v>
      </c>
      <c r="N180" s="105">
        <f t="shared" si="7"/>
        <v>1017.4425364533149</v>
      </c>
      <c r="O180" s="104">
        <v>5716</v>
      </c>
      <c r="P180" s="228">
        <v>1381.6999999999998</v>
      </c>
      <c r="Q180" s="228">
        <f t="shared" si="5"/>
        <v>1625.2572291181789</v>
      </c>
      <c r="R180" s="229">
        <v>10696</v>
      </c>
      <c r="S180" s="228">
        <v>201.60000000000002</v>
      </c>
      <c r="T180" s="228">
        <f t="shared" si="6"/>
        <v>237.13675717610548</v>
      </c>
      <c r="U180" s="218"/>
      <c r="V180" s="218"/>
      <c r="W180" s="218"/>
      <c r="X180" s="218"/>
      <c r="Y180" s="218"/>
      <c r="Z180" s="218"/>
      <c r="AA180" s="218"/>
      <c r="AB180" s="218"/>
      <c r="AC180" s="218"/>
      <c r="AD180" s="218"/>
      <c r="AE180" s="218"/>
      <c r="AF180" s="218"/>
    </row>
    <row r="181" spans="1:32" x14ac:dyDescent="0.2">
      <c r="A181" s="108">
        <v>3</v>
      </c>
      <c r="B181" s="97"/>
      <c r="C181" s="98">
        <f>+E181-E180</f>
        <v>172.07737875000004</v>
      </c>
      <c r="D181" s="92">
        <f>+G181-G180</f>
        <v>154.15607493749997</v>
      </c>
      <c r="E181" s="97">
        <v>565.67078375000006</v>
      </c>
      <c r="G181" s="97">
        <v>511.12517793749998</v>
      </c>
      <c r="I181" s="105">
        <v>127.8</v>
      </c>
      <c r="J181" s="1">
        <v>3</v>
      </c>
      <c r="L181" s="104">
        <v>19149.335833333338</v>
      </c>
      <c r="M181" s="105">
        <v>861.71516601647909</v>
      </c>
      <c r="N181" s="105">
        <f t="shared" si="7"/>
        <v>1022.3371648150384</v>
      </c>
      <c r="O181" s="104">
        <v>9089</v>
      </c>
      <c r="P181" s="228">
        <v>1286.1999999999998</v>
      </c>
      <c r="Q181" s="228">
        <f t="shared" si="5"/>
        <v>1525.9451304121019</v>
      </c>
      <c r="R181" s="229">
        <v>11532</v>
      </c>
      <c r="S181" s="228">
        <v>200.69999999999993</v>
      </c>
      <c r="T181" s="228">
        <f t="shared" si="6"/>
        <v>238.11008215962428</v>
      </c>
      <c r="U181" s="218"/>
      <c r="V181" s="218"/>
      <c r="W181" s="218"/>
      <c r="X181" s="218"/>
      <c r="Y181" s="218"/>
      <c r="Z181" s="218"/>
      <c r="AA181" s="218"/>
      <c r="AB181" s="218"/>
      <c r="AC181" s="218"/>
      <c r="AD181" s="218"/>
      <c r="AE181" s="218"/>
      <c r="AF181" s="218"/>
    </row>
    <row r="182" spans="1:32" x14ac:dyDescent="0.2">
      <c r="A182" s="108">
        <v>4</v>
      </c>
      <c r="B182" s="97"/>
      <c r="C182" s="98">
        <f>+E182-E181</f>
        <v>192.96143124999992</v>
      </c>
      <c r="D182" s="92">
        <f>+G182-G181</f>
        <v>174.39946771249993</v>
      </c>
      <c r="E182" s="97">
        <v>758.63221499999997</v>
      </c>
      <c r="G182" s="97">
        <v>685.52464564999991</v>
      </c>
      <c r="I182" s="105">
        <v>129</v>
      </c>
      <c r="J182" s="1">
        <v>4</v>
      </c>
      <c r="L182" s="104">
        <v>22322.361666666664</v>
      </c>
      <c r="M182" s="105">
        <v>889.84894905372039</v>
      </c>
      <c r="N182" s="105">
        <f t="shared" ref="N182" si="8">M182/I182*$I$69</f>
        <v>1045.8944243186575</v>
      </c>
      <c r="O182" s="104">
        <v>5858</v>
      </c>
      <c r="P182" s="228">
        <v>1310.8000000000011</v>
      </c>
      <c r="Q182" s="228">
        <f t="shared" si="5"/>
        <v>1540.6641912144712</v>
      </c>
      <c r="R182" s="229">
        <v>9548</v>
      </c>
      <c r="S182" s="228">
        <v>205</v>
      </c>
      <c r="T182" s="228">
        <f t="shared" si="6"/>
        <v>240.94916020671829</v>
      </c>
      <c r="U182" s="218"/>
      <c r="V182" s="218"/>
      <c r="W182" s="218"/>
      <c r="X182" s="218"/>
      <c r="Y182" s="218"/>
      <c r="Z182" s="218"/>
      <c r="AA182" s="218"/>
      <c r="AB182" s="218"/>
      <c r="AC182" s="218"/>
      <c r="AD182" s="218"/>
      <c r="AE182" s="218"/>
      <c r="AF182" s="218"/>
    </row>
    <row r="183" spans="1:32" x14ac:dyDescent="0.2">
      <c r="A183" s="108">
        <v>1</v>
      </c>
      <c r="B183" s="97">
        <v>2011</v>
      </c>
      <c r="C183" s="99">
        <f>+E183</f>
        <v>204.00503875000001</v>
      </c>
      <c r="D183" s="97">
        <f>+G183</f>
        <v>184.8599929625</v>
      </c>
      <c r="E183" s="97">
        <v>204.00503875000001</v>
      </c>
      <c r="G183" s="97">
        <v>184.8599929625</v>
      </c>
      <c r="I183" s="105">
        <v>130.19999999999999</v>
      </c>
      <c r="J183" s="1">
        <v>1</v>
      </c>
      <c r="K183" s="1">
        <v>2011</v>
      </c>
      <c r="L183" s="104">
        <v>26141.662648809524</v>
      </c>
      <c r="M183" s="105">
        <v>1061.4209517567813</v>
      </c>
      <c r="N183" s="105">
        <f t="shared" ref="N183:N186" si="9">M183/I183*$I$69</f>
        <v>1236.0554050712963</v>
      </c>
      <c r="O183" s="104">
        <v>5959</v>
      </c>
      <c r="P183" s="228">
        <v>1698.7</v>
      </c>
      <c r="Q183" s="228">
        <f t="shared" si="5"/>
        <v>1978.1852931387607</v>
      </c>
      <c r="R183" s="229">
        <v>6732</v>
      </c>
      <c r="S183" s="228">
        <v>156.5</v>
      </c>
      <c r="T183" s="228">
        <f t="shared" si="6"/>
        <v>182.24877752176138</v>
      </c>
      <c r="U183" s="218"/>
      <c r="V183" s="218"/>
      <c r="W183" s="218"/>
      <c r="X183" s="218"/>
      <c r="Y183" s="218"/>
      <c r="Z183" s="218"/>
      <c r="AA183" s="218"/>
      <c r="AB183" s="218"/>
      <c r="AC183" s="218"/>
      <c r="AD183" s="218"/>
      <c r="AE183" s="218"/>
      <c r="AF183" s="218"/>
    </row>
    <row r="184" spans="1:32" x14ac:dyDescent="0.2">
      <c r="A184" s="97">
        <v>2</v>
      </c>
      <c r="B184" s="97"/>
      <c r="C184" s="98">
        <f>+E184-E183</f>
        <v>188.74104374999999</v>
      </c>
      <c r="D184" s="92">
        <f>+G184-G183</f>
        <v>171.33320521249996</v>
      </c>
      <c r="E184" s="1">
        <v>392.7460825</v>
      </c>
      <c r="G184" s="1">
        <v>356.19319817499996</v>
      </c>
      <c r="I184" s="105">
        <v>131</v>
      </c>
      <c r="J184" s="1">
        <v>2</v>
      </c>
      <c r="L184" s="109">
        <v>18851.951101190472</v>
      </c>
      <c r="M184" s="110">
        <v>776.58308820124375</v>
      </c>
      <c r="N184" s="105">
        <f t="shared" si="9"/>
        <v>898.83070334518754</v>
      </c>
      <c r="O184" s="104">
        <v>7524</v>
      </c>
      <c r="P184" s="228">
        <v>1533.4000000000003</v>
      </c>
      <c r="Q184" s="228">
        <f t="shared" si="5"/>
        <v>1774.7836921119592</v>
      </c>
      <c r="R184" s="229">
        <v>10017</v>
      </c>
      <c r="S184" s="228">
        <v>197.79999999999995</v>
      </c>
      <c r="T184" s="228">
        <f t="shared" si="6"/>
        <v>228.93714249363856</v>
      </c>
      <c r="U184" s="218"/>
      <c r="V184" s="218"/>
      <c r="W184" s="218"/>
      <c r="X184" s="218"/>
      <c r="Y184" s="218"/>
      <c r="Z184" s="218"/>
      <c r="AA184" s="218"/>
      <c r="AB184" s="218"/>
      <c r="AC184" s="218"/>
      <c r="AD184" s="218"/>
      <c r="AE184" s="218"/>
      <c r="AF184" s="218"/>
    </row>
    <row r="185" spans="1:32" x14ac:dyDescent="0.2">
      <c r="A185" s="108">
        <v>3</v>
      </c>
      <c r="C185" s="98">
        <f>+E185-E184</f>
        <v>169.93391749999995</v>
      </c>
      <c r="D185" s="92">
        <f>+G185-G184</f>
        <v>151.69380182500004</v>
      </c>
      <c r="E185" s="1">
        <v>562.67999999999995</v>
      </c>
      <c r="G185" s="1">
        <v>507.887</v>
      </c>
      <c r="I185" s="105">
        <v>129.4</v>
      </c>
      <c r="J185" s="1">
        <v>3</v>
      </c>
      <c r="L185" s="109">
        <v>24107.386250000007</v>
      </c>
      <c r="M185" s="110">
        <v>914.64669811090494</v>
      </c>
      <c r="N185" s="105">
        <f t="shared" si="9"/>
        <v>1071.7175948897905</v>
      </c>
      <c r="O185" s="104">
        <v>10171</v>
      </c>
      <c r="P185" s="228">
        <v>1285.3999999999996</v>
      </c>
      <c r="Q185" s="228">
        <f t="shared" si="5"/>
        <v>1506.1398016486341</v>
      </c>
      <c r="R185" s="229">
        <v>10339</v>
      </c>
      <c r="S185" s="228">
        <v>167.29999999999995</v>
      </c>
      <c r="T185" s="228">
        <f t="shared" si="6"/>
        <v>196.03017645543522</v>
      </c>
      <c r="U185" s="218"/>
      <c r="V185" s="218"/>
      <c r="W185" s="218"/>
      <c r="X185" s="218"/>
      <c r="Y185" s="218"/>
      <c r="Z185" s="218"/>
      <c r="AA185" s="218"/>
      <c r="AB185" s="218"/>
      <c r="AC185" s="218"/>
      <c r="AD185" s="218"/>
      <c r="AE185" s="218"/>
      <c r="AF185" s="218"/>
    </row>
    <row r="186" spans="1:32" x14ac:dyDescent="0.2">
      <c r="A186" s="1">
        <v>4</v>
      </c>
      <c r="C186" s="98">
        <f>+E186-E185</f>
        <v>202.17554500000006</v>
      </c>
      <c r="D186" s="92">
        <f>+G186-G185</f>
        <v>178.91908595000001</v>
      </c>
      <c r="E186" s="1">
        <v>764.85554500000001</v>
      </c>
      <c r="G186" s="1">
        <v>686.80608595000001</v>
      </c>
      <c r="I186" s="1">
        <v>130.5</v>
      </c>
      <c r="J186" s="1">
        <v>4</v>
      </c>
      <c r="L186" s="109">
        <v>18022.572976190484</v>
      </c>
      <c r="M186" s="105">
        <v>777.38419736292576</v>
      </c>
      <c r="N186" s="105">
        <f t="shared" si="9"/>
        <v>903.20526930648066</v>
      </c>
      <c r="O186" s="109">
        <v>8775.7956028314002</v>
      </c>
      <c r="P186" s="228">
        <v>1286.8626975018997</v>
      </c>
      <c r="Q186" s="228">
        <f t="shared" si="5"/>
        <v>1495.1438081716512</v>
      </c>
      <c r="R186" s="232">
        <v>9645.4866500746648</v>
      </c>
      <c r="S186" s="228">
        <v>181.103452008619</v>
      </c>
      <c r="T186" s="228">
        <f t="shared" si="6"/>
        <v>210.41538109297693</v>
      </c>
      <c r="U186" s="218"/>
      <c r="V186" s="218"/>
      <c r="W186" s="218"/>
      <c r="X186" s="218"/>
      <c r="Y186" s="218"/>
      <c r="Z186" s="218"/>
      <c r="AA186" s="218"/>
      <c r="AB186" s="218"/>
      <c r="AC186" s="218"/>
      <c r="AD186" s="218"/>
      <c r="AE186" s="218"/>
      <c r="AF186" s="218"/>
    </row>
    <row r="187" spans="1:32" x14ac:dyDescent="0.2">
      <c r="A187" s="1">
        <v>1</v>
      </c>
      <c r="B187" s="1">
        <v>2012</v>
      </c>
      <c r="C187" s="99">
        <f>+E187</f>
        <v>195.82938625</v>
      </c>
      <c r="D187" s="97">
        <f>+G187</f>
        <v>177.0717714875</v>
      </c>
      <c r="E187" s="1">
        <v>195.82938625</v>
      </c>
      <c r="G187" s="1">
        <v>177.0717714875</v>
      </c>
      <c r="I187" s="1">
        <v>131.69999999999999</v>
      </c>
      <c r="J187" s="1">
        <v>1</v>
      </c>
      <c r="K187" s="1">
        <v>2012</v>
      </c>
      <c r="L187" s="109">
        <v>18517.39324404762</v>
      </c>
      <c r="M187" s="105">
        <v>869.15461769403078</v>
      </c>
      <c r="N187" s="105">
        <f t="shared" ref="N187:N193" si="10">M187/I187*$I$69</f>
        <v>1000.6277276066699</v>
      </c>
      <c r="O187" s="104">
        <v>6822.44890070785</v>
      </c>
      <c r="P187" s="228">
        <v>1150.314057295883</v>
      </c>
      <c r="Q187" s="228">
        <f t="shared" si="5"/>
        <v>1324.316891095651</v>
      </c>
      <c r="R187" s="229">
        <v>7564.3716625186662</v>
      </c>
      <c r="S187" s="228">
        <v>175.73767321176348</v>
      </c>
      <c r="T187" s="228">
        <f t="shared" si="6"/>
        <v>202.32072064153073</v>
      </c>
      <c r="U187" s="218"/>
      <c r="V187" s="218"/>
      <c r="W187" s="218"/>
      <c r="X187" s="218"/>
      <c r="Y187" s="218"/>
      <c r="Z187" s="218"/>
      <c r="AA187" s="218"/>
      <c r="AB187" s="218"/>
      <c r="AC187" s="218"/>
      <c r="AD187" s="218"/>
      <c r="AE187" s="218"/>
      <c r="AF187" s="218"/>
    </row>
    <row r="188" spans="1:32" x14ac:dyDescent="0.2">
      <c r="A188" s="1">
        <v>2</v>
      </c>
      <c r="C188" s="98">
        <f>+E188-E187</f>
        <v>182.75061374999999</v>
      </c>
      <c r="D188" s="92">
        <f>+G188-G187</f>
        <v>165.12822851249999</v>
      </c>
      <c r="E188" s="90">
        <v>378.58</v>
      </c>
      <c r="G188" s="90">
        <v>342.2</v>
      </c>
      <c r="I188" s="1">
        <v>131.69999999999999</v>
      </c>
      <c r="J188" s="1">
        <v>2</v>
      </c>
      <c r="L188" s="109">
        <v>14087.60675595238</v>
      </c>
      <c r="M188" s="105">
        <v>635.43152402028181</v>
      </c>
      <c r="N188" s="105">
        <f t="shared" si="10"/>
        <v>731.55039274483795</v>
      </c>
      <c r="O188" s="104">
        <v>4838.55109929215</v>
      </c>
      <c r="P188" s="228">
        <v>1037.7970664905204</v>
      </c>
      <c r="Q188" s="228">
        <f t="shared" si="5"/>
        <v>1194.779961147078</v>
      </c>
      <c r="R188" s="229">
        <v>10002.628337481334</v>
      </c>
      <c r="S188" s="228">
        <v>184.20744441885319</v>
      </c>
      <c r="T188" s="228">
        <f t="shared" si="6"/>
        <v>212.07167604551165</v>
      </c>
      <c r="U188" s="218"/>
      <c r="V188" s="218"/>
      <c r="W188" s="218"/>
      <c r="X188" s="218"/>
      <c r="Y188" s="218"/>
      <c r="Z188" s="218"/>
      <c r="AA188" s="218"/>
      <c r="AB188" s="218"/>
      <c r="AC188" s="218"/>
      <c r="AD188" s="218"/>
      <c r="AE188" s="218"/>
      <c r="AF188" s="218"/>
    </row>
    <row r="189" spans="1:32" x14ac:dyDescent="0.2">
      <c r="A189" s="108">
        <v>3</v>
      </c>
      <c r="C189" s="98">
        <f>+E189-E188</f>
        <v>165.72960875000007</v>
      </c>
      <c r="D189" s="92">
        <f>+G189-G188</f>
        <v>148.24155396250001</v>
      </c>
      <c r="E189" s="1">
        <v>544.30960875000005</v>
      </c>
      <c r="G189" s="1">
        <v>490.4415539625</v>
      </c>
      <c r="I189" s="1">
        <v>130</v>
      </c>
      <c r="J189" s="1">
        <v>3</v>
      </c>
      <c r="L189" s="116">
        <v>20999.460714285713</v>
      </c>
      <c r="M189" s="117">
        <v>864.77367174435972</v>
      </c>
      <c r="N189" s="105">
        <f t="shared" si="10"/>
        <v>1008.6032723025593</v>
      </c>
      <c r="O189" s="116">
        <v>6828.0536397386386</v>
      </c>
      <c r="P189" s="233">
        <v>1132.0609213635664</v>
      </c>
      <c r="Q189" s="228">
        <f t="shared" si="5"/>
        <v>1320.3458743488168</v>
      </c>
      <c r="R189" s="234">
        <v>10877.781177428844</v>
      </c>
      <c r="S189" s="233">
        <v>190.02859425457928</v>
      </c>
      <c r="T189" s="228">
        <f t="shared" si="6"/>
        <v>221.63424750156202</v>
      </c>
      <c r="U189" s="218"/>
      <c r="V189" s="218"/>
      <c r="W189" s="218"/>
      <c r="X189" s="218"/>
      <c r="Y189" s="218"/>
      <c r="Z189" s="218"/>
      <c r="AA189" s="218"/>
      <c r="AB189" s="218"/>
      <c r="AC189" s="218"/>
      <c r="AD189" s="218"/>
      <c r="AE189" s="218"/>
      <c r="AF189" s="218"/>
    </row>
    <row r="190" spans="1:32" x14ac:dyDescent="0.2">
      <c r="A190" s="108">
        <v>4</v>
      </c>
      <c r="C190" s="98">
        <f>+E190-E189</f>
        <v>166.80539124999996</v>
      </c>
      <c r="D190" s="92">
        <f>+G190-G189</f>
        <v>151.72844603749996</v>
      </c>
      <c r="E190" s="1">
        <v>711.11500000000001</v>
      </c>
      <c r="G190" s="1">
        <v>642.16999999999996</v>
      </c>
      <c r="I190" s="1">
        <v>132</v>
      </c>
      <c r="J190" s="1">
        <v>4</v>
      </c>
      <c r="L190" s="116">
        <v>17946.539285714287</v>
      </c>
      <c r="M190" s="117">
        <v>826.79347775776318</v>
      </c>
      <c r="N190" s="105">
        <f t="shared" si="10"/>
        <v>949.69549308152739</v>
      </c>
      <c r="O190" s="116">
        <v>5621.9463602613596</v>
      </c>
      <c r="P190" s="233">
        <v>1071.0118577206574</v>
      </c>
      <c r="Q190" s="228">
        <f t="shared" ref="Q190:Q215" si="11">P190/I190*$I$69</f>
        <v>1230.2166885406734</v>
      </c>
      <c r="R190" s="234">
        <v>8525.2188225711561</v>
      </c>
      <c r="S190" s="233">
        <v>190.41732478586363</v>
      </c>
      <c r="T190" s="228">
        <f t="shared" ref="T190:T216" si="12">S190/I190*$I$69</f>
        <v>218.7226677745501</v>
      </c>
      <c r="U190" s="218"/>
      <c r="V190" s="218"/>
      <c r="W190" s="218"/>
      <c r="X190" s="218"/>
      <c r="Y190" s="218"/>
      <c r="Z190" s="218"/>
      <c r="AA190" s="218"/>
      <c r="AB190" s="218"/>
      <c r="AC190" s="218"/>
      <c r="AD190" s="218"/>
      <c r="AE190" s="218"/>
      <c r="AF190" s="218"/>
    </row>
    <row r="191" spans="1:32" x14ac:dyDescent="0.2">
      <c r="A191" s="1">
        <v>1</v>
      </c>
      <c r="B191" s="1">
        <v>2013</v>
      </c>
      <c r="C191" s="99">
        <f>+E191</f>
        <v>199.180995</v>
      </c>
      <c r="D191" s="97">
        <f>+G191</f>
        <v>183.65288545000001</v>
      </c>
      <c r="E191" s="1">
        <v>199.180995</v>
      </c>
      <c r="G191" s="1">
        <v>183.65288545000001</v>
      </c>
      <c r="I191" s="1">
        <v>133</v>
      </c>
      <c r="J191" s="1">
        <v>1</v>
      </c>
      <c r="K191" s="1">
        <f>B191</f>
        <v>2013</v>
      </c>
      <c r="L191" s="116">
        <v>21974.571815476189</v>
      </c>
      <c r="M191" s="117">
        <v>1023.0812127444322</v>
      </c>
      <c r="N191" s="105">
        <f t="shared" si="10"/>
        <v>1166.3254030952282</v>
      </c>
      <c r="O191" s="116">
        <v>5520.4451678348678</v>
      </c>
      <c r="P191" s="233">
        <v>1148.1840804128565</v>
      </c>
      <c r="Q191" s="228">
        <f t="shared" si="11"/>
        <v>1308.9442399423406</v>
      </c>
      <c r="R191" s="234">
        <v>5958.3970505452735</v>
      </c>
      <c r="S191" s="233">
        <v>167.84779905693762</v>
      </c>
      <c r="T191" s="228">
        <f t="shared" si="12"/>
        <v>191.34859428078676</v>
      </c>
      <c r="U191" s="218"/>
      <c r="V191" s="218"/>
      <c r="W191" s="218"/>
      <c r="X191" s="218"/>
      <c r="Y191" s="218"/>
      <c r="Z191" s="218"/>
      <c r="AA191" s="218"/>
      <c r="AB191" s="218"/>
      <c r="AC191" s="218"/>
      <c r="AD191" s="218"/>
      <c r="AE191" s="218"/>
      <c r="AF191" s="218"/>
    </row>
    <row r="192" spans="1:32" x14ac:dyDescent="0.2">
      <c r="A192" s="1">
        <v>2</v>
      </c>
      <c r="C192" s="98">
        <f>+E192-E191</f>
        <v>205.01500500000003</v>
      </c>
      <c r="D192" s="92">
        <f>+G192-G191</f>
        <v>185.63411454999996</v>
      </c>
      <c r="E192" s="1">
        <v>404.19600000000003</v>
      </c>
      <c r="G192" s="1">
        <v>369.28699999999998</v>
      </c>
      <c r="I192" s="1">
        <v>134.30000000000001</v>
      </c>
      <c r="J192" s="1">
        <v>2</v>
      </c>
      <c r="L192" s="116">
        <v>23960.428184523811</v>
      </c>
      <c r="M192" s="117">
        <v>1011.581560458749</v>
      </c>
      <c r="N192" s="105">
        <f t="shared" si="10"/>
        <v>1142.0527339242212</v>
      </c>
      <c r="O192" s="116">
        <v>6388.5548321651322</v>
      </c>
      <c r="P192" s="233">
        <v>1133.7065185307133</v>
      </c>
      <c r="Q192" s="228">
        <f t="shared" si="11"/>
        <v>1279.9290532426726</v>
      </c>
      <c r="R192" s="234">
        <v>10154.602949454726</v>
      </c>
      <c r="S192" s="233">
        <v>176.1673175310234</v>
      </c>
      <c r="T192" s="228">
        <f t="shared" si="12"/>
        <v>198.88892253350443</v>
      </c>
      <c r="U192" s="218"/>
      <c r="V192" s="218"/>
      <c r="W192" s="218"/>
      <c r="X192" s="218"/>
      <c r="Y192" s="218"/>
      <c r="Z192" s="218"/>
      <c r="AA192" s="218"/>
      <c r="AB192" s="218"/>
      <c r="AC192" s="218"/>
      <c r="AD192" s="218"/>
      <c r="AE192" s="218"/>
      <c r="AF192" s="218"/>
    </row>
    <row r="193" spans="1:32" x14ac:dyDescent="0.2">
      <c r="A193" s="1">
        <v>3</v>
      </c>
      <c r="C193" s="98">
        <f>+E193-E192</f>
        <v>172.04383408071794</v>
      </c>
      <c r="D193" s="92">
        <f>+G193-G192</f>
        <v>153.21019910313902</v>
      </c>
      <c r="E193" s="1">
        <v>576.23983408071797</v>
      </c>
      <c r="G193" s="1">
        <v>522.497199103139</v>
      </c>
      <c r="I193" s="1">
        <v>134.19999999999999</v>
      </c>
      <c r="J193" s="1">
        <v>3</v>
      </c>
      <c r="L193" s="116">
        <v>18388.581422924897</v>
      </c>
      <c r="M193" s="117">
        <v>735.52528494140915</v>
      </c>
      <c r="N193" s="105">
        <f t="shared" si="10"/>
        <v>831.01020550142584</v>
      </c>
      <c r="O193" s="116">
        <v>11492.955434782609</v>
      </c>
      <c r="P193" s="233">
        <v>1323.3889549928699</v>
      </c>
      <c r="Q193" s="228">
        <f t="shared" si="11"/>
        <v>1495.1895603895471</v>
      </c>
      <c r="R193" s="234">
        <v>11786.02326086957</v>
      </c>
      <c r="S193" s="233">
        <v>172.41802435151402</v>
      </c>
      <c r="T193" s="228">
        <f t="shared" si="12"/>
        <v>194.80110443778298</v>
      </c>
      <c r="U193" s="218"/>
      <c r="V193" s="218"/>
      <c r="W193" s="218"/>
      <c r="X193" s="218"/>
      <c r="Y193" s="218"/>
      <c r="Z193" s="218"/>
      <c r="AA193" s="218"/>
      <c r="AB193" s="218"/>
      <c r="AC193" s="218"/>
      <c r="AD193" s="218"/>
      <c r="AE193" s="218"/>
      <c r="AF193" s="218"/>
    </row>
    <row r="194" spans="1:32" x14ac:dyDescent="0.2">
      <c r="A194" s="108">
        <v>4</v>
      </c>
      <c r="C194" s="98">
        <f>+E194-E193</f>
        <v>204.099832585949</v>
      </c>
      <c r="D194" s="92">
        <f>+G194-G193</f>
        <v>188.07946756352794</v>
      </c>
      <c r="E194" s="1">
        <v>780.33966666666697</v>
      </c>
      <c r="G194" s="1">
        <v>710.57666666666694</v>
      </c>
      <c r="I194" s="1">
        <v>135.30000000000001</v>
      </c>
      <c r="J194" s="1">
        <v>4</v>
      </c>
      <c r="L194" s="116">
        <v>18420.418577075106</v>
      </c>
      <c r="M194" s="116">
        <v>895.71090498583999</v>
      </c>
      <c r="N194" s="105">
        <f>M194/I194*$I$69</f>
        <v>1003.7633426863365</v>
      </c>
      <c r="O194" s="116">
        <v>7745.0445652173912</v>
      </c>
      <c r="P194" s="234">
        <v>1212.6630411771803</v>
      </c>
      <c r="Q194" s="228">
        <f t="shared" si="11"/>
        <v>1358.9504169131756</v>
      </c>
      <c r="R194" s="234">
        <v>11621.97673913043</v>
      </c>
      <c r="S194" s="234">
        <v>180.100371437175</v>
      </c>
      <c r="T194" s="228">
        <f t="shared" si="12"/>
        <v>201.82644851877453</v>
      </c>
      <c r="U194" s="218"/>
      <c r="V194" s="218"/>
      <c r="W194" s="218"/>
      <c r="X194" s="218"/>
      <c r="Y194" s="218"/>
      <c r="Z194" s="218"/>
      <c r="AA194" s="218"/>
      <c r="AB194" s="218"/>
      <c r="AC194" s="218"/>
      <c r="AD194" s="218"/>
      <c r="AE194" s="218"/>
      <c r="AF194" s="218"/>
    </row>
    <row r="195" spans="1:32" x14ac:dyDescent="0.2">
      <c r="A195" s="108">
        <v>1</v>
      </c>
      <c r="B195" s="1">
        <v>2014</v>
      </c>
      <c r="C195" s="98">
        <f>E195</f>
        <v>196.17699999999999</v>
      </c>
      <c r="D195" s="92">
        <f>G195</f>
        <v>179.55199999999999</v>
      </c>
      <c r="E195" s="1">
        <v>196.17699999999999</v>
      </c>
      <c r="G195" s="1">
        <v>179.55199999999999</v>
      </c>
      <c r="I195" s="1">
        <v>135.80000000000001</v>
      </c>
      <c r="J195" s="1">
        <f>A195</f>
        <v>1</v>
      </c>
      <c r="K195" s="1">
        <f>B195</f>
        <v>2014</v>
      </c>
      <c r="L195" s="116">
        <v>19713</v>
      </c>
      <c r="M195" s="116">
        <v>886.67647724495987</v>
      </c>
      <c r="N195" s="105">
        <f>M195/I195*$I$69</f>
        <v>989.98059848313346</v>
      </c>
      <c r="O195" s="116">
        <v>7032</v>
      </c>
      <c r="P195" s="234">
        <v>1484.9150299297401</v>
      </c>
      <c r="Q195" s="228">
        <f t="shared" ref="Q195" si="13">P195/I195*$I$69</f>
        <v>1657.9182010039053</v>
      </c>
      <c r="R195" s="234">
        <v>8004</v>
      </c>
      <c r="S195" s="234">
        <v>165.16263465729782</v>
      </c>
      <c r="T195" s="228">
        <f t="shared" ref="T195" si="14">S195/I195*$I$69</f>
        <v>184.40525727391199</v>
      </c>
      <c r="U195" s="218"/>
      <c r="V195" s="218"/>
      <c r="W195" s="218"/>
      <c r="X195" s="218"/>
      <c r="Y195" s="218"/>
      <c r="Z195" s="218"/>
      <c r="AA195" s="218"/>
      <c r="AB195" s="218"/>
      <c r="AC195" s="218"/>
      <c r="AD195" s="218"/>
      <c r="AE195" s="218"/>
      <c r="AF195" s="218"/>
    </row>
    <row r="196" spans="1:32" x14ac:dyDescent="0.2">
      <c r="A196" s="1">
        <v>2</v>
      </c>
      <c r="C196" s="98">
        <f>+E196-E195</f>
        <v>197.965</v>
      </c>
      <c r="D196" s="92">
        <f>+G196-G195</f>
        <v>179.76700000000002</v>
      </c>
      <c r="E196" s="1">
        <v>394.142</v>
      </c>
      <c r="G196" s="1">
        <v>359.31900000000002</v>
      </c>
      <c r="I196" s="1">
        <v>136.69999999999999</v>
      </c>
      <c r="J196" s="1">
        <v>2</v>
      </c>
      <c r="L196" s="116">
        <v>16691</v>
      </c>
      <c r="M196" s="116">
        <v>732.96206934555016</v>
      </c>
      <c r="N196" s="105">
        <f t="shared" ref="N196:N216" si="15">M196/I196*$I$69</f>
        <v>812.96949932422251</v>
      </c>
      <c r="O196" s="116">
        <v>6228</v>
      </c>
      <c r="P196" s="234">
        <v>1158.7677611998799</v>
      </c>
      <c r="Q196" s="228">
        <f t="shared" si="11"/>
        <v>1285.2545664427782</v>
      </c>
      <c r="R196" s="234">
        <v>11579</v>
      </c>
      <c r="S196" s="234">
        <v>167.32102845142202</v>
      </c>
      <c r="T196" s="228">
        <f t="shared" si="12"/>
        <v>185.58517338833471</v>
      </c>
      <c r="U196" s="218"/>
      <c r="V196" s="218"/>
      <c r="W196" s="218"/>
      <c r="X196" s="218"/>
      <c r="Y196" s="218"/>
      <c r="Z196" s="218"/>
      <c r="AA196" s="218"/>
      <c r="AB196" s="218"/>
      <c r="AC196" s="218"/>
      <c r="AD196" s="218"/>
      <c r="AE196" s="218"/>
      <c r="AF196" s="218"/>
    </row>
    <row r="197" spans="1:32" x14ac:dyDescent="0.2">
      <c r="A197" s="1">
        <v>3</v>
      </c>
      <c r="C197" s="98">
        <f>+E197-E196</f>
        <v>192.10452006852</v>
      </c>
      <c r="D197" s="92">
        <f>+G197-G196</f>
        <v>173.47352006851992</v>
      </c>
      <c r="E197" s="1">
        <v>586.24652006852</v>
      </c>
      <c r="G197" s="1">
        <v>532.79252006851993</v>
      </c>
      <c r="I197" s="1">
        <v>137</v>
      </c>
      <c r="J197" s="1">
        <v>3</v>
      </c>
      <c r="L197" s="116">
        <v>21817</v>
      </c>
      <c r="M197" s="116">
        <v>1080.59231996894</v>
      </c>
      <c r="N197" s="105">
        <f t="shared" si="15"/>
        <v>1195.9212302254789</v>
      </c>
      <c r="O197" s="116">
        <v>20407</v>
      </c>
      <c r="P197" s="234">
        <v>1259.8740491119995</v>
      </c>
      <c r="Q197" s="228">
        <f t="shared" si="11"/>
        <v>1394.3372490251329</v>
      </c>
      <c r="R197" s="234">
        <v>11684</v>
      </c>
      <c r="S197" s="234">
        <v>177.03184293206914</v>
      </c>
      <c r="T197" s="228">
        <f t="shared" si="12"/>
        <v>195.92600787176548</v>
      </c>
      <c r="U197" s="218"/>
      <c r="V197" s="218"/>
      <c r="W197" s="218"/>
      <c r="X197" s="218"/>
      <c r="Y197" s="218"/>
      <c r="Z197" s="218"/>
      <c r="AA197" s="218"/>
      <c r="AB197" s="218"/>
      <c r="AC197" s="218"/>
      <c r="AD197" s="218"/>
      <c r="AE197" s="218"/>
      <c r="AF197" s="218"/>
    </row>
    <row r="198" spans="1:32" x14ac:dyDescent="0.2">
      <c r="A198" s="1">
        <v>4</v>
      </c>
      <c r="C198" s="98">
        <f>+E198-E197</f>
        <v>196.808833167682</v>
      </c>
      <c r="D198" s="92">
        <f>+G198-G197</f>
        <v>184.73883316768206</v>
      </c>
      <c r="E198" s="1">
        <v>783.055353236202</v>
      </c>
      <c r="G198" s="1">
        <v>717.53135323620199</v>
      </c>
      <c r="I198" s="1">
        <v>137.9</v>
      </c>
      <c r="J198" s="1">
        <v>4</v>
      </c>
      <c r="L198" s="116">
        <v>20183</v>
      </c>
      <c r="M198" s="116">
        <v>869.67426416194962</v>
      </c>
      <c r="N198" s="105">
        <f t="shared" si="15"/>
        <v>956.21074248978766</v>
      </c>
      <c r="O198" s="116">
        <v>12863</v>
      </c>
      <c r="P198" s="234">
        <v>1106.850761909501</v>
      </c>
      <c r="Q198" s="228">
        <f t="shared" si="11"/>
        <v>1216.9873623784506</v>
      </c>
      <c r="R198" s="234">
        <v>9690</v>
      </c>
      <c r="S198" s="234">
        <v>175.42101671448501</v>
      </c>
      <c r="T198" s="228">
        <f t="shared" si="12"/>
        <v>192.87619233220741</v>
      </c>
      <c r="U198" s="218"/>
      <c r="V198" s="218"/>
      <c r="W198" s="218"/>
      <c r="X198" s="218"/>
      <c r="Y198" s="218"/>
      <c r="Z198" s="218"/>
      <c r="AA198" s="218"/>
      <c r="AB198" s="218"/>
      <c r="AC198" s="218"/>
      <c r="AD198" s="218"/>
      <c r="AE198" s="218"/>
      <c r="AF198" s="218"/>
    </row>
    <row r="199" spans="1:32" x14ac:dyDescent="0.2">
      <c r="A199" s="1">
        <v>1</v>
      </c>
      <c r="B199" s="1">
        <v>2015</v>
      </c>
      <c r="C199" s="98">
        <f>E199</f>
        <v>219.418599054541</v>
      </c>
      <c r="D199" s="92">
        <f>G199</f>
        <v>202.59159905454101</v>
      </c>
      <c r="E199" s="1">
        <v>219.418599054541</v>
      </c>
      <c r="G199" s="1">
        <v>202.59159905454101</v>
      </c>
      <c r="I199" s="1">
        <v>138.4</v>
      </c>
      <c r="J199" s="1">
        <v>1</v>
      </c>
      <c r="K199" s="1">
        <v>2015</v>
      </c>
      <c r="L199" s="116">
        <v>19630</v>
      </c>
      <c r="M199" s="116">
        <v>957.60520650282388</v>
      </c>
      <c r="N199" s="105">
        <f t="shared" si="15"/>
        <v>1049.0874090941882</v>
      </c>
      <c r="O199" s="116">
        <v>9848</v>
      </c>
      <c r="P199" s="234">
        <v>1279.8360091262539</v>
      </c>
      <c r="Q199" s="228">
        <f t="shared" si="11"/>
        <v>1402.1016529171804</v>
      </c>
      <c r="R199" s="234">
        <v>7135</v>
      </c>
      <c r="S199" s="234">
        <v>155.36971992416409</v>
      </c>
      <c r="T199" s="228">
        <f t="shared" si="12"/>
        <v>170.21254251759368</v>
      </c>
      <c r="U199" s="218"/>
      <c r="V199" s="218"/>
      <c r="W199" s="218"/>
      <c r="X199" s="218"/>
      <c r="Y199" s="218"/>
      <c r="Z199" s="218"/>
      <c r="AA199" s="218"/>
      <c r="AB199" s="218"/>
      <c r="AC199" s="218"/>
      <c r="AD199" s="218"/>
      <c r="AE199" s="218"/>
      <c r="AF199" s="218"/>
    </row>
    <row r="200" spans="1:32" x14ac:dyDescent="0.2">
      <c r="A200" s="1">
        <v>2</v>
      </c>
      <c r="C200" s="98">
        <f>+E200-E199</f>
        <v>188.69592411436798</v>
      </c>
      <c r="D200" s="92">
        <f>+G200-G199</f>
        <v>171.45081948058601</v>
      </c>
      <c r="E200" s="1">
        <v>408.11452316890899</v>
      </c>
      <c r="G200" s="1">
        <v>374.04241853512701</v>
      </c>
      <c r="I200" s="1">
        <v>139.6</v>
      </c>
      <c r="J200" s="1">
        <v>2</v>
      </c>
      <c r="L200" s="116">
        <v>15703.949675889351</v>
      </c>
      <c r="M200" s="116">
        <v>739.71582874915612</v>
      </c>
      <c r="N200" s="105">
        <f t="shared" si="15"/>
        <v>803.41652446032674</v>
      </c>
      <c r="O200" s="116">
        <v>5422.7168724637304</v>
      </c>
      <c r="P200" s="234">
        <v>1206.7408437095464</v>
      </c>
      <c r="Q200" s="228">
        <f t="shared" si="11"/>
        <v>1310.6594409597487</v>
      </c>
      <c r="R200" s="234">
        <v>9988.3050621118018</v>
      </c>
      <c r="S200" s="234">
        <v>168.85276765034422</v>
      </c>
      <c r="T200" s="228">
        <f t="shared" si="12"/>
        <v>183.39353905748283</v>
      </c>
      <c r="U200" s="218"/>
      <c r="V200" s="218"/>
      <c r="W200" s="218"/>
      <c r="X200" s="218"/>
      <c r="Y200" s="218"/>
      <c r="Z200" s="218"/>
      <c r="AA200" s="218"/>
      <c r="AB200" s="218"/>
      <c r="AC200" s="218"/>
      <c r="AD200" s="218"/>
      <c r="AE200" s="218"/>
      <c r="AF200" s="218"/>
    </row>
    <row r="201" spans="1:32" x14ac:dyDescent="0.2">
      <c r="A201" s="1">
        <v>3</v>
      </c>
      <c r="C201" s="98">
        <f>+E201-E200</f>
        <v>180.38826158445403</v>
      </c>
      <c r="D201" s="92">
        <f>+G201-G200</f>
        <v>162.29720926756397</v>
      </c>
      <c r="E201" s="1">
        <v>588.50278475336302</v>
      </c>
      <c r="G201" s="1">
        <v>536.33962780269098</v>
      </c>
      <c r="I201" s="1">
        <v>139.69999999999999</v>
      </c>
      <c r="J201" s="1">
        <v>3</v>
      </c>
      <c r="L201" s="116">
        <v>22728.974837944646</v>
      </c>
      <c r="M201" s="116">
        <v>979.87465749478997</v>
      </c>
      <c r="N201" s="105">
        <f t="shared" si="15"/>
        <v>1063.49483674867</v>
      </c>
      <c r="O201" s="116">
        <v>8619.8584362319707</v>
      </c>
      <c r="P201" s="234">
        <v>1341.1049733657396</v>
      </c>
      <c r="Q201" s="228">
        <f t="shared" si="11"/>
        <v>1455.5516910284111</v>
      </c>
      <c r="R201" s="234">
        <v>10649.652531055901</v>
      </c>
      <c r="S201" s="234">
        <v>131.16322330640469</v>
      </c>
      <c r="T201" s="228">
        <f t="shared" si="12"/>
        <v>142.35638169713138</v>
      </c>
      <c r="U201" s="218"/>
      <c r="V201" s="218"/>
      <c r="W201" s="218"/>
      <c r="X201" s="218"/>
      <c r="Y201" s="218"/>
      <c r="Z201" s="218"/>
      <c r="AA201" s="218"/>
      <c r="AB201" s="218"/>
      <c r="AC201" s="218"/>
      <c r="AD201" s="218"/>
      <c r="AE201" s="218"/>
      <c r="AF201" s="218"/>
    </row>
    <row r="202" spans="1:32" x14ac:dyDescent="0.2">
      <c r="A202" s="1">
        <v>4</v>
      </c>
      <c r="C202" s="98">
        <f>+E202-E201</f>
        <v>195.22963867497901</v>
      </c>
      <c r="D202" s="92">
        <f>+G202-G201</f>
        <v>179.89113138755602</v>
      </c>
      <c r="E202" s="1">
        <v>783.73242342834203</v>
      </c>
      <c r="G202" s="1">
        <v>716.230759190247</v>
      </c>
      <c r="I202" s="1">
        <v>141.69999999999999</v>
      </c>
      <c r="J202" s="1">
        <v>4</v>
      </c>
      <c r="L202" s="116">
        <v>17661.404213438705</v>
      </c>
      <c r="M202" s="116">
        <v>882.4718984768997</v>
      </c>
      <c r="N202" s="105">
        <f t="shared" si="15"/>
        <v>944.2615386984121</v>
      </c>
      <c r="O202" s="116">
        <v>7193.856491304301</v>
      </c>
      <c r="P202" s="234">
        <v>1425.3376484527203</v>
      </c>
      <c r="Q202" s="228">
        <f t="shared" si="11"/>
        <v>1525.1381074181288</v>
      </c>
      <c r="R202" s="234">
        <v>9159.825978260902</v>
      </c>
      <c r="S202" s="234">
        <v>158.55842389179503</v>
      </c>
      <c r="T202" s="228">
        <f t="shared" si="12"/>
        <v>169.66049749127581</v>
      </c>
      <c r="U202" s="218"/>
      <c r="V202" s="218"/>
      <c r="W202" s="218"/>
      <c r="X202" s="218"/>
      <c r="Y202" s="218"/>
      <c r="Z202" s="218"/>
      <c r="AA202" s="218"/>
      <c r="AB202" s="218"/>
      <c r="AC202" s="218"/>
      <c r="AD202" s="218"/>
      <c r="AE202" s="218"/>
      <c r="AF202" s="218"/>
    </row>
    <row r="203" spans="1:32" x14ac:dyDescent="0.2">
      <c r="A203" s="1">
        <v>1</v>
      </c>
      <c r="B203" s="1">
        <v>2016</v>
      </c>
      <c r="C203" s="98">
        <f>E203</f>
        <v>217.297581707322</v>
      </c>
      <c r="D203" s="92">
        <f>G203</f>
        <v>201.19677375494101</v>
      </c>
      <c r="E203" s="1">
        <v>217.297581707322</v>
      </c>
      <c r="G203" s="1">
        <v>201.19677375494101</v>
      </c>
      <c r="I203" s="1">
        <v>142.69999999999999</v>
      </c>
      <c r="J203" s="1">
        <v>1</v>
      </c>
      <c r="K203" s="1">
        <v>2016</v>
      </c>
      <c r="L203" s="116">
        <v>20668.165818181998</v>
      </c>
      <c r="M203" s="116">
        <v>1021.6300324660001</v>
      </c>
      <c r="N203" s="105">
        <f t="shared" si="15"/>
        <v>1085.5027907443286</v>
      </c>
      <c r="O203" s="116">
        <v>6682.5362000000005</v>
      </c>
      <c r="P203" s="234">
        <v>1267.176908724</v>
      </c>
      <c r="Q203" s="228">
        <f t="shared" si="11"/>
        <v>1346.4013655378233</v>
      </c>
      <c r="R203" s="234">
        <v>6340.7358571430004</v>
      </c>
      <c r="S203" s="234">
        <v>128.592957756</v>
      </c>
      <c r="T203" s="228">
        <f t="shared" si="12"/>
        <v>136.63264594646796</v>
      </c>
      <c r="U203" s="218"/>
      <c r="V203" s="218"/>
      <c r="W203" s="218"/>
      <c r="X203" s="218"/>
      <c r="Y203" s="218"/>
      <c r="Z203" s="218"/>
      <c r="AA203" s="218"/>
      <c r="AB203" s="218"/>
      <c r="AC203" s="218"/>
      <c r="AD203" s="218"/>
      <c r="AE203" s="218"/>
      <c r="AF203" s="218"/>
    </row>
    <row r="204" spans="1:32" x14ac:dyDescent="0.2">
      <c r="A204" s="1">
        <v>2</v>
      </c>
      <c r="C204" s="98">
        <f>+E204-E203</f>
        <v>210.94903078835901</v>
      </c>
      <c r="D204" s="92">
        <f>+G204-G203</f>
        <v>192.89311593057502</v>
      </c>
      <c r="E204" s="1">
        <v>428.24661249568101</v>
      </c>
      <c r="G204" s="1">
        <v>394.08988968551603</v>
      </c>
      <c r="I204" s="1">
        <v>144.30000000000001</v>
      </c>
      <c r="J204" s="1">
        <v>2</v>
      </c>
      <c r="L204" s="116">
        <v>19039.287573122998</v>
      </c>
      <c r="M204" s="116">
        <v>795.20392340999979</v>
      </c>
      <c r="N204" s="105">
        <f t="shared" si="15"/>
        <v>835.55193490849956</v>
      </c>
      <c r="O204" s="116">
        <v>5385.3991579709982</v>
      </c>
      <c r="P204" s="234">
        <v>991.5183596400002</v>
      </c>
      <c r="Q204" s="228">
        <f t="shared" si="11"/>
        <v>1041.827208726377</v>
      </c>
      <c r="R204" s="234">
        <v>10107.700518632999</v>
      </c>
      <c r="S204" s="234">
        <v>152.61472035099999</v>
      </c>
      <c r="T204" s="228">
        <f t="shared" si="12"/>
        <v>160.35826928264632</v>
      </c>
      <c r="U204" s="218"/>
      <c r="V204" s="218"/>
      <c r="W204" s="218"/>
      <c r="X204" s="218"/>
      <c r="Y204" s="218"/>
      <c r="Z204" s="218"/>
      <c r="AA204" s="218"/>
      <c r="AB204" s="218"/>
      <c r="AC204" s="218"/>
      <c r="AD204" s="218"/>
      <c r="AE204" s="218"/>
      <c r="AF204" s="218"/>
    </row>
    <row r="205" spans="1:32" x14ac:dyDescent="0.2">
      <c r="A205" s="1">
        <v>3</v>
      </c>
      <c r="C205" s="98">
        <f>+E205-E204</f>
        <v>193.64755294266695</v>
      </c>
      <c r="D205" s="92">
        <f>+G205-G204</f>
        <v>175.641874720337</v>
      </c>
      <c r="E205" s="1">
        <v>621.89416543834795</v>
      </c>
      <c r="G205" s="1">
        <v>569.73176440585303</v>
      </c>
      <c r="I205" s="1">
        <v>145.30000000000001</v>
      </c>
      <c r="J205" s="1">
        <v>3</v>
      </c>
      <c r="L205" s="116">
        <v>25325.005330874006</v>
      </c>
      <c r="M205" s="116">
        <v>1404.3111468839998</v>
      </c>
      <c r="N205" s="105">
        <f t="shared" si="15"/>
        <v>1465.4094742541645</v>
      </c>
      <c r="O205" s="116">
        <v>9666.7747891530034</v>
      </c>
      <c r="P205" s="234">
        <v>1492.4533452979995</v>
      </c>
      <c r="Q205" s="228">
        <f t="shared" si="11"/>
        <v>1557.3865356939077</v>
      </c>
      <c r="R205" s="234">
        <v>10325.156290487997</v>
      </c>
      <c r="S205" s="234">
        <v>149.15188867200001</v>
      </c>
      <c r="T205" s="228">
        <f t="shared" si="12"/>
        <v>155.64114209862186</v>
      </c>
      <c r="U205" s="218"/>
      <c r="V205" s="218"/>
      <c r="W205" s="218"/>
      <c r="X205" s="218"/>
      <c r="Y205" s="218"/>
      <c r="Z205" s="218"/>
      <c r="AA205" s="218"/>
      <c r="AB205" s="218"/>
      <c r="AC205" s="218"/>
      <c r="AD205" s="218"/>
      <c r="AE205" s="218"/>
      <c r="AF205" s="218"/>
    </row>
    <row r="206" spans="1:32" x14ac:dyDescent="0.2">
      <c r="A206" s="1">
        <v>4</v>
      </c>
      <c r="C206" s="98">
        <f>+E206-E205</f>
        <v>194.66297676649504</v>
      </c>
      <c r="D206" s="92">
        <f>+G206-G205</f>
        <v>178.45454935802093</v>
      </c>
      <c r="E206" s="1">
        <v>816.55714220484299</v>
      </c>
      <c r="G206" s="1">
        <v>748.18631376387395</v>
      </c>
      <c r="I206" s="1">
        <v>146.69999999999999</v>
      </c>
      <c r="J206" s="1">
        <v>4</v>
      </c>
      <c r="L206" s="116">
        <v>18369.446222722992</v>
      </c>
      <c r="M206" s="116">
        <v>962.00640138500057</v>
      </c>
      <c r="N206" s="105">
        <f t="shared" si="15"/>
        <v>994.2809401635725</v>
      </c>
      <c r="O206" s="116">
        <v>6575.4640743699983</v>
      </c>
      <c r="P206" s="234">
        <v>1222.1149542560006</v>
      </c>
      <c r="Q206" s="228">
        <f t="shared" si="11"/>
        <v>1263.1159251707695</v>
      </c>
      <c r="R206" s="234">
        <v>7957.0224983410008</v>
      </c>
      <c r="S206" s="234">
        <v>147.86469469900001</v>
      </c>
      <c r="T206" s="228">
        <f t="shared" si="12"/>
        <v>152.82543593333477</v>
      </c>
      <c r="U206" s="218"/>
      <c r="V206" s="218"/>
      <c r="W206" s="218"/>
      <c r="X206" s="218"/>
      <c r="Y206" s="218"/>
      <c r="Z206" s="218"/>
      <c r="AA206" s="218"/>
      <c r="AB206" s="218"/>
      <c r="AC206" s="218"/>
      <c r="AD206" s="218"/>
      <c r="AE206" s="218"/>
      <c r="AF206" s="218"/>
    </row>
    <row r="207" spans="1:32" x14ac:dyDescent="0.2">
      <c r="A207" s="1">
        <v>1</v>
      </c>
      <c r="B207" s="1">
        <v>2017</v>
      </c>
      <c r="C207" s="98">
        <f>E207</f>
        <v>227.02914608932699</v>
      </c>
      <c r="D207" s="92">
        <f>G207</f>
        <v>210.737716871462</v>
      </c>
      <c r="E207" s="1">
        <v>227.02914608932699</v>
      </c>
      <c r="G207" s="1">
        <v>210.737716871462</v>
      </c>
      <c r="I207" s="1">
        <v>146.4</v>
      </c>
      <c r="J207" s="1">
        <v>1</v>
      </c>
      <c r="K207" s="1">
        <v>2017</v>
      </c>
      <c r="L207" s="191">
        <v>20188.970584052</v>
      </c>
      <c r="M207" s="191">
        <v>1029.1484993670001</v>
      </c>
      <c r="N207" s="193">
        <f t="shared" si="15"/>
        <v>1065.8552644912804</v>
      </c>
      <c r="O207" s="191">
        <v>7124.2571060979999</v>
      </c>
      <c r="P207" s="235">
        <v>1296.4468783369998</v>
      </c>
      <c r="Q207" s="236">
        <f t="shared" si="11"/>
        <v>1342.687407365117</v>
      </c>
      <c r="R207" s="235">
        <v>6121.3819215860003</v>
      </c>
      <c r="S207" s="235">
        <v>141.149656131</v>
      </c>
      <c r="T207" s="236">
        <f t="shared" si="12"/>
        <v>146.18405814213867</v>
      </c>
      <c r="U207" s="218"/>
      <c r="V207" s="218"/>
      <c r="W207" s="218"/>
      <c r="X207" s="218"/>
      <c r="Y207" s="218"/>
      <c r="Z207" s="218"/>
      <c r="AA207" s="218"/>
      <c r="AB207" s="218"/>
      <c r="AC207" s="218"/>
      <c r="AD207" s="218"/>
      <c r="AE207" s="218"/>
      <c r="AF207" s="218"/>
    </row>
    <row r="208" spans="1:32" x14ac:dyDescent="0.2">
      <c r="A208" s="1">
        <v>2</v>
      </c>
      <c r="C208" s="98">
        <f>+E208-E207</f>
        <v>200.76722202181199</v>
      </c>
      <c r="D208" s="92">
        <f>+G208-G207</f>
        <v>183.70797761744905</v>
      </c>
      <c r="E208" s="1">
        <v>427.79636811113897</v>
      </c>
      <c r="G208" s="1">
        <v>394.44569448891104</v>
      </c>
      <c r="I208" s="1">
        <v>147.4</v>
      </c>
      <c r="J208" s="1">
        <v>2</v>
      </c>
      <c r="L208" s="191">
        <v>16357.538075795001</v>
      </c>
      <c r="M208" s="191">
        <v>768.50776898899994</v>
      </c>
      <c r="N208" s="193">
        <f t="shared" si="15"/>
        <v>790.51851275708145</v>
      </c>
      <c r="O208" s="191">
        <v>5007.3623026510004</v>
      </c>
      <c r="P208" s="235">
        <v>1681.8190342150001</v>
      </c>
      <c r="Q208" s="236">
        <f t="shared" si="11"/>
        <v>1729.9878222483173</v>
      </c>
      <c r="R208" s="235">
        <v>7194.9193664359991</v>
      </c>
      <c r="S208" s="235">
        <v>119.946167266</v>
      </c>
      <c r="T208" s="236">
        <f t="shared" si="12"/>
        <v>123.38153182598164</v>
      </c>
      <c r="U208" s="218"/>
      <c r="V208" s="218"/>
      <c r="W208" s="218"/>
      <c r="X208" s="218"/>
      <c r="Y208" s="218"/>
      <c r="Z208" s="218"/>
      <c r="AA208" s="218"/>
      <c r="AB208" s="218"/>
      <c r="AC208" s="218"/>
      <c r="AD208" s="218"/>
      <c r="AE208" s="218"/>
      <c r="AF208" s="218"/>
    </row>
    <row r="209" spans="1:32" x14ac:dyDescent="0.2">
      <c r="A209" s="1">
        <v>3</v>
      </c>
      <c r="C209" s="98">
        <f>+E209-E208</f>
        <v>195.05863188886104</v>
      </c>
      <c r="D209" s="92">
        <f>+G209-G208</f>
        <v>176.76630551108894</v>
      </c>
      <c r="E209" s="1">
        <v>622.85500000000002</v>
      </c>
      <c r="G209" s="1">
        <v>571.21199999999999</v>
      </c>
      <c r="I209" s="1">
        <v>147.30000000000001</v>
      </c>
      <c r="J209" s="1">
        <v>3</v>
      </c>
      <c r="L209" s="191">
        <v>19399</v>
      </c>
      <c r="M209" s="191">
        <v>907</v>
      </c>
      <c r="N209" s="193">
        <f t="shared" si="15"/>
        <v>933.61066983480407</v>
      </c>
      <c r="O209" s="191">
        <v>8892</v>
      </c>
      <c r="P209" s="235">
        <v>954</v>
      </c>
      <c r="Q209" s="236">
        <f t="shared" si="11"/>
        <v>981.98961303462295</v>
      </c>
      <c r="R209" s="235">
        <v>8727</v>
      </c>
      <c r="S209" s="235">
        <v>128</v>
      </c>
      <c r="T209" s="236">
        <f t="shared" si="12"/>
        <v>131.75541977823033</v>
      </c>
      <c r="U209" s="218"/>
      <c r="V209" s="218"/>
      <c r="W209" s="218"/>
      <c r="X209" s="218"/>
      <c r="Y209" s="218"/>
      <c r="Z209" s="218"/>
      <c r="AA209" s="218"/>
      <c r="AB209" s="218"/>
      <c r="AC209" s="218"/>
      <c r="AD209" s="218"/>
      <c r="AE209" s="218"/>
      <c r="AF209" s="218"/>
    </row>
    <row r="210" spans="1:32" x14ac:dyDescent="0.2">
      <c r="A210" s="1">
        <v>4</v>
      </c>
      <c r="C210" s="98">
        <f>+E210-E209</f>
        <v>225.423</v>
      </c>
      <c r="D210" s="92">
        <f>+G210-G209</f>
        <v>208.21799999999996</v>
      </c>
      <c r="E210" s="1">
        <v>848.27800000000002</v>
      </c>
      <c r="G210" s="1">
        <v>779.43</v>
      </c>
      <c r="I210" s="1">
        <v>148.4</v>
      </c>
      <c r="J210" s="1">
        <v>4</v>
      </c>
      <c r="L210" s="191">
        <v>23333</v>
      </c>
      <c r="M210" s="191">
        <v>1141</v>
      </c>
      <c r="N210" s="193">
        <f t="shared" si="15"/>
        <v>1165.7703616352198</v>
      </c>
      <c r="O210" s="191">
        <v>6366</v>
      </c>
      <c r="P210" s="235">
        <v>1205</v>
      </c>
      <c r="Q210" s="236">
        <f t="shared" si="11"/>
        <v>1231.15975965858</v>
      </c>
      <c r="R210" s="235">
        <v>7520</v>
      </c>
      <c r="S210" s="235">
        <v>124</v>
      </c>
      <c r="T210" s="236">
        <f t="shared" si="12"/>
        <v>126.69195867026053</v>
      </c>
      <c r="U210" s="218"/>
      <c r="V210" s="218"/>
      <c r="W210" s="218"/>
      <c r="X210" s="218"/>
      <c r="Y210" s="218"/>
      <c r="Z210" s="218"/>
      <c r="AA210" s="218"/>
      <c r="AB210" s="218"/>
      <c r="AC210" s="218"/>
      <c r="AD210" s="218"/>
      <c r="AE210" s="218"/>
      <c r="AF210" s="218"/>
    </row>
    <row r="211" spans="1:32" x14ac:dyDescent="0.2">
      <c r="A211" s="185">
        <v>1</v>
      </c>
      <c r="B211" s="185">
        <v>2018</v>
      </c>
      <c r="C211" s="186">
        <f>+E211</f>
        <v>241.52799999999999</v>
      </c>
      <c r="D211" s="187">
        <f>+G211</f>
        <v>222.678</v>
      </c>
      <c r="E211" s="185">
        <v>241.52799999999999</v>
      </c>
      <c r="F211" s="185"/>
      <c r="G211" s="185">
        <v>222.678</v>
      </c>
      <c r="H211" s="185"/>
      <c r="I211" s="185">
        <v>149.69999999999999</v>
      </c>
      <c r="J211" s="185">
        <v>1</v>
      </c>
      <c r="K211" s="185">
        <v>2018</v>
      </c>
      <c r="L211" s="192">
        <v>25111</v>
      </c>
      <c r="M211" s="192">
        <v>1175</v>
      </c>
      <c r="N211" s="194">
        <f t="shared" si="15"/>
        <v>1190.0832219995546</v>
      </c>
      <c r="O211" s="192">
        <v>6317</v>
      </c>
      <c r="P211" s="235">
        <v>1262</v>
      </c>
      <c r="Q211" s="236">
        <f t="shared" si="11"/>
        <v>1278.2000222667557</v>
      </c>
      <c r="R211" s="235">
        <v>5433</v>
      </c>
      <c r="S211" s="235">
        <v>116</v>
      </c>
      <c r="T211" s="236">
        <f t="shared" si="12"/>
        <v>117.48906702293475</v>
      </c>
      <c r="U211" s="218"/>
      <c r="V211" s="218"/>
      <c r="W211" s="218"/>
      <c r="X211" s="218"/>
      <c r="Y211" s="218"/>
      <c r="Z211" s="218"/>
      <c r="AA211" s="218"/>
      <c r="AB211" s="218"/>
      <c r="AC211" s="218"/>
      <c r="AD211" s="218"/>
      <c r="AE211" s="218"/>
      <c r="AF211" s="218"/>
    </row>
    <row r="212" spans="1:32" x14ac:dyDescent="0.2">
      <c r="A212" s="185">
        <v>2</v>
      </c>
      <c r="B212" s="185"/>
      <c r="C212" s="186">
        <f>+E212-E211</f>
        <v>226.77080239162902</v>
      </c>
      <c r="D212" s="187">
        <f>+G212-G211</f>
        <v>208.83864191330298</v>
      </c>
      <c r="E212" s="185">
        <v>468.29880239162901</v>
      </c>
      <c r="F212" s="185"/>
      <c r="G212" s="185">
        <v>431.51664191330298</v>
      </c>
      <c r="H212" s="185"/>
      <c r="I212" s="185">
        <v>150.80000000000001</v>
      </c>
      <c r="J212" s="185">
        <v>2</v>
      </c>
      <c r="K212" s="185"/>
      <c r="L212" s="192">
        <v>20973.437462450995</v>
      </c>
      <c r="M212" s="192">
        <v>1076.7915513600001</v>
      </c>
      <c r="N212" s="194">
        <f t="shared" si="15"/>
        <v>1082.658684812923</v>
      </c>
      <c r="O212" s="192">
        <v>5869.5992710140017</v>
      </c>
      <c r="P212" s="235">
        <v>1471.9660798479999</v>
      </c>
      <c r="Q212" s="236">
        <f t="shared" si="11"/>
        <v>1479.9864078471712</v>
      </c>
      <c r="R212" s="235">
        <v>9319.6839472049996</v>
      </c>
      <c r="S212" s="235">
        <v>135.61776245999999</v>
      </c>
      <c r="T212" s="236">
        <f t="shared" si="12"/>
        <v>136.35670539648072</v>
      </c>
      <c r="U212" s="218"/>
      <c r="V212" s="218"/>
      <c r="W212" s="218"/>
      <c r="X212" s="218"/>
      <c r="Y212" s="218"/>
      <c r="Z212" s="218"/>
      <c r="AA212" s="218"/>
      <c r="AB212" s="218"/>
      <c r="AC212" s="218"/>
      <c r="AD212" s="218"/>
      <c r="AE212" s="218"/>
      <c r="AF212" s="218"/>
    </row>
    <row r="213" spans="1:32" x14ac:dyDescent="0.2">
      <c r="A213" s="1">
        <v>3</v>
      </c>
      <c r="C213" s="186">
        <f>+E213-E212</f>
        <v>230.04425590433505</v>
      </c>
      <c r="D213" s="98">
        <f>+G213-G212</f>
        <v>207.39460472346803</v>
      </c>
      <c r="E213" s="98">
        <v>698.34305829596406</v>
      </c>
      <c r="G213" s="1">
        <v>638.91124663677101</v>
      </c>
      <c r="I213" s="1">
        <v>152.30000000000001</v>
      </c>
      <c r="J213" s="1">
        <v>3</v>
      </c>
      <c r="L213" s="192">
        <v>22635.655438734771</v>
      </c>
      <c r="M213" s="192">
        <v>1212.1884087902995</v>
      </c>
      <c r="N213" s="192">
        <f t="shared" si="15"/>
        <v>1206.7894081076811</v>
      </c>
      <c r="O213" s="192">
        <v>10333.380031159912</v>
      </c>
      <c r="P213" s="235">
        <v>1822.4517080118057</v>
      </c>
      <c r="Q213" s="236">
        <f t="shared" si="11"/>
        <v>1814.3346381369879</v>
      </c>
      <c r="R213" s="235">
        <v>9726.2967189440697</v>
      </c>
      <c r="S213" s="235">
        <v>150.27129325880639</v>
      </c>
      <c r="T213" s="236">
        <f t="shared" si="12"/>
        <v>149.60199564054926</v>
      </c>
      <c r="U213" s="218"/>
      <c r="V213" s="218"/>
      <c r="W213" s="218"/>
      <c r="X213" s="218"/>
      <c r="Y213" s="218"/>
      <c r="Z213" s="218"/>
      <c r="AA213" s="218"/>
      <c r="AB213" s="218"/>
      <c r="AC213" s="218"/>
      <c r="AD213" s="218"/>
      <c r="AE213" s="218"/>
      <c r="AF213" s="218"/>
    </row>
    <row r="214" spans="1:32" x14ac:dyDescent="0.2">
      <c r="A214" s="1">
        <v>4</v>
      </c>
      <c r="C214" s="186">
        <f>+E214-E213</f>
        <v>212.66674917787793</v>
      </c>
      <c r="D214" s="189">
        <f>+G214-G213</f>
        <v>195.66619934230198</v>
      </c>
      <c r="E214" s="98">
        <v>911.00980747384199</v>
      </c>
      <c r="G214" s="1">
        <v>834.57744597907299</v>
      </c>
      <c r="I214" s="1">
        <v>153.6</v>
      </c>
      <c r="J214" s="1">
        <v>4</v>
      </c>
      <c r="L214" s="191">
        <v>22335.438371541502</v>
      </c>
      <c r="M214" s="191">
        <v>1078.6341079945755</v>
      </c>
      <c r="N214" s="193">
        <f t="shared" si="15"/>
        <v>1064.7415441253311</v>
      </c>
      <c r="O214" s="191">
        <v>7362.2217963768126</v>
      </c>
      <c r="P214" s="235">
        <v>1452.0805351783911</v>
      </c>
      <c r="Q214" s="236">
        <f t="shared" si="11"/>
        <v>1433.3780656118029</v>
      </c>
      <c r="R214" s="235">
        <v>8182.2589673913026</v>
      </c>
      <c r="S214" s="235">
        <v>116.53210966099653</v>
      </c>
      <c r="T214" s="236">
        <f t="shared" si="12"/>
        <v>115.03120238921264</v>
      </c>
      <c r="U214" s="218"/>
      <c r="V214" s="218"/>
      <c r="W214" s="218"/>
      <c r="X214" s="218"/>
      <c r="Y214" s="218"/>
      <c r="Z214" s="218"/>
      <c r="AA214" s="218"/>
      <c r="AB214" s="218"/>
      <c r="AC214" s="218"/>
      <c r="AD214" s="218"/>
      <c r="AE214" s="218"/>
      <c r="AF214" s="218"/>
    </row>
    <row r="215" spans="1:32" x14ac:dyDescent="0.2">
      <c r="A215" s="1">
        <v>1</v>
      </c>
      <c r="B215" s="1">
        <v>2019</v>
      </c>
      <c r="C215" s="186">
        <f>+E215</f>
        <v>242.05576995515699</v>
      </c>
      <c r="D215" s="98">
        <f>+G215</f>
        <v>223.58363596412599</v>
      </c>
      <c r="E215" s="189">
        <v>242.05576995515699</v>
      </c>
      <c r="F215" s="190"/>
      <c r="G215" s="190">
        <v>223.58363596412599</v>
      </c>
      <c r="H215" s="190"/>
      <c r="I215" s="185">
        <v>154.1</v>
      </c>
      <c r="J215" s="1">
        <v>1</v>
      </c>
      <c r="K215" s="1">
        <v>2019</v>
      </c>
      <c r="L215" s="192">
        <v>22394.924612648225</v>
      </c>
      <c r="M215" s="192">
        <v>1151.1138601930163</v>
      </c>
      <c r="N215" s="193">
        <f t="shared" si="15"/>
        <v>1132.6009215156744</v>
      </c>
      <c r="O215" s="192">
        <v>6179.0660115942028</v>
      </c>
      <c r="P215" s="235">
        <v>1384.5030606846908</v>
      </c>
      <c r="Q215" s="236">
        <f t="shared" si="11"/>
        <v>1362.2366097736142</v>
      </c>
      <c r="R215" s="235">
        <v>6840.1016739130437</v>
      </c>
      <c r="S215" s="235">
        <v>122.43916062391185</v>
      </c>
      <c r="T215" s="236">
        <f t="shared" si="12"/>
        <v>120.47001686609487</v>
      </c>
      <c r="U215" s="218"/>
      <c r="V215" s="218"/>
      <c r="W215" s="218"/>
      <c r="X215" s="218"/>
      <c r="Y215" s="218"/>
      <c r="Z215" s="218"/>
      <c r="AA215" s="218"/>
      <c r="AB215" s="218"/>
      <c r="AC215" s="218"/>
      <c r="AD215" s="218"/>
      <c r="AE215" s="218"/>
      <c r="AF215" s="218"/>
    </row>
    <row r="216" spans="1:32" x14ac:dyDescent="0.2">
      <c r="A216" s="1">
        <v>2</v>
      </c>
      <c r="C216" s="188">
        <f>+E216-E215</f>
        <v>221.71122705530601</v>
      </c>
      <c r="D216" s="189">
        <f>+G216-G215</f>
        <v>199.97176164424499</v>
      </c>
      <c r="E216" s="189">
        <v>463.766997010463</v>
      </c>
      <c r="F216" s="190"/>
      <c r="G216" s="190">
        <v>423.55539760837098</v>
      </c>
      <c r="H216" s="190"/>
      <c r="I216" s="185">
        <v>154.6</v>
      </c>
      <c r="J216" s="1">
        <v>2</v>
      </c>
      <c r="L216" s="192">
        <v>19703.243703557309</v>
      </c>
      <c r="M216" s="192">
        <v>1006.9446819648526</v>
      </c>
      <c r="N216" s="193">
        <f t="shared" si="15"/>
        <v>987.54612497184689</v>
      </c>
      <c r="O216" s="192">
        <v>8628.701004347824</v>
      </c>
      <c r="P216" s="235">
        <v>1346.7424148398591</v>
      </c>
      <c r="Q216" s="236">
        <f>P216/I216*$I$69</f>
        <v>1320.7977329153352</v>
      </c>
      <c r="R216" s="235">
        <v>10227.612341614906</v>
      </c>
      <c r="S216" s="235">
        <v>141.53554504088498</v>
      </c>
      <c r="T216" s="236">
        <f t="shared" si="12"/>
        <v>138.80889541833147</v>
      </c>
      <c r="U216" s="218"/>
      <c r="V216" s="218"/>
      <c r="W216" s="218"/>
      <c r="X216" s="218"/>
      <c r="Y216" s="218"/>
      <c r="Z216" s="218"/>
      <c r="AA216" s="218"/>
      <c r="AB216" s="218"/>
      <c r="AC216" s="218"/>
      <c r="AD216" s="218"/>
      <c r="AE216" s="218"/>
      <c r="AF216" s="218"/>
    </row>
    <row r="217" spans="1:32" x14ac:dyDescent="0.2">
      <c r="P217" s="218"/>
      <c r="Q217" s="218"/>
      <c r="R217" s="218"/>
      <c r="S217" s="218"/>
      <c r="T217" s="218"/>
      <c r="U217" s="218"/>
      <c r="V217" s="218"/>
      <c r="W217" s="218"/>
      <c r="X217" s="218"/>
      <c r="Y217" s="218"/>
      <c r="Z217" s="218"/>
      <c r="AA217" s="218"/>
      <c r="AB217" s="218"/>
      <c r="AC217" s="218"/>
      <c r="AD217" s="218"/>
      <c r="AE217" s="218"/>
      <c r="AF217" s="218"/>
    </row>
    <row r="218" spans="1:32" x14ac:dyDescent="0.2">
      <c r="P218" s="218"/>
      <c r="Q218" s="218"/>
      <c r="R218" s="218"/>
      <c r="S218" s="218"/>
      <c r="T218" s="218"/>
      <c r="U218" s="218"/>
      <c r="V218" s="218"/>
      <c r="W218" s="218"/>
      <c r="X218" s="218"/>
      <c r="Y218" s="218"/>
      <c r="Z218" s="218"/>
      <c r="AA218" s="218"/>
      <c r="AB218" s="218"/>
      <c r="AC218" s="218"/>
      <c r="AD218" s="218"/>
      <c r="AE218" s="218"/>
      <c r="AF218" s="218"/>
    </row>
    <row r="219" spans="1:32" x14ac:dyDescent="0.2">
      <c r="P219" s="218"/>
      <c r="Q219" s="218"/>
      <c r="R219" s="218"/>
      <c r="S219" s="218"/>
      <c r="T219" s="218"/>
      <c r="U219" s="218"/>
      <c r="V219" s="218"/>
      <c r="W219" s="218"/>
      <c r="X219" s="218"/>
      <c r="Y219" s="218"/>
      <c r="Z219" s="218"/>
      <c r="AA219" s="218"/>
      <c r="AB219" s="218"/>
      <c r="AC219" s="218"/>
      <c r="AD219" s="218"/>
      <c r="AE219" s="218"/>
      <c r="AF219" s="218"/>
    </row>
    <row r="220" spans="1:32" x14ac:dyDescent="0.2">
      <c r="P220" s="218"/>
      <c r="Q220" s="218"/>
      <c r="R220" s="218"/>
      <c r="S220" s="218"/>
      <c r="T220" s="218"/>
      <c r="U220" s="218"/>
      <c r="V220" s="218"/>
      <c r="W220" s="218"/>
      <c r="X220" s="218"/>
      <c r="Y220" s="218"/>
      <c r="Z220" s="218"/>
      <c r="AA220" s="218"/>
      <c r="AB220" s="218"/>
      <c r="AC220" s="218"/>
      <c r="AD220" s="218"/>
      <c r="AE220" s="218"/>
      <c r="AF220" s="218"/>
    </row>
    <row r="221" spans="1:32" x14ac:dyDescent="0.2">
      <c r="P221" s="218"/>
      <c r="Q221" s="218"/>
      <c r="R221" s="218"/>
      <c r="S221" s="218"/>
      <c r="T221" s="218"/>
      <c r="U221" s="218"/>
      <c r="V221" s="218"/>
      <c r="W221" s="218"/>
      <c r="X221" s="218"/>
      <c r="Y221" s="218"/>
      <c r="Z221" s="218"/>
      <c r="AA221" s="218"/>
      <c r="AB221" s="218"/>
      <c r="AC221" s="218"/>
      <c r="AD221" s="218"/>
      <c r="AE221" s="218"/>
      <c r="AF221" s="218"/>
    </row>
    <row r="222" spans="1:32" x14ac:dyDescent="0.2">
      <c r="P222" s="218"/>
      <c r="Q222" s="218"/>
      <c r="R222" s="218"/>
      <c r="S222" s="218"/>
      <c r="T222" s="218"/>
      <c r="U222" s="218"/>
      <c r="V222" s="218"/>
      <c r="W222" s="218"/>
      <c r="X222" s="218"/>
      <c r="Y222" s="218"/>
      <c r="Z222" s="218"/>
      <c r="AA222" s="218"/>
      <c r="AB222" s="218"/>
      <c r="AC222" s="218"/>
      <c r="AD222" s="218"/>
      <c r="AE222" s="218"/>
      <c r="AF222" s="218"/>
    </row>
    <row r="223" spans="1:32" x14ac:dyDescent="0.2">
      <c r="P223" s="218"/>
      <c r="Q223" s="218"/>
      <c r="R223" s="218"/>
      <c r="S223" s="218"/>
      <c r="T223" s="218"/>
      <c r="U223" s="218"/>
      <c r="V223" s="218"/>
      <c r="W223" s="218"/>
      <c r="X223" s="218"/>
      <c r="Y223" s="218"/>
      <c r="Z223" s="218"/>
      <c r="AA223" s="218"/>
      <c r="AB223" s="218"/>
      <c r="AC223" s="218"/>
      <c r="AD223" s="218"/>
      <c r="AE223" s="218"/>
      <c r="AF223" s="218"/>
    </row>
    <row r="224" spans="1:32" x14ac:dyDescent="0.2">
      <c r="P224" s="218"/>
      <c r="Q224" s="218"/>
      <c r="R224" s="218"/>
      <c r="S224" s="218"/>
      <c r="T224" s="218"/>
      <c r="U224" s="218"/>
      <c r="V224" s="218"/>
      <c r="W224" s="218"/>
      <c r="X224" s="218"/>
      <c r="Y224" s="218"/>
      <c r="Z224" s="218"/>
      <c r="AA224" s="218"/>
      <c r="AB224" s="218"/>
      <c r="AC224" s="218"/>
      <c r="AD224" s="218"/>
      <c r="AE224" s="218"/>
      <c r="AF224" s="218"/>
    </row>
    <row r="225" spans="5:32" x14ac:dyDescent="0.2">
      <c r="P225" s="218"/>
      <c r="Q225" s="218"/>
      <c r="R225" s="218"/>
      <c r="S225" s="218"/>
      <c r="T225" s="218"/>
      <c r="U225" s="237"/>
      <c r="V225" s="218"/>
      <c r="W225" s="218"/>
      <c r="X225" s="218"/>
      <c r="Y225" s="218"/>
      <c r="Z225" s="218"/>
      <c r="AA225" s="218"/>
      <c r="AB225" s="218"/>
      <c r="AC225" s="218"/>
      <c r="AD225" s="218"/>
      <c r="AE225" s="218"/>
      <c r="AF225" s="218"/>
    </row>
    <row r="226" spans="5:32" x14ac:dyDescent="0.2">
      <c r="P226" s="218"/>
      <c r="Q226" s="218"/>
      <c r="R226" s="218"/>
      <c r="S226" s="218"/>
      <c r="T226" s="218"/>
      <c r="U226" s="218"/>
      <c r="V226" s="218"/>
      <c r="W226" s="218"/>
      <c r="X226" s="218"/>
      <c r="Y226" s="218"/>
      <c r="Z226" s="218"/>
      <c r="AA226" s="218"/>
      <c r="AB226" s="218"/>
      <c r="AC226" s="218"/>
      <c r="AD226" s="218"/>
      <c r="AE226" s="218"/>
      <c r="AF226" s="218"/>
    </row>
    <row r="227" spans="5:32" x14ac:dyDescent="0.2">
      <c r="P227" s="218"/>
      <c r="Q227" s="218"/>
      <c r="R227" s="218"/>
      <c r="S227" s="218"/>
      <c r="T227" s="218"/>
      <c r="U227" s="218"/>
      <c r="V227" s="218"/>
      <c r="W227" s="218"/>
      <c r="X227" s="218"/>
      <c r="Y227" s="218"/>
      <c r="Z227" s="218"/>
      <c r="AA227" s="218"/>
      <c r="AB227" s="218"/>
      <c r="AC227" s="218"/>
      <c r="AD227" s="218"/>
      <c r="AE227" s="218"/>
      <c r="AF227" s="218"/>
    </row>
    <row r="228" spans="5:32" x14ac:dyDescent="0.2">
      <c r="P228" s="218"/>
      <c r="Q228" s="218"/>
      <c r="R228" s="218"/>
      <c r="S228" s="218"/>
      <c r="T228" s="218"/>
      <c r="U228" s="218"/>
      <c r="V228" s="218"/>
      <c r="W228" s="218"/>
      <c r="X228" s="218"/>
      <c r="Y228" s="218"/>
      <c r="Z228" s="218"/>
      <c r="AA228" s="218"/>
      <c r="AB228" s="218"/>
      <c r="AC228" s="218"/>
      <c r="AD228" s="218"/>
      <c r="AE228" s="218"/>
      <c r="AF228" s="218"/>
    </row>
    <row r="229" spans="5:32" x14ac:dyDescent="0.2">
      <c r="P229" s="218"/>
      <c r="Q229" s="218"/>
      <c r="R229" s="218"/>
      <c r="S229" s="218"/>
      <c r="T229" s="218"/>
      <c r="U229" s="218"/>
      <c r="V229" s="218"/>
      <c r="W229" s="218"/>
      <c r="X229" s="218"/>
      <c r="Y229" s="218"/>
      <c r="Z229" s="218"/>
      <c r="AA229" s="218"/>
      <c r="AB229" s="218"/>
      <c r="AC229" s="218"/>
      <c r="AD229" s="218"/>
      <c r="AE229" s="218"/>
      <c r="AF229" s="218"/>
    </row>
    <row r="230" spans="5:32" x14ac:dyDescent="0.2">
      <c r="P230" s="218"/>
      <c r="Q230" s="218"/>
      <c r="R230" s="218"/>
      <c r="S230" s="218"/>
      <c r="T230" s="218"/>
      <c r="U230" s="218"/>
      <c r="V230" s="218"/>
      <c r="W230" s="218"/>
      <c r="X230" s="218"/>
      <c r="Y230" s="218"/>
      <c r="Z230" s="218"/>
      <c r="AA230" s="218"/>
      <c r="AB230" s="218"/>
      <c r="AC230" s="218"/>
      <c r="AD230" s="218"/>
      <c r="AE230" s="218"/>
      <c r="AF230" s="218"/>
    </row>
    <row r="231" spans="5:32" x14ac:dyDescent="0.2">
      <c r="P231" s="218"/>
      <c r="Q231" s="218"/>
      <c r="R231" s="218"/>
      <c r="S231" s="218"/>
      <c r="T231" s="218"/>
      <c r="U231" s="218"/>
      <c r="V231" s="218"/>
      <c r="W231" s="218"/>
      <c r="X231" s="218"/>
      <c r="Y231" s="218"/>
      <c r="Z231" s="218"/>
      <c r="AA231" s="218"/>
      <c r="AB231" s="218"/>
      <c r="AC231" s="218"/>
      <c r="AD231" s="218"/>
      <c r="AE231" s="218"/>
      <c r="AF231" s="218"/>
    </row>
    <row r="232" spans="5:32" x14ac:dyDescent="0.2">
      <c r="E232" s="89" t="s">
        <v>110</v>
      </c>
      <c r="J232" s="118"/>
      <c r="K232" s="119" t="s">
        <v>161</v>
      </c>
      <c r="L232" s="195">
        <f>L234-L215</f>
        <v>19703.243703557309</v>
      </c>
      <c r="M232" s="195">
        <f>M234-M215</f>
        <v>1006.9446819648526</v>
      </c>
      <c r="N232" s="111" t="s">
        <v>175</v>
      </c>
      <c r="O232" s="195">
        <f>O234-O215</f>
        <v>8628.701004347824</v>
      </c>
      <c r="P232" s="238">
        <f>P234-P215</f>
        <v>1346.7424148398591</v>
      </c>
      <c r="Q232" s="239" t="s">
        <v>175</v>
      </c>
      <c r="R232" s="238">
        <f>R234-R215</f>
        <v>10227.612341614906</v>
      </c>
      <c r="S232" s="238">
        <f>S234-S215</f>
        <v>141.53554504088498</v>
      </c>
      <c r="T232" s="240" t="s">
        <v>175</v>
      </c>
      <c r="U232" s="218"/>
      <c r="V232" s="218"/>
      <c r="W232" s="218"/>
      <c r="X232" s="218"/>
      <c r="Y232" s="218"/>
      <c r="Z232" s="218"/>
      <c r="AA232" s="218"/>
      <c r="AB232" s="218"/>
      <c r="AC232" s="218"/>
      <c r="AD232" s="218"/>
      <c r="AE232" s="218"/>
      <c r="AF232" s="218"/>
    </row>
    <row r="233" spans="5:32" x14ac:dyDescent="0.2">
      <c r="E233" s="90">
        <f>IF('Tab5'!E8="",'Tab5'!E7,'Tab5'!E8)/1000</f>
        <v>463.7669970104634</v>
      </c>
      <c r="G233" s="90">
        <f>IF('Tab5'!E10="",'Tab5'!E9,'Tab5'!E10)/1000</f>
        <v>423.5553976083707</v>
      </c>
      <c r="K233" s="103" t="s">
        <v>189</v>
      </c>
      <c r="L233" s="104">
        <f>SUM('Tab7'!E11,'Tab11'!E11)</f>
        <v>85588.697104815627</v>
      </c>
      <c r="M233" s="105">
        <f>SUM('Tab7'!E39,'Tab11'!E39)</f>
        <v>4441.1049645334242</v>
      </c>
      <c r="N233" s="112" t="s">
        <v>174</v>
      </c>
      <c r="O233" s="217">
        <f>SUM('Tab7'!E9,'Tab11'!E9)</f>
        <v>35423.609583742371</v>
      </c>
      <c r="P233" s="236">
        <f>SUM('Tab7'!E37,'Tab11'!E37)</f>
        <v>5620.0523106304963</v>
      </c>
      <c r="Q233" s="241" t="s">
        <v>174</v>
      </c>
      <c r="R233" s="242">
        <f>SUM('Tab7'!E13,'Tab11'!E13)</f>
        <v>37802.632373080422</v>
      </c>
      <c r="S233" s="236">
        <f>SUM('Tab7'!E41,'Tab11'!E41)</f>
        <v>535.60906113028159</v>
      </c>
      <c r="T233" s="243" t="s">
        <v>174</v>
      </c>
      <c r="U233" s="218"/>
      <c r="V233" s="218"/>
      <c r="W233" s="218"/>
      <c r="X233" s="218"/>
      <c r="Y233" s="218"/>
      <c r="Z233" s="218"/>
      <c r="AA233" s="218"/>
      <c r="AB233" s="218"/>
      <c r="AC233" s="218"/>
      <c r="AD233" s="218"/>
      <c r="AE233" s="218"/>
      <c r="AF233" s="218"/>
    </row>
    <row r="234" spans="5:32" x14ac:dyDescent="0.2">
      <c r="K234" s="103" t="s">
        <v>188</v>
      </c>
      <c r="L234" s="104">
        <f>SUM('Tab7'!E12,'Tab11'!E12)</f>
        <v>42098.168316205534</v>
      </c>
      <c r="M234" s="105">
        <f>SUM('Tab7'!E40,'Tab11'!E40)</f>
        <v>2158.0585421578689</v>
      </c>
      <c r="N234" s="112" t="s">
        <v>174</v>
      </c>
      <c r="O234" s="217">
        <f>SUM('Tab7'!E10,'Tab11'!E10)</f>
        <v>14807.767015942027</v>
      </c>
      <c r="P234" s="236">
        <f>SUM('Tab7'!E38,'Tab11'!E38)</f>
        <v>2731.2454755245499</v>
      </c>
      <c r="Q234" s="241" t="s">
        <v>174</v>
      </c>
      <c r="R234" s="242">
        <f>SUM('Tab7'!E14,'Tab11'!E14)</f>
        <v>17067.714015527949</v>
      </c>
      <c r="S234" s="236">
        <f>SUM('Tab7'!E42,'Tab11'!E42)</f>
        <v>263.97470566479683</v>
      </c>
      <c r="T234" s="243" t="s">
        <v>174</v>
      </c>
      <c r="U234" s="218"/>
      <c r="V234" s="218"/>
      <c r="W234" s="218"/>
      <c r="X234" s="218"/>
      <c r="Y234" s="218"/>
      <c r="Z234" s="218"/>
      <c r="AA234" s="218"/>
      <c r="AB234" s="218"/>
      <c r="AC234" s="218"/>
      <c r="AD234" s="218"/>
      <c r="AE234" s="218"/>
      <c r="AF234" s="218"/>
    </row>
    <row r="235" spans="5:32" x14ac:dyDescent="0.2">
      <c r="O235" s="190"/>
      <c r="P235" s="244"/>
      <c r="Q235" s="244"/>
      <c r="R235" s="244"/>
      <c r="S235" s="244"/>
      <c r="T235" s="218"/>
      <c r="U235" s="218"/>
      <c r="V235" s="218"/>
      <c r="W235" s="218"/>
      <c r="X235" s="218"/>
      <c r="Y235" s="218"/>
      <c r="Z235" s="218"/>
      <c r="AA235" s="218"/>
      <c r="AB235" s="218"/>
      <c r="AC235" s="218"/>
      <c r="AD235" s="218"/>
      <c r="AE235" s="218"/>
      <c r="AF235" s="218"/>
    </row>
    <row r="236" spans="5:32" x14ac:dyDescent="0.2">
      <c r="P236" s="218"/>
      <c r="Q236" s="218"/>
      <c r="R236" s="218"/>
      <c r="S236" s="218"/>
      <c r="T236" s="218"/>
      <c r="U236" s="218"/>
      <c r="V236" s="218"/>
      <c r="W236" s="218"/>
      <c r="X236" s="218"/>
      <c r="Y236" s="218"/>
      <c r="Z236" s="218"/>
      <c r="AA236" s="218"/>
      <c r="AB236" s="218"/>
      <c r="AC236" s="218"/>
      <c r="AD236" s="218"/>
      <c r="AE236" s="218"/>
      <c r="AF236" s="218"/>
    </row>
    <row r="237" spans="5:32" x14ac:dyDescent="0.2">
      <c r="P237" s="218"/>
      <c r="Q237" s="218"/>
      <c r="R237" s="218"/>
      <c r="S237" s="218"/>
      <c r="T237" s="218"/>
      <c r="U237" s="218"/>
      <c r="V237" s="218"/>
      <c r="W237" s="218"/>
      <c r="X237" s="218"/>
      <c r="Y237" s="218"/>
      <c r="Z237" s="218"/>
      <c r="AA237" s="218"/>
      <c r="AB237" s="218"/>
      <c r="AC237" s="218"/>
      <c r="AD237" s="218"/>
      <c r="AE237" s="218"/>
      <c r="AF237" s="218"/>
    </row>
    <row r="240" spans="5:32" x14ac:dyDescent="0.2">
      <c r="L240" s="116"/>
      <c r="O240" s="116"/>
    </row>
    <row r="241" spans="4:18" x14ac:dyDescent="0.2">
      <c r="R241" s="116"/>
    </row>
    <row r="248" spans="4:18" x14ac:dyDescent="0.2">
      <c r="L248" s="116"/>
      <c r="M248" s="116">
        <f>+M234-M215</f>
        <v>1006.9446819648526</v>
      </c>
    </row>
    <row r="249" spans="4:18" x14ac:dyDescent="0.2">
      <c r="L249" s="116"/>
    </row>
    <row r="252" spans="4:18" x14ac:dyDescent="0.2">
      <c r="D252" s="116"/>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election activeCell="Y73" sqref="Y73"/>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2</v>
      </c>
      <c r="B7" s="19" t="s">
        <v>3</v>
      </c>
      <c r="C7" s="20">
        <v>1914669.0099414669</v>
      </c>
      <c r="D7" s="20">
        <v>2118780.1395823145</v>
      </c>
      <c r="E7" s="79">
        <v>2243280.4785570083</v>
      </c>
      <c r="F7" s="22" t="s">
        <v>241</v>
      </c>
      <c r="G7" s="23">
        <v>17.162834250165645</v>
      </c>
      <c r="H7" s="24">
        <v>5.8760386058384029</v>
      </c>
    </row>
    <row r="8" spans="1:8" x14ac:dyDescent="0.2">
      <c r="A8" s="203"/>
      <c r="B8" s="25" t="s">
        <v>242</v>
      </c>
      <c r="C8" s="26">
        <v>926212.42606814462</v>
      </c>
      <c r="D8" s="26">
        <v>1015300.2016448583</v>
      </c>
      <c r="E8" s="26">
        <v>1078343.8880946159</v>
      </c>
      <c r="F8" s="27"/>
      <c r="G8" s="28">
        <v>16.42511563705564</v>
      </c>
      <c r="H8" s="29">
        <v>6.2093641218254731</v>
      </c>
    </row>
    <row r="9" spans="1:8" x14ac:dyDescent="0.2">
      <c r="A9" s="30" t="s">
        <v>4</v>
      </c>
      <c r="B9" s="31" t="s">
        <v>3</v>
      </c>
      <c r="C9" s="20">
        <v>659386.10059192823</v>
      </c>
      <c r="D9" s="20">
        <v>682061.20020328846</v>
      </c>
      <c r="E9" s="20">
        <v>689910.28895006247</v>
      </c>
      <c r="F9" s="22" t="s">
        <v>241</v>
      </c>
      <c r="G9" s="32">
        <v>4.6291828612603041</v>
      </c>
      <c r="H9" s="33">
        <v>1.1507895104478223</v>
      </c>
    </row>
    <row r="10" spans="1:8" x14ac:dyDescent="0.2">
      <c r="A10" s="34"/>
      <c r="B10" s="25" t="s">
        <v>242</v>
      </c>
      <c r="C10" s="26">
        <v>347027.69553224539</v>
      </c>
      <c r="D10" s="26">
        <v>364465.6659850523</v>
      </c>
      <c r="E10" s="26">
        <v>366785.13751868467</v>
      </c>
      <c r="F10" s="27"/>
      <c r="G10" s="28">
        <v>5.6933329070859315</v>
      </c>
      <c r="H10" s="29">
        <v>0.6364033021775839</v>
      </c>
    </row>
    <row r="11" spans="1:8" x14ac:dyDescent="0.2">
      <c r="A11" s="30" t="s">
        <v>5</v>
      </c>
      <c r="B11" s="31" t="s">
        <v>3</v>
      </c>
      <c r="C11" s="20">
        <v>188881.58277912228</v>
      </c>
      <c r="D11" s="20">
        <v>226601.60727055313</v>
      </c>
      <c r="E11" s="20">
        <v>216698.73272943246</v>
      </c>
      <c r="F11" s="22" t="s">
        <v>241</v>
      </c>
      <c r="G11" s="37">
        <v>14.727296087326565</v>
      </c>
      <c r="H11" s="33">
        <v>-4.3701695942946372</v>
      </c>
    </row>
    <row r="12" spans="1:8" x14ac:dyDescent="0.2">
      <c r="A12" s="34"/>
      <c r="B12" s="25" t="s">
        <v>242</v>
      </c>
      <c r="C12" s="26">
        <v>80768.67257889366</v>
      </c>
      <c r="D12" s="26">
        <v>103833.13640657702</v>
      </c>
      <c r="E12" s="26">
        <v>96981.859491778654</v>
      </c>
      <c r="F12" s="27"/>
      <c r="G12" s="28">
        <v>20.07360823845184</v>
      </c>
      <c r="H12" s="29">
        <v>-6.5983530421068792</v>
      </c>
    </row>
    <row r="13" spans="1:8" x14ac:dyDescent="0.2">
      <c r="A13" s="30" t="s">
        <v>6</v>
      </c>
      <c r="B13" s="31" t="s">
        <v>3</v>
      </c>
      <c r="C13" s="20">
        <v>312410.11965267966</v>
      </c>
      <c r="D13" s="20">
        <v>401911.93909904256</v>
      </c>
      <c r="E13" s="20">
        <v>462463.75193544652</v>
      </c>
      <c r="F13" s="22" t="s">
        <v>241</v>
      </c>
      <c r="G13" s="23">
        <v>48.030976861309171</v>
      </c>
      <c r="H13" s="24">
        <v>15.065940308253005</v>
      </c>
    </row>
    <row r="14" spans="1:8" x14ac:dyDescent="0.2">
      <c r="A14" s="34"/>
      <c r="B14" s="25" t="s">
        <v>242</v>
      </c>
      <c r="C14" s="26">
        <v>145788.80437477111</v>
      </c>
      <c r="D14" s="26">
        <v>170352.54489963202</v>
      </c>
      <c r="E14" s="26">
        <v>202199.83768464744</v>
      </c>
      <c r="F14" s="27"/>
      <c r="G14" s="38">
        <v>38.693666191859052</v>
      </c>
      <c r="H14" s="24">
        <v>18.694932208837358</v>
      </c>
    </row>
    <row r="15" spans="1:8" x14ac:dyDescent="0.2">
      <c r="A15" s="30" t="s">
        <v>169</v>
      </c>
      <c r="B15" s="31" t="s">
        <v>3</v>
      </c>
      <c r="C15" s="20">
        <v>39410.456254180601</v>
      </c>
      <c r="D15" s="20">
        <v>47104.096671444495</v>
      </c>
      <c r="E15" s="20">
        <v>48093.643556163406</v>
      </c>
      <c r="F15" s="22" t="s">
        <v>241</v>
      </c>
      <c r="G15" s="37">
        <v>22.032699256207437</v>
      </c>
      <c r="H15" s="33">
        <v>2.1007660790548499</v>
      </c>
    </row>
    <row r="16" spans="1:8" x14ac:dyDescent="0.2">
      <c r="A16" s="34"/>
      <c r="B16" s="25" t="s">
        <v>242</v>
      </c>
      <c r="C16" s="26">
        <v>19019.623626183151</v>
      </c>
      <c r="D16" s="26">
        <v>22608.497212931994</v>
      </c>
      <c r="E16" s="26">
        <v>23125.531931836278</v>
      </c>
      <c r="F16" s="27"/>
      <c r="G16" s="28">
        <v>21.587747404216628</v>
      </c>
      <c r="H16" s="29">
        <v>2.2869044060502119</v>
      </c>
    </row>
    <row r="17" spans="1:8" x14ac:dyDescent="0.2">
      <c r="A17" s="30" t="s">
        <v>7</v>
      </c>
      <c r="B17" s="31" t="s">
        <v>3</v>
      </c>
      <c r="C17" s="20">
        <v>10163.02716734694</v>
      </c>
      <c r="D17" s="20">
        <v>10868.335804081633</v>
      </c>
      <c r="E17" s="20">
        <v>9590.2667213430086</v>
      </c>
      <c r="F17" s="22" t="s">
        <v>241</v>
      </c>
      <c r="G17" s="23">
        <v>-5.6357268023858893</v>
      </c>
      <c r="H17" s="24">
        <v>-11.759565638914481</v>
      </c>
    </row>
    <row r="18" spans="1:8" x14ac:dyDescent="0.2">
      <c r="A18" s="30"/>
      <c r="B18" s="25" t="s">
        <v>242</v>
      </c>
      <c r="C18" s="26">
        <v>5397.5735274385315</v>
      </c>
      <c r="D18" s="26">
        <v>5650.9223836734691</v>
      </c>
      <c r="E18" s="26">
        <v>5021.5564408163264</v>
      </c>
      <c r="F18" s="27"/>
      <c r="G18" s="38">
        <v>-6.9664097156013582</v>
      </c>
      <c r="H18" s="24">
        <v>-11.137402004945145</v>
      </c>
    </row>
    <row r="19" spans="1:8" x14ac:dyDescent="0.2">
      <c r="A19" s="39" t="s">
        <v>8</v>
      </c>
      <c r="B19" s="31" t="s">
        <v>3</v>
      </c>
      <c r="C19" s="20">
        <v>4569</v>
      </c>
      <c r="D19" s="20">
        <v>4525</v>
      </c>
      <c r="E19" s="20">
        <v>4667.9372343041978</v>
      </c>
      <c r="F19" s="22" t="s">
        <v>241</v>
      </c>
      <c r="G19" s="37">
        <v>2.1654023704136023</v>
      </c>
      <c r="H19" s="33">
        <v>3.1588339072750955</v>
      </c>
    </row>
    <row r="20" spans="1:8" x14ac:dyDescent="0.2">
      <c r="A20" s="34"/>
      <c r="B20" s="25" t="s">
        <v>242</v>
      </c>
      <c r="C20" s="26">
        <v>2578.0918587428573</v>
      </c>
      <c r="D20" s="26">
        <v>2320</v>
      </c>
      <c r="E20" s="26">
        <v>2468.457142857143</v>
      </c>
      <c r="F20" s="27"/>
      <c r="G20" s="28">
        <v>-4.252552736393767</v>
      </c>
      <c r="H20" s="29">
        <v>6.3990147783251388</v>
      </c>
    </row>
    <row r="21" spans="1:8" x14ac:dyDescent="0.2">
      <c r="A21" s="39" t="s">
        <v>9</v>
      </c>
      <c r="B21" s="31" t="s">
        <v>3</v>
      </c>
      <c r="C21" s="20">
        <v>23196.560000000001</v>
      </c>
      <c r="D21" s="20">
        <v>24026.283333333333</v>
      </c>
      <c r="E21" s="20">
        <v>27135.000858517764</v>
      </c>
      <c r="F21" s="22" t="s">
        <v>241</v>
      </c>
      <c r="G21" s="37">
        <v>16.97855569324831</v>
      </c>
      <c r="H21" s="33">
        <v>12.938819883437787</v>
      </c>
    </row>
    <row r="22" spans="1:8" x14ac:dyDescent="0.2">
      <c r="A22" s="34"/>
      <c r="B22" s="25" t="s">
        <v>242</v>
      </c>
      <c r="C22" s="26">
        <v>12623.589153783334</v>
      </c>
      <c r="D22" s="26">
        <v>11956.071666666667</v>
      </c>
      <c r="E22" s="26">
        <v>13899.584999999999</v>
      </c>
      <c r="F22" s="27"/>
      <c r="G22" s="28">
        <v>10.108027365848187</v>
      </c>
      <c r="H22" s="29">
        <v>16.25545068244962</v>
      </c>
    </row>
    <row r="23" spans="1:8" x14ac:dyDescent="0.2">
      <c r="A23" s="39" t="s">
        <v>193</v>
      </c>
      <c r="B23" s="31" t="s">
        <v>3</v>
      </c>
      <c r="C23" s="20">
        <v>5464</v>
      </c>
      <c r="D23" s="20">
        <v>5769</v>
      </c>
      <c r="E23" s="20">
        <v>5936.3915665761933</v>
      </c>
      <c r="F23" s="22" t="s">
        <v>241</v>
      </c>
      <c r="G23" s="37">
        <v>8.6455264746741136</v>
      </c>
      <c r="H23" s="33">
        <v>2.9015698834493548</v>
      </c>
    </row>
    <row r="24" spans="1:8" x14ac:dyDescent="0.2">
      <c r="A24" s="34"/>
      <c r="B24" s="25" t="s">
        <v>242</v>
      </c>
      <c r="C24" s="26">
        <v>2999</v>
      </c>
      <c r="D24" s="26">
        <v>3234.8935446540881</v>
      </c>
      <c r="E24" s="26">
        <v>3199.2150943396227</v>
      </c>
      <c r="F24" s="27"/>
      <c r="G24" s="28">
        <v>6.6760618319314062</v>
      </c>
      <c r="H24" s="29">
        <v>-1.1029250212399262</v>
      </c>
    </row>
    <row r="25" spans="1:8" x14ac:dyDescent="0.2">
      <c r="A25" s="39" t="s">
        <v>194</v>
      </c>
      <c r="B25" s="31" t="s">
        <v>3</v>
      </c>
      <c r="C25" s="20">
        <v>978</v>
      </c>
      <c r="D25" s="20">
        <v>1154</v>
      </c>
      <c r="E25" s="20">
        <v>1112.567559950639</v>
      </c>
      <c r="F25" s="22" t="s">
        <v>241</v>
      </c>
      <c r="G25" s="37">
        <v>13.759464207631794</v>
      </c>
      <c r="H25" s="33">
        <v>-3.5903327599099697</v>
      </c>
    </row>
    <row r="26" spans="1:8" x14ac:dyDescent="0.2">
      <c r="A26" s="34"/>
      <c r="B26" s="25" t="s">
        <v>242</v>
      </c>
      <c r="C26" s="26">
        <v>475</v>
      </c>
      <c r="D26" s="26">
        <v>844.51363636363635</v>
      </c>
      <c r="E26" s="26">
        <v>705.20795454545453</v>
      </c>
      <c r="F26" s="27"/>
      <c r="G26" s="28">
        <v>48.464832535885165</v>
      </c>
      <c r="H26" s="29">
        <v>-16.495373883838468</v>
      </c>
    </row>
    <row r="27" spans="1:8" x14ac:dyDescent="0.2">
      <c r="A27" s="39" t="s">
        <v>195</v>
      </c>
      <c r="B27" s="31" t="s">
        <v>3</v>
      </c>
      <c r="C27" s="20">
        <v>269991.33667365054</v>
      </c>
      <c r="D27" s="20">
        <v>281786.98794041621</v>
      </c>
      <c r="E27" s="20">
        <v>300163.10169370164</v>
      </c>
      <c r="F27" s="22" t="s">
        <v>241</v>
      </c>
      <c r="G27" s="37">
        <v>11.175086353426565</v>
      </c>
      <c r="H27" s="33">
        <v>6.5212783200518203</v>
      </c>
    </row>
    <row r="28" spans="1:8" x14ac:dyDescent="0.2">
      <c r="A28" s="34"/>
      <c r="B28" s="25" t="s">
        <v>242</v>
      </c>
      <c r="C28" s="26">
        <v>121817</v>
      </c>
      <c r="D28" s="26">
        <v>129673.42261018317</v>
      </c>
      <c r="E28" s="26">
        <v>141896.43428571429</v>
      </c>
      <c r="F28" s="27"/>
      <c r="G28" s="28">
        <v>16.483277609622874</v>
      </c>
      <c r="H28" s="29">
        <v>9.425996036423939</v>
      </c>
    </row>
    <row r="29" spans="1:8" x14ac:dyDescent="0.2">
      <c r="A29" s="30" t="s">
        <v>10</v>
      </c>
      <c r="B29" s="31" t="s">
        <v>3</v>
      </c>
      <c r="C29" s="20">
        <v>320312</v>
      </c>
      <c r="D29" s="20">
        <v>333492</v>
      </c>
      <c r="E29" s="20">
        <v>355299.53817666101</v>
      </c>
      <c r="F29" s="22" t="s">
        <v>241</v>
      </c>
      <c r="G29" s="37">
        <v>10.922955798303221</v>
      </c>
      <c r="H29" s="33">
        <v>6.5391488181608679</v>
      </c>
    </row>
    <row r="30" spans="1:8" x14ac:dyDescent="0.2">
      <c r="A30" s="30"/>
      <c r="B30" s="25" t="s">
        <v>242</v>
      </c>
      <c r="C30" s="26">
        <v>148449</v>
      </c>
      <c r="D30" s="26">
        <v>154340</v>
      </c>
      <c r="E30" s="26">
        <v>164509.61538461538</v>
      </c>
      <c r="F30" s="27"/>
      <c r="G30" s="28">
        <v>10.818944812437522</v>
      </c>
      <c r="H30" s="29">
        <v>6.5890989922349235</v>
      </c>
    </row>
    <row r="31" spans="1:8" x14ac:dyDescent="0.2">
      <c r="A31" s="39" t="s">
        <v>11</v>
      </c>
      <c r="B31" s="31" t="s">
        <v>3</v>
      </c>
      <c r="C31" s="20">
        <v>9835.3017456359103</v>
      </c>
      <c r="D31" s="20">
        <v>12077.194513715711</v>
      </c>
      <c r="E31" s="20">
        <v>11666.37551827162</v>
      </c>
      <c r="F31" s="22" t="s">
        <v>241</v>
      </c>
      <c r="G31" s="37">
        <v>18.617362435760427</v>
      </c>
      <c r="H31" s="33">
        <v>-3.4016094961254169</v>
      </c>
    </row>
    <row r="32" spans="1:8" x14ac:dyDescent="0.2">
      <c r="A32" s="34"/>
      <c r="B32" s="25" t="s">
        <v>242</v>
      </c>
      <c r="C32" s="26">
        <v>3833.5464347256857</v>
      </c>
      <c r="D32" s="26">
        <v>4529.9239401496261</v>
      </c>
      <c r="E32" s="26">
        <v>4431.5187032418953</v>
      </c>
      <c r="F32" s="27"/>
      <c r="G32" s="28">
        <v>15.598409428396522</v>
      </c>
      <c r="H32" s="29">
        <v>-2.1723375095891839</v>
      </c>
    </row>
    <row r="33" spans="1:8" x14ac:dyDescent="0.2">
      <c r="A33" s="30" t="s">
        <v>12</v>
      </c>
      <c r="B33" s="31" t="s">
        <v>3</v>
      </c>
      <c r="C33" s="20">
        <v>9480.0519999999997</v>
      </c>
      <c r="D33" s="20">
        <v>11145.096</v>
      </c>
      <c r="E33" s="20">
        <v>11853.203322765219</v>
      </c>
      <c r="F33" s="22" t="s">
        <v>241</v>
      </c>
      <c r="G33" s="37">
        <v>25.03310448893339</v>
      </c>
      <c r="H33" s="33">
        <v>6.3535327355208011</v>
      </c>
    </row>
    <row r="34" spans="1:8" x14ac:dyDescent="0.2">
      <c r="A34" s="30"/>
      <c r="B34" s="25" t="s">
        <v>242</v>
      </c>
      <c r="C34" s="26">
        <v>4864.4012554765559</v>
      </c>
      <c r="D34" s="26">
        <v>5414.37</v>
      </c>
      <c r="E34" s="26">
        <v>5862.3879999999999</v>
      </c>
      <c r="F34" s="27"/>
      <c r="G34" s="28">
        <v>20.516127106082521</v>
      </c>
      <c r="H34" s="29">
        <v>8.2746099730901364</v>
      </c>
    </row>
    <row r="35" spans="1:8" x14ac:dyDescent="0.2">
      <c r="A35" s="39" t="s">
        <v>13</v>
      </c>
      <c r="B35" s="31" t="s">
        <v>3</v>
      </c>
      <c r="C35" s="20">
        <v>104</v>
      </c>
      <c r="D35" s="20">
        <v>83</v>
      </c>
      <c r="E35" s="20">
        <v>47.979220779220768</v>
      </c>
      <c r="F35" s="22" t="s">
        <v>241</v>
      </c>
      <c r="G35" s="23">
        <v>-53.866133866133872</v>
      </c>
      <c r="H35" s="24">
        <v>-42.193709904553288</v>
      </c>
    </row>
    <row r="36" spans="1:8" x14ac:dyDescent="0.2">
      <c r="A36" s="34"/>
      <c r="B36" s="25" t="s">
        <v>242</v>
      </c>
      <c r="C36" s="26">
        <v>49</v>
      </c>
      <c r="D36" s="26">
        <v>55</v>
      </c>
      <c r="E36" s="26">
        <v>28</v>
      </c>
      <c r="F36" s="27"/>
      <c r="G36" s="28">
        <v>-42.857142857142861</v>
      </c>
      <c r="H36" s="29">
        <v>-49.090909090909093</v>
      </c>
    </row>
    <row r="37" spans="1:8" x14ac:dyDescent="0.2">
      <c r="A37" s="30" t="s">
        <v>14</v>
      </c>
      <c r="B37" s="31" t="s">
        <v>3</v>
      </c>
      <c r="C37" s="40">
        <v>60487.473076923074</v>
      </c>
      <c r="D37" s="40">
        <v>76174.398746438732</v>
      </c>
      <c r="E37" s="20">
        <v>97784.35042452201</v>
      </c>
      <c r="F37" s="22" t="s">
        <v>241</v>
      </c>
      <c r="G37" s="23">
        <v>61.660498364955316</v>
      </c>
      <c r="H37" s="24">
        <v>28.369047913349732</v>
      </c>
    </row>
    <row r="38" spans="1:8" ht="13.5" thickBot="1" x14ac:dyDescent="0.25">
      <c r="A38" s="41"/>
      <c r="B38" s="42" t="s">
        <v>242</v>
      </c>
      <c r="C38" s="43">
        <v>30521.427725884492</v>
      </c>
      <c r="D38" s="43">
        <v>36021.239358974359</v>
      </c>
      <c r="E38" s="43">
        <v>47229.543461538458</v>
      </c>
      <c r="F38" s="44"/>
      <c r="G38" s="45">
        <v>54.742248251657685</v>
      </c>
      <c r="H38" s="46">
        <v>31.115820282767856</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115"/>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5">
        <v>9</v>
      </c>
    </row>
    <row r="62" spans="1:8" ht="12.75" customHeight="1" x14ac:dyDescent="0.2">
      <c r="A62" s="54" t="s">
        <v>244</v>
      </c>
      <c r="G62" s="53"/>
      <c r="H62" s="198"/>
    </row>
    <row r="63" spans="1:8" x14ac:dyDescent="0.2">
      <c r="H63" s="87"/>
    </row>
    <row r="64" spans="1:8" x14ac:dyDescent="0.2">
      <c r="A64" s="204"/>
      <c r="H64" s="53"/>
    </row>
    <row r="65" spans="1:8" x14ac:dyDescent="0.2">
      <c r="A65" s="204"/>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election activeCell="X76" sqref="X76"/>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5"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6" t="s">
        <v>16</v>
      </c>
      <c r="D5" s="200"/>
      <c r="E5" s="200"/>
      <c r="F5" s="207"/>
      <c r="G5" s="200" t="s">
        <v>1</v>
      </c>
      <c r="H5" s="201"/>
    </row>
    <row r="6" spans="1:10" x14ac:dyDescent="0.2">
      <c r="A6" s="12"/>
      <c r="B6" s="13"/>
      <c r="C6" s="14" t="s">
        <v>236</v>
      </c>
      <c r="D6" s="15" t="s">
        <v>237</v>
      </c>
      <c r="E6" s="15" t="s">
        <v>238</v>
      </c>
      <c r="F6" s="16"/>
      <c r="G6" s="17" t="s">
        <v>239</v>
      </c>
      <c r="H6" s="18" t="s">
        <v>240</v>
      </c>
    </row>
    <row r="7" spans="1:10" x14ac:dyDescent="0.2">
      <c r="A7" s="202" t="s">
        <v>2</v>
      </c>
      <c r="B7" s="19" t="s">
        <v>3</v>
      </c>
      <c r="C7" s="80">
        <v>37568.018908917373</v>
      </c>
      <c r="D7" s="80">
        <v>42419.490055589828</v>
      </c>
      <c r="E7" s="81">
        <v>43718.515965641243</v>
      </c>
      <c r="F7" s="22" t="s">
        <v>241</v>
      </c>
      <c r="G7" s="23">
        <v>16.371630006989662</v>
      </c>
      <c r="H7" s="24">
        <v>3.0623326879909882</v>
      </c>
    </row>
    <row r="8" spans="1:10" x14ac:dyDescent="0.2">
      <c r="A8" s="203"/>
      <c r="B8" s="25" t="s">
        <v>242</v>
      </c>
      <c r="C8" s="82">
        <v>19125.284202396138</v>
      </c>
      <c r="D8" s="82">
        <v>20837.172453240433</v>
      </c>
      <c r="E8" s="82">
        <v>21729.487950881961</v>
      </c>
      <c r="F8" s="27"/>
      <c r="G8" s="28">
        <v>13.616549280661403</v>
      </c>
      <c r="H8" s="29">
        <v>4.2823252513935159</v>
      </c>
      <c r="J8" s="105"/>
    </row>
    <row r="9" spans="1:10" x14ac:dyDescent="0.2">
      <c r="A9" s="30" t="s">
        <v>4</v>
      </c>
      <c r="B9" s="31" t="s">
        <v>3</v>
      </c>
      <c r="C9" s="80">
        <v>9856.860787358215</v>
      </c>
      <c r="D9" s="80">
        <v>10356.019765532123</v>
      </c>
      <c r="E9" s="80">
        <v>11026.484040924215</v>
      </c>
      <c r="F9" s="22" t="s">
        <v>241</v>
      </c>
      <c r="G9" s="32">
        <v>11.866082709274778</v>
      </c>
      <c r="H9" s="33">
        <v>6.4741502099445114</v>
      </c>
    </row>
    <row r="10" spans="1:10" x14ac:dyDescent="0.2">
      <c r="A10" s="34"/>
      <c r="B10" s="25" t="s">
        <v>242</v>
      </c>
      <c r="C10" s="82">
        <v>5065.8214812724091</v>
      </c>
      <c r="D10" s="82">
        <v>5331.3388591786752</v>
      </c>
      <c r="E10" s="82">
        <v>5673.3069296472595</v>
      </c>
      <c r="F10" s="27"/>
      <c r="G10" s="35">
        <v>11.991844770302976</v>
      </c>
      <c r="H10" s="29">
        <v>6.4143000379695678</v>
      </c>
      <c r="J10" s="105"/>
    </row>
    <row r="11" spans="1:10" x14ac:dyDescent="0.2">
      <c r="A11" s="30" t="s">
        <v>5</v>
      </c>
      <c r="B11" s="31" t="s">
        <v>3</v>
      </c>
      <c r="C11" s="80">
        <v>4022.0593413364004</v>
      </c>
      <c r="D11" s="80">
        <v>4805.3198537058943</v>
      </c>
      <c r="E11" s="80">
        <v>4783.7322015798809</v>
      </c>
      <c r="F11" s="22" t="s">
        <v>241</v>
      </c>
      <c r="G11" s="37">
        <v>18.937384946448873</v>
      </c>
      <c r="H11" s="33">
        <v>-0.44924485327162245</v>
      </c>
    </row>
    <row r="12" spans="1:10" x14ac:dyDescent="0.2">
      <c r="A12" s="34"/>
      <c r="B12" s="25" t="s">
        <v>242</v>
      </c>
      <c r="C12" s="82">
        <v>2023.4192812932961</v>
      </c>
      <c r="D12" s="82">
        <v>2367.5320892554155</v>
      </c>
      <c r="E12" s="82">
        <v>2373.2349883090319</v>
      </c>
      <c r="F12" s="27"/>
      <c r="G12" s="28">
        <v>17.288345042958483</v>
      </c>
      <c r="H12" s="29">
        <v>0.24087948287998984</v>
      </c>
    </row>
    <row r="13" spans="1:10" x14ac:dyDescent="0.2">
      <c r="A13" s="30" t="s">
        <v>6</v>
      </c>
      <c r="B13" s="31" t="s">
        <v>3</v>
      </c>
      <c r="C13" s="80">
        <v>7171.790369567203</v>
      </c>
      <c r="D13" s="80">
        <v>8904.3769745772461</v>
      </c>
      <c r="E13" s="80">
        <v>8251.1728223890368</v>
      </c>
      <c r="F13" s="22" t="s">
        <v>241</v>
      </c>
      <c r="G13" s="23">
        <v>15.050390449253626</v>
      </c>
      <c r="H13" s="24">
        <v>-7.3357648048051232</v>
      </c>
    </row>
    <row r="14" spans="1:10" x14ac:dyDescent="0.2">
      <c r="A14" s="34"/>
      <c r="B14" s="25" t="s">
        <v>242</v>
      </c>
      <c r="C14" s="82">
        <v>3523.3386332618038</v>
      </c>
      <c r="D14" s="82">
        <v>4388.2652719303578</v>
      </c>
      <c r="E14" s="82">
        <v>4062.097701355669</v>
      </c>
      <c r="F14" s="27"/>
      <c r="G14" s="38">
        <v>15.291152062641729</v>
      </c>
      <c r="H14" s="24">
        <v>-7.4327222800551169</v>
      </c>
    </row>
    <row r="15" spans="1:10" x14ac:dyDescent="0.2">
      <c r="A15" s="30" t="s">
        <v>169</v>
      </c>
      <c r="B15" s="31" t="s">
        <v>3</v>
      </c>
      <c r="C15" s="80">
        <v>5239.1371201696156</v>
      </c>
      <c r="D15" s="80">
        <v>6748.8583414238074</v>
      </c>
      <c r="E15" s="80">
        <v>6719.7769584756907</v>
      </c>
      <c r="F15" s="22" t="s">
        <v>241</v>
      </c>
      <c r="G15" s="37">
        <v>28.261139274364723</v>
      </c>
      <c r="H15" s="33">
        <v>-0.43090818442014722</v>
      </c>
    </row>
    <row r="16" spans="1:10" x14ac:dyDescent="0.2">
      <c r="A16" s="34"/>
      <c r="B16" s="25" t="s">
        <v>242</v>
      </c>
      <c r="C16" s="82">
        <v>2985.4874299653161</v>
      </c>
      <c r="D16" s="82">
        <v>2968.4968054676524</v>
      </c>
      <c r="E16" s="82">
        <v>3198.9516949800391</v>
      </c>
      <c r="F16" s="27"/>
      <c r="G16" s="28">
        <v>7.1500641025041176</v>
      </c>
      <c r="H16" s="29">
        <v>7.763353124986125</v>
      </c>
    </row>
    <row r="17" spans="1:8" x14ac:dyDescent="0.2">
      <c r="A17" s="30" t="s">
        <v>7</v>
      </c>
      <c r="B17" s="31" t="s">
        <v>3</v>
      </c>
      <c r="C17" s="80">
        <v>1881.4521582849889</v>
      </c>
      <c r="D17" s="80">
        <v>1876.3099251303952</v>
      </c>
      <c r="E17" s="80">
        <v>2119.5537081350644</v>
      </c>
      <c r="F17" s="22" t="s">
        <v>241</v>
      </c>
      <c r="G17" s="23">
        <v>12.655200867138376</v>
      </c>
      <c r="H17" s="24">
        <v>12.96394480180372</v>
      </c>
    </row>
    <row r="18" spans="1:8" x14ac:dyDescent="0.2">
      <c r="A18" s="30"/>
      <c r="B18" s="25" t="s">
        <v>242</v>
      </c>
      <c r="C18" s="82">
        <v>1025.8261380934614</v>
      </c>
      <c r="D18" s="82">
        <v>928.78469140608354</v>
      </c>
      <c r="E18" s="82">
        <v>1082.4285095044327</v>
      </c>
      <c r="F18" s="27"/>
      <c r="G18" s="38">
        <v>5.517735346085928</v>
      </c>
      <c r="H18" s="24">
        <v>16.542458065899893</v>
      </c>
    </row>
    <row r="19" spans="1:8" x14ac:dyDescent="0.2">
      <c r="A19" s="39" t="s">
        <v>8</v>
      </c>
      <c r="B19" s="31" t="s">
        <v>3</v>
      </c>
      <c r="C19" s="80">
        <v>1779.0988161448022</v>
      </c>
      <c r="D19" s="80">
        <v>1723.7394637740249</v>
      </c>
      <c r="E19" s="80">
        <v>1620.3040582870249</v>
      </c>
      <c r="F19" s="22" t="s">
        <v>241</v>
      </c>
      <c r="G19" s="37">
        <v>-8.9255726785247305</v>
      </c>
      <c r="H19" s="33">
        <v>-6.0006403323002502</v>
      </c>
    </row>
    <row r="20" spans="1:8" x14ac:dyDescent="0.2">
      <c r="A20" s="34"/>
      <c r="B20" s="25" t="s">
        <v>242</v>
      </c>
      <c r="C20" s="82">
        <v>908.11823416283517</v>
      </c>
      <c r="D20" s="82">
        <v>908.02671589401086</v>
      </c>
      <c r="E20" s="82">
        <v>844.52767250232239</v>
      </c>
      <c r="F20" s="27"/>
      <c r="G20" s="28">
        <v>-7.0024540052468893</v>
      </c>
      <c r="H20" s="29">
        <v>-6.9930809611884115</v>
      </c>
    </row>
    <row r="21" spans="1:8" x14ac:dyDescent="0.2">
      <c r="A21" s="39" t="s">
        <v>9</v>
      </c>
      <c r="B21" s="31" t="s">
        <v>3</v>
      </c>
      <c r="C21" s="80">
        <v>531.9762485737474</v>
      </c>
      <c r="D21" s="80">
        <v>573.57984776658577</v>
      </c>
      <c r="E21" s="80">
        <v>614.19904715377209</v>
      </c>
      <c r="F21" s="22" t="s">
        <v>241</v>
      </c>
      <c r="G21" s="37">
        <v>15.456103312970782</v>
      </c>
      <c r="H21" s="33">
        <v>7.0816991819621933</v>
      </c>
    </row>
    <row r="22" spans="1:8" x14ac:dyDescent="0.2">
      <c r="A22" s="34"/>
      <c r="B22" s="25" t="s">
        <v>242</v>
      </c>
      <c r="C22" s="82">
        <v>259.13745973651857</v>
      </c>
      <c r="D22" s="82">
        <v>288.4880988246839</v>
      </c>
      <c r="E22" s="82">
        <v>305.60577524503333</v>
      </c>
      <c r="F22" s="27"/>
      <c r="G22" s="28">
        <v>17.931917506547308</v>
      </c>
      <c r="H22" s="29">
        <v>5.9335814857138729</v>
      </c>
    </row>
    <row r="23" spans="1:8" x14ac:dyDescent="0.2">
      <c r="A23" s="39" t="s">
        <v>193</v>
      </c>
      <c r="B23" s="31" t="s">
        <v>3</v>
      </c>
      <c r="C23" s="80">
        <v>991.88485422989686</v>
      </c>
      <c r="D23" s="80">
        <v>1042.4939548825182</v>
      </c>
      <c r="E23" s="80">
        <v>1173.8130951486348</v>
      </c>
      <c r="F23" s="22" t="s">
        <v>241</v>
      </c>
      <c r="G23" s="23">
        <v>18.341669412825908</v>
      </c>
      <c r="H23" s="24">
        <v>12.596633261141108</v>
      </c>
    </row>
    <row r="24" spans="1:8" x14ac:dyDescent="0.2">
      <c r="A24" s="34"/>
      <c r="B24" s="25" t="s">
        <v>242</v>
      </c>
      <c r="C24" s="82">
        <v>562.70128167460064</v>
      </c>
      <c r="D24" s="82">
        <v>523.97408594454282</v>
      </c>
      <c r="E24" s="82">
        <v>588.95007198057056</v>
      </c>
      <c r="F24" s="27"/>
      <c r="G24" s="38">
        <v>4.6647823917964786</v>
      </c>
      <c r="H24" s="24">
        <v>12.400610598689951</v>
      </c>
    </row>
    <row r="25" spans="1:8" x14ac:dyDescent="0.2">
      <c r="A25" s="39" t="s">
        <v>194</v>
      </c>
      <c r="B25" s="31" t="s">
        <v>3</v>
      </c>
      <c r="C25" s="80">
        <v>415.12542028118128</v>
      </c>
      <c r="D25" s="80">
        <v>442.39533603703234</v>
      </c>
      <c r="E25" s="80">
        <v>347.16836404981501</v>
      </c>
      <c r="F25" s="22" t="s">
        <v>241</v>
      </c>
      <c r="G25" s="37">
        <v>-16.370246896789936</v>
      </c>
      <c r="H25" s="33">
        <v>-21.525311012602089</v>
      </c>
    </row>
    <row r="26" spans="1:8" x14ac:dyDescent="0.2">
      <c r="A26" s="34"/>
      <c r="B26" s="25" t="s">
        <v>242</v>
      </c>
      <c r="C26" s="82">
        <v>212.16774110248724</v>
      </c>
      <c r="D26" s="82">
        <v>305.44484908385783</v>
      </c>
      <c r="E26" s="82">
        <v>212.69408358968531</v>
      </c>
      <c r="F26" s="27"/>
      <c r="G26" s="38">
        <v>0.24807847058323773</v>
      </c>
      <c r="H26" s="24">
        <v>-30.365797875579304</v>
      </c>
    </row>
    <row r="27" spans="1:8" x14ac:dyDescent="0.2">
      <c r="A27" s="39" t="s">
        <v>195</v>
      </c>
      <c r="B27" s="31" t="s">
        <v>3</v>
      </c>
      <c r="C27" s="80">
        <v>982.35582708179095</v>
      </c>
      <c r="D27" s="80">
        <v>1097.9182333987906</v>
      </c>
      <c r="E27" s="80">
        <v>1454.3661763967948</v>
      </c>
      <c r="F27" s="22" t="s">
        <v>241</v>
      </c>
      <c r="G27" s="37">
        <v>48.048816559389564</v>
      </c>
      <c r="H27" s="33">
        <v>32.465800471730915</v>
      </c>
    </row>
    <row r="28" spans="1:8" x14ac:dyDescent="0.2">
      <c r="A28" s="34"/>
      <c r="B28" s="25" t="s">
        <v>242</v>
      </c>
      <c r="C28" s="82">
        <v>483.07478021635256</v>
      </c>
      <c r="D28" s="82">
        <v>495.86716792975795</v>
      </c>
      <c r="E28" s="82">
        <v>678.73545248458868</v>
      </c>
      <c r="F28" s="27"/>
      <c r="G28" s="38">
        <v>40.503185072217263</v>
      </c>
      <c r="H28" s="24">
        <v>36.878482057665678</v>
      </c>
    </row>
    <row r="29" spans="1:8" x14ac:dyDescent="0.2">
      <c r="A29" s="30" t="s">
        <v>10</v>
      </c>
      <c r="B29" s="31" t="s">
        <v>3</v>
      </c>
      <c r="C29" s="80">
        <v>2078.8919979673683</v>
      </c>
      <c r="D29" s="80">
        <v>2198.8611608924539</v>
      </c>
      <c r="E29" s="80">
        <v>2372.3383856018791</v>
      </c>
      <c r="F29" s="22" t="s">
        <v>241</v>
      </c>
      <c r="G29" s="37">
        <v>14.115518647502</v>
      </c>
      <c r="H29" s="33">
        <v>7.8894123828634974</v>
      </c>
    </row>
    <row r="30" spans="1:8" x14ac:dyDescent="0.2">
      <c r="A30" s="30"/>
      <c r="B30" s="25" t="s">
        <v>242</v>
      </c>
      <c r="C30" s="82">
        <v>1010.1918736481808</v>
      </c>
      <c r="D30" s="82">
        <v>1085.106374696466</v>
      </c>
      <c r="E30" s="82">
        <v>1164.6768455025992</v>
      </c>
      <c r="F30" s="27"/>
      <c r="G30" s="28">
        <v>15.292636565815499</v>
      </c>
      <c r="H30" s="29">
        <v>7.3329650126137409</v>
      </c>
    </row>
    <row r="31" spans="1:8" x14ac:dyDescent="0.2">
      <c r="A31" s="39" t="s">
        <v>11</v>
      </c>
      <c r="B31" s="31" t="s">
        <v>3</v>
      </c>
      <c r="C31" s="80">
        <v>468.76565664708272</v>
      </c>
      <c r="D31" s="80">
        <v>540.69659437321695</v>
      </c>
      <c r="E31" s="80">
        <v>528.03638164263145</v>
      </c>
      <c r="F31" s="22" t="s">
        <v>241</v>
      </c>
      <c r="G31" s="23">
        <v>12.643999012105866</v>
      </c>
      <c r="H31" s="24">
        <v>-2.3414633756407142</v>
      </c>
    </row>
    <row r="32" spans="1:8" x14ac:dyDescent="0.2">
      <c r="A32" s="34"/>
      <c r="B32" s="25" t="s">
        <v>242</v>
      </c>
      <c r="C32" s="82">
        <v>194.09698577243887</v>
      </c>
      <c r="D32" s="82">
        <v>211.62650225395549</v>
      </c>
      <c r="E32" s="82">
        <v>210.51216448811601</v>
      </c>
      <c r="F32" s="27"/>
      <c r="G32" s="38">
        <v>8.4572043457297355</v>
      </c>
      <c r="H32" s="24">
        <v>-0.52655870317332187</v>
      </c>
    </row>
    <row r="33" spans="1:8" x14ac:dyDescent="0.2">
      <c r="A33" s="30" t="s">
        <v>12</v>
      </c>
      <c r="B33" s="31" t="s">
        <v>3</v>
      </c>
      <c r="C33" s="80">
        <v>963.64843128868392</v>
      </c>
      <c r="D33" s="80">
        <v>1093.9684121220591</v>
      </c>
      <c r="E33" s="80">
        <v>1244.7827911301658</v>
      </c>
      <c r="F33" s="22" t="s">
        <v>241</v>
      </c>
      <c r="G33" s="37">
        <v>29.173955014436302</v>
      </c>
      <c r="H33" s="33">
        <v>13.785990284267882</v>
      </c>
    </row>
    <row r="34" spans="1:8" x14ac:dyDescent="0.2">
      <c r="A34" s="30"/>
      <c r="B34" s="25" t="s">
        <v>242</v>
      </c>
      <c r="C34" s="82">
        <v>461.43342745910428</v>
      </c>
      <c r="D34" s="82">
        <v>509.7572695697923</v>
      </c>
      <c r="E34" s="82">
        <v>585.27563423107085</v>
      </c>
      <c r="F34" s="27"/>
      <c r="G34" s="28">
        <v>26.838585893940774</v>
      </c>
      <c r="H34" s="29">
        <v>14.814573360574528</v>
      </c>
    </row>
    <row r="35" spans="1:8" x14ac:dyDescent="0.2">
      <c r="A35" s="39" t="s">
        <v>13</v>
      </c>
      <c r="B35" s="31" t="s">
        <v>3</v>
      </c>
      <c r="C35" s="80">
        <v>211.04554373478513</v>
      </c>
      <c r="D35" s="80">
        <v>178.36200313241494</v>
      </c>
      <c r="E35" s="80">
        <v>596.28054968066181</v>
      </c>
      <c r="F35" s="22" t="s">
        <v>241</v>
      </c>
      <c r="G35" s="23">
        <v>182.53643224516054</v>
      </c>
      <c r="H35" s="24">
        <v>234.30917976290419</v>
      </c>
    </row>
    <row r="36" spans="1:8" x14ac:dyDescent="0.2">
      <c r="A36" s="34"/>
      <c r="B36" s="25" t="s">
        <v>242</v>
      </c>
      <c r="C36" s="82">
        <v>46.489193005827374</v>
      </c>
      <c r="D36" s="82">
        <v>116.93261019898026</v>
      </c>
      <c r="E36" s="82">
        <v>235.6731699503423</v>
      </c>
      <c r="F36" s="27"/>
      <c r="G36" s="28">
        <v>406.94183897922443</v>
      </c>
      <c r="H36" s="29">
        <v>101.5461465790469</v>
      </c>
    </row>
    <row r="37" spans="1:8" x14ac:dyDescent="0.2">
      <c r="A37" s="30" t="s">
        <v>14</v>
      </c>
      <c r="B37" s="31" t="s">
        <v>3</v>
      </c>
      <c r="C37" s="85">
        <v>973.92633625162387</v>
      </c>
      <c r="D37" s="85">
        <v>836.59018884125203</v>
      </c>
      <c r="E37" s="83">
        <v>1159.209403571627</v>
      </c>
      <c r="F37" s="22" t="s">
        <v>241</v>
      </c>
      <c r="G37" s="23">
        <v>19.024341002329507</v>
      </c>
      <c r="H37" s="24">
        <v>38.563590517028388</v>
      </c>
    </row>
    <row r="38" spans="1:8" ht="13.5" thickBot="1" x14ac:dyDescent="0.25">
      <c r="A38" s="41"/>
      <c r="B38" s="42" t="s">
        <v>242</v>
      </c>
      <c r="C38" s="86">
        <v>363.98026173149066</v>
      </c>
      <c r="D38" s="86">
        <v>407.53106160619541</v>
      </c>
      <c r="E38" s="86">
        <v>512.81725711120714</v>
      </c>
      <c r="F38" s="44"/>
      <c r="G38" s="45">
        <v>40.891501828061763</v>
      </c>
      <c r="H38" s="46">
        <v>25.835133913486004</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115"/>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7">
        <v>10</v>
      </c>
    </row>
    <row r="62" spans="1:8" ht="12.75" customHeight="1" x14ac:dyDescent="0.2">
      <c r="A62" s="54" t="s">
        <v>244</v>
      </c>
      <c r="H62" s="198"/>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26</v>
      </c>
      <c r="B7" s="19" t="s">
        <v>3</v>
      </c>
      <c r="C7" s="20">
        <v>848267.68337105052</v>
      </c>
      <c r="D7" s="20">
        <v>908662.80747384159</v>
      </c>
      <c r="E7" s="21">
        <v>906444.02588211757</v>
      </c>
      <c r="F7" s="22" t="s">
        <v>241</v>
      </c>
      <c r="G7" s="23">
        <v>6.8582528430025604</v>
      </c>
      <c r="H7" s="24">
        <v>-0.24418096278117218</v>
      </c>
    </row>
    <row r="8" spans="1:8" x14ac:dyDescent="0.2">
      <c r="A8" s="203"/>
      <c r="B8" s="25" t="s">
        <v>242</v>
      </c>
      <c r="C8" s="26">
        <v>427796.36811113905</v>
      </c>
      <c r="D8" s="26">
        <v>468298.80239162932</v>
      </c>
      <c r="E8" s="26">
        <v>463766.99701046338</v>
      </c>
      <c r="F8" s="27"/>
      <c r="G8" s="28">
        <v>8.4083530344463782</v>
      </c>
      <c r="H8" s="29">
        <v>-0.96771662836243877</v>
      </c>
    </row>
    <row r="9" spans="1:8" x14ac:dyDescent="0.2">
      <c r="A9" s="30" t="s">
        <v>28</v>
      </c>
      <c r="B9" s="31" t="s">
        <v>3</v>
      </c>
      <c r="C9" s="20">
        <v>779419.45431275456</v>
      </c>
      <c r="D9" s="20">
        <v>832195.44597907329</v>
      </c>
      <c r="E9" s="21">
        <v>823541.21269778849</v>
      </c>
      <c r="F9" s="22" t="s">
        <v>241</v>
      </c>
      <c r="G9" s="32">
        <v>5.6608489999698293</v>
      </c>
      <c r="H9" s="33">
        <v>-1.0399279788299083</v>
      </c>
    </row>
    <row r="10" spans="1:8" x14ac:dyDescent="0.2">
      <c r="A10" s="34"/>
      <c r="B10" s="25" t="s">
        <v>242</v>
      </c>
      <c r="C10" s="26">
        <v>394445.69448891119</v>
      </c>
      <c r="D10" s="26">
        <v>431516.64191330341</v>
      </c>
      <c r="E10" s="26">
        <v>423555.39760837069</v>
      </c>
      <c r="F10" s="27"/>
      <c r="G10" s="35">
        <v>7.3799013466675945</v>
      </c>
      <c r="H10" s="29">
        <v>-1.8449449063269725</v>
      </c>
    </row>
    <row r="11" spans="1:8" x14ac:dyDescent="0.2">
      <c r="A11" s="30" t="s">
        <v>29</v>
      </c>
      <c r="B11" s="31" t="s">
        <v>3</v>
      </c>
      <c r="C11" s="20">
        <v>34984.614529147984</v>
      </c>
      <c r="D11" s="20">
        <v>35271.180747384155</v>
      </c>
      <c r="E11" s="21">
        <v>38148.051941648417</v>
      </c>
      <c r="F11" s="22" t="s">
        <v>241</v>
      </c>
      <c r="G11" s="37">
        <v>9.0423674951878041</v>
      </c>
      <c r="H11" s="33">
        <v>8.1564357452865295</v>
      </c>
    </row>
    <row r="12" spans="1:8" x14ac:dyDescent="0.2">
      <c r="A12" s="34"/>
      <c r="B12" s="25" t="s">
        <v>242</v>
      </c>
      <c r="C12" s="26">
        <v>17755.336811113899</v>
      </c>
      <c r="D12" s="26">
        <v>18062.08023916293</v>
      </c>
      <c r="E12" s="26">
        <v>19476.799701046337</v>
      </c>
      <c r="F12" s="27"/>
      <c r="G12" s="28">
        <v>9.6954673867684278</v>
      </c>
      <c r="H12" s="29">
        <v>7.8325389055461869</v>
      </c>
    </row>
    <row r="13" spans="1:8" x14ac:dyDescent="0.2">
      <c r="A13" s="30" t="s">
        <v>27</v>
      </c>
      <c r="B13" s="31" t="s">
        <v>3</v>
      </c>
      <c r="C13" s="20">
        <v>9150.1843587443946</v>
      </c>
      <c r="D13" s="20">
        <v>9937.7542242152467</v>
      </c>
      <c r="E13" s="21">
        <v>12747.975517300394</v>
      </c>
      <c r="F13" s="22" t="s">
        <v>241</v>
      </c>
      <c r="G13" s="23">
        <v>39.31932972604821</v>
      </c>
      <c r="H13" s="24">
        <v>28.278232985854117</v>
      </c>
    </row>
    <row r="14" spans="1:8" x14ac:dyDescent="0.2">
      <c r="A14" s="34"/>
      <c r="B14" s="25" t="s">
        <v>242</v>
      </c>
      <c r="C14" s="26">
        <v>3905.0010433341704</v>
      </c>
      <c r="D14" s="26">
        <v>3587.0240717488787</v>
      </c>
      <c r="E14" s="26">
        <v>4850.7399103139014</v>
      </c>
      <c r="F14" s="27"/>
      <c r="G14" s="38">
        <v>24.218658496752667</v>
      </c>
      <c r="H14" s="24">
        <v>35.230202342882222</v>
      </c>
    </row>
    <row r="15" spans="1:8" x14ac:dyDescent="0.2">
      <c r="A15" s="30" t="s">
        <v>30</v>
      </c>
      <c r="B15" s="31" t="s">
        <v>3</v>
      </c>
      <c r="C15" s="20">
        <v>11925.245811659193</v>
      </c>
      <c r="D15" s="20">
        <v>14555.672298953661</v>
      </c>
      <c r="E15" s="21">
        <v>15508.160664710913</v>
      </c>
      <c r="F15" s="22" t="s">
        <v>241</v>
      </c>
      <c r="G15" s="37">
        <v>30.044788255423128</v>
      </c>
      <c r="H15" s="33">
        <v>6.5437607153722581</v>
      </c>
    </row>
    <row r="16" spans="1:8" x14ac:dyDescent="0.2">
      <c r="A16" s="34"/>
      <c r="B16" s="25" t="s">
        <v>242</v>
      </c>
      <c r="C16" s="26">
        <v>5869.3347244455608</v>
      </c>
      <c r="D16" s="26">
        <v>7840.0320956651722</v>
      </c>
      <c r="E16" s="26">
        <v>8098.3198804185349</v>
      </c>
      <c r="F16" s="27"/>
      <c r="G16" s="28">
        <v>37.976793974440284</v>
      </c>
      <c r="H16" s="29">
        <v>3.2944735633948738</v>
      </c>
    </row>
    <row r="17" spans="1:9" x14ac:dyDescent="0.2">
      <c r="A17" s="30" t="s">
        <v>31</v>
      </c>
      <c r="B17" s="31" t="s">
        <v>3</v>
      </c>
      <c r="C17" s="20">
        <v>12788.184358744395</v>
      </c>
      <c r="D17" s="20">
        <v>16702.754224215249</v>
      </c>
      <c r="E17" s="21">
        <v>17588.969656561956</v>
      </c>
      <c r="F17" s="22" t="s">
        <v>241</v>
      </c>
      <c r="G17" s="37">
        <v>37.540788927826554</v>
      </c>
      <c r="H17" s="33">
        <v>5.3058041832519791</v>
      </c>
    </row>
    <row r="18" spans="1:9" ht="13.5" thickBot="1" x14ac:dyDescent="0.25">
      <c r="A18" s="56"/>
      <c r="B18" s="42" t="s">
        <v>242</v>
      </c>
      <c r="C18" s="43">
        <v>5821.0010433341704</v>
      </c>
      <c r="D18" s="43">
        <v>7293.0240717488796</v>
      </c>
      <c r="E18" s="43">
        <v>7785.7399103139014</v>
      </c>
      <c r="F18" s="44"/>
      <c r="G18" s="57">
        <v>33.752594310726352</v>
      </c>
      <c r="H18" s="46">
        <v>6.7559881020229113</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6" t="s">
        <v>16</v>
      </c>
      <c r="D33" s="200"/>
      <c r="E33" s="200"/>
      <c r="F33" s="207"/>
      <c r="G33" s="200" t="s">
        <v>1</v>
      </c>
      <c r="H33" s="201"/>
    </row>
    <row r="34" spans="1:9" x14ac:dyDescent="0.2">
      <c r="A34" s="12"/>
      <c r="B34" s="13"/>
      <c r="C34" s="14" t="s">
        <v>236</v>
      </c>
      <c r="D34" s="15" t="s">
        <v>237</v>
      </c>
      <c r="E34" s="15" t="s">
        <v>238</v>
      </c>
      <c r="F34" s="16"/>
      <c r="G34" s="17" t="s">
        <v>239</v>
      </c>
      <c r="H34" s="18" t="s">
        <v>240</v>
      </c>
    </row>
    <row r="35" spans="1:9" ht="12.75" customHeight="1" x14ac:dyDescent="0.2">
      <c r="A35" s="202" t="s">
        <v>26</v>
      </c>
      <c r="B35" s="19" t="s">
        <v>3</v>
      </c>
      <c r="C35" s="80">
        <v>13878.920128694615</v>
      </c>
      <c r="D35" s="80">
        <v>15161.339619238015</v>
      </c>
      <c r="E35" s="83">
        <v>15815.027604085593</v>
      </c>
      <c r="F35" s="22" t="s">
        <v>241</v>
      </c>
      <c r="G35" s="23">
        <v>13.94998643581846</v>
      </c>
      <c r="H35" s="24">
        <v>4.3115450300850853</v>
      </c>
    </row>
    <row r="36" spans="1:9" ht="12.75" customHeight="1" x14ac:dyDescent="0.2">
      <c r="A36" s="203"/>
      <c r="B36" s="25" t="s">
        <v>242</v>
      </c>
      <c r="C36" s="82">
        <v>7089.2407625657061</v>
      </c>
      <c r="D36" s="82">
        <v>7698.8709484340907</v>
      </c>
      <c r="E36" s="82">
        <v>8046.5419179562896</v>
      </c>
      <c r="F36" s="27"/>
      <c r="G36" s="28">
        <v>13.503577991673694</v>
      </c>
      <c r="H36" s="29">
        <v>4.5158695586774655</v>
      </c>
    </row>
    <row r="37" spans="1:9" x14ac:dyDescent="0.2">
      <c r="A37" s="30" t="s">
        <v>28</v>
      </c>
      <c r="B37" s="31" t="s">
        <v>3</v>
      </c>
      <c r="C37" s="80">
        <v>11593.812590679699</v>
      </c>
      <c r="D37" s="80">
        <v>12618.122877269707</v>
      </c>
      <c r="E37" s="83">
        <v>13006.031588153208</v>
      </c>
      <c r="F37" s="22" t="s">
        <v>241</v>
      </c>
      <c r="G37" s="32">
        <v>12.180798908279698</v>
      </c>
      <c r="H37" s="33">
        <v>3.0742188410788174</v>
      </c>
    </row>
    <row r="38" spans="1:9" x14ac:dyDescent="0.2">
      <c r="A38" s="34"/>
      <c r="B38" s="25" t="s">
        <v>242</v>
      </c>
      <c r="C38" s="82">
        <v>6009.0058625637703</v>
      </c>
      <c r="D38" s="82">
        <v>6471.2856837641693</v>
      </c>
      <c r="E38" s="82">
        <v>6693.6362370025854</v>
      </c>
      <c r="F38" s="27"/>
      <c r="G38" s="35">
        <v>11.393405000718616</v>
      </c>
      <c r="H38" s="29">
        <v>3.4359563787497791</v>
      </c>
    </row>
    <row r="39" spans="1:9" x14ac:dyDescent="0.2">
      <c r="A39" s="30" t="s">
        <v>29</v>
      </c>
      <c r="B39" s="31" t="s">
        <v>3</v>
      </c>
      <c r="C39" s="80">
        <v>1063.2701054936867</v>
      </c>
      <c r="D39" s="80">
        <v>1048.4222371036769</v>
      </c>
      <c r="E39" s="83">
        <v>1176.1124777050532</v>
      </c>
      <c r="F39" s="22" t="s">
        <v>241</v>
      </c>
      <c r="G39" s="37">
        <v>10.612766373128906</v>
      </c>
      <c r="H39" s="33">
        <v>12.179276257448279</v>
      </c>
    </row>
    <row r="40" spans="1:9" x14ac:dyDescent="0.2">
      <c r="A40" s="34"/>
      <c r="B40" s="25" t="s">
        <v>242</v>
      </c>
      <c r="C40" s="82">
        <v>531.83261151210888</v>
      </c>
      <c r="D40" s="82">
        <v>544.69057256934025</v>
      </c>
      <c r="E40" s="82">
        <v>603.25177319180489</v>
      </c>
      <c r="F40" s="27"/>
      <c r="G40" s="28">
        <v>13.428879713983079</v>
      </c>
      <c r="H40" s="29">
        <v>10.751278537138575</v>
      </c>
    </row>
    <row r="41" spans="1:9" x14ac:dyDescent="0.2">
      <c r="A41" s="30" t="s">
        <v>27</v>
      </c>
      <c r="B41" s="31" t="s">
        <v>3</v>
      </c>
      <c r="C41" s="80">
        <v>269.44769335165711</v>
      </c>
      <c r="D41" s="80">
        <v>292.60341805499144</v>
      </c>
      <c r="E41" s="83">
        <v>322.36128563705898</v>
      </c>
      <c r="F41" s="22" t="s">
        <v>241</v>
      </c>
      <c r="G41" s="23">
        <v>19.637797461618717</v>
      </c>
      <c r="H41" s="24">
        <v>10.170034164288168</v>
      </c>
    </row>
    <row r="42" spans="1:9" x14ac:dyDescent="0.2">
      <c r="A42" s="34"/>
      <c r="B42" s="25" t="s">
        <v>242</v>
      </c>
      <c r="C42" s="82">
        <v>110.82627223035799</v>
      </c>
      <c r="D42" s="82">
        <v>126.7398785473803</v>
      </c>
      <c r="E42" s="82">
        <v>137.20134468569708</v>
      </c>
      <c r="F42" s="27"/>
      <c r="G42" s="38">
        <v>23.79857404254939</v>
      </c>
      <c r="H42" s="24">
        <v>8.2542813345097841</v>
      </c>
    </row>
    <row r="43" spans="1:9" x14ac:dyDescent="0.2">
      <c r="A43" s="30" t="s">
        <v>30</v>
      </c>
      <c r="B43" s="31" t="s">
        <v>3</v>
      </c>
      <c r="C43" s="80">
        <v>587.55197540449092</v>
      </c>
      <c r="D43" s="80">
        <v>748.4902565046774</v>
      </c>
      <c r="E43" s="83">
        <v>772.25871513466882</v>
      </c>
      <c r="F43" s="22" t="s">
        <v>241</v>
      </c>
      <c r="G43" s="37">
        <v>31.436663897354691</v>
      </c>
      <c r="H43" s="33">
        <v>3.1755201117762226</v>
      </c>
    </row>
    <row r="44" spans="1:9" x14ac:dyDescent="0.2">
      <c r="A44" s="34"/>
      <c r="B44" s="25" t="s">
        <v>242</v>
      </c>
      <c r="C44" s="82">
        <v>277.45812061286858</v>
      </c>
      <c r="D44" s="82">
        <v>369.65849159843611</v>
      </c>
      <c r="E44" s="82">
        <v>375.65758488860376</v>
      </c>
      <c r="F44" s="27"/>
      <c r="G44" s="28">
        <v>35.39253565865198</v>
      </c>
      <c r="H44" s="29">
        <v>1.6228744710359706</v>
      </c>
    </row>
    <row r="45" spans="1:9" x14ac:dyDescent="0.2">
      <c r="A45" s="30" t="s">
        <v>31</v>
      </c>
      <c r="B45" s="31" t="s">
        <v>3</v>
      </c>
      <c r="C45" s="80">
        <v>364.83776376508098</v>
      </c>
      <c r="D45" s="80">
        <v>453.70083030496136</v>
      </c>
      <c r="E45" s="83">
        <v>563.89389054157652</v>
      </c>
      <c r="F45" s="22" t="s">
        <v>241</v>
      </c>
      <c r="G45" s="37">
        <v>54.560176206065051</v>
      </c>
      <c r="H45" s="33">
        <v>24.287603829719103</v>
      </c>
    </row>
    <row r="46" spans="1:9" ht="13.5" thickBot="1" x14ac:dyDescent="0.25">
      <c r="A46" s="56"/>
      <c r="B46" s="42" t="s">
        <v>242</v>
      </c>
      <c r="C46" s="86">
        <v>160.11789564660049</v>
      </c>
      <c r="D46" s="86">
        <v>186.49632195476505</v>
      </c>
      <c r="E46" s="86">
        <v>236.79497818759995</v>
      </c>
      <c r="F46" s="44"/>
      <c r="G46" s="57">
        <v>47.887890501780674</v>
      </c>
      <c r="H46" s="46">
        <v>26.970320757872599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114"/>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243</v>
      </c>
      <c r="G61" s="53"/>
      <c r="H61" s="205">
        <v>11</v>
      </c>
    </row>
    <row r="62" spans="1:9"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election activeCell="A62" sqref="A62"/>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ht="12.75" customHeight="1" x14ac:dyDescent="0.2">
      <c r="A7" s="202" t="s">
        <v>26</v>
      </c>
      <c r="B7" s="19" t="s">
        <v>3</v>
      </c>
      <c r="C7" s="20">
        <v>848267.68337105052</v>
      </c>
      <c r="D7" s="20">
        <v>908662.80747384159</v>
      </c>
      <c r="E7" s="21">
        <v>906444.02588211768</v>
      </c>
      <c r="F7" s="22" t="s">
        <v>241</v>
      </c>
      <c r="G7" s="23">
        <v>6.8582528430025604</v>
      </c>
      <c r="H7" s="24">
        <v>-0.24418096278115797</v>
      </c>
    </row>
    <row r="8" spans="1:8" ht="12.75" customHeight="1" x14ac:dyDescent="0.2">
      <c r="A8" s="203"/>
      <c r="B8" s="25" t="s">
        <v>242</v>
      </c>
      <c r="C8" s="26">
        <v>427796.36811113899</v>
      </c>
      <c r="D8" s="26">
        <v>468298.80239162932</v>
      </c>
      <c r="E8" s="26">
        <v>463766.99701046338</v>
      </c>
      <c r="F8" s="27"/>
      <c r="G8" s="28">
        <v>8.4083530344463782</v>
      </c>
      <c r="H8" s="29">
        <v>-0.96771662836243877</v>
      </c>
    </row>
    <row r="9" spans="1:8" x14ac:dyDescent="0.2">
      <c r="A9" s="30" t="s">
        <v>34</v>
      </c>
      <c r="B9" s="31" t="s">
        <v>3</v>
      </c>
      <c r="C9" s="20">
        <v>9972.7763999999988</v>
      </c>
      <c r="D9" s="20">
        <v>10416.3024</v>
      </c>
      <c r="E9" s="21">
        <v>13197.455686912068</v>
      </c>
      <c r="F9" s="22" t="s">
        <v>241</v>
      </c>
      <c r="G9" s="32">
        <v>32.334819889394794</v>
      </c>
      <c r="H9" s="33">
        <v>26.700005242859177</v>
      </c>
    </row>
    <row r="10" spans="1:8" x14ac:dyDescent="0.2">
      <c r="A10" s="34"/>
      <c r="B10" s="25" t="s">
        <v>242</v>
      </c>
      <c r="C10" s="26">
        <v>4944.6029082940004</v>
      </c>
      <c r="D10" s="26">
        <v>4871.8796000000002</v>
      </c>
      <c r="E10" s="26">
        <v>6291.5</v>
      </c>
      <c r="F10" s="27"/>
      <c r="G10" s="35">
        <v>27.239742334955451</v>
      </c>
      <c r="H10" s="29">
        <v>29.139069857145074</v>
      </c>
    </row>
    <row r="11" spans="1:8" x14ac:dyDescent="0.2">
      <c r="A11" s="30" t="s">
        <v>35</v>
      </c>
      <c r="B11" s="31" t="s">
        <v>3</v>
      </c>
      <c r="C11" s="20">
        <v>3488.0621120000001</v>
      </c>
      <c r="D11" s="20">
        <v>3667.3041920000001</v>
      </c>
      <c r="E11" s="21">
        <v>3420.2061647334476</v>
      </c>
      <c r="F11" s="22" t="s">
        <v>241</v>
      </c>
      <c r="G11" s="37">
        <v>-1.9453766902001917</v>
      </c>
      <c r="H11" s="33">
        <v>-6.7378655909041214</v>
      </c>
    </row>
    <row r="12" spans="1:8" x14ac:dyDescent="0.2">
      <c r="A12" s="34"/>
      <c r="B12" s="25" t="s">
        <v>242</v>
      </c>
      <c r="C12" s="26">
        <v>1773.5682326635199</v>
      </c>
      <c r="D12" s="26">
        <v>1806.3503679999999</v>
      </c>
      <c r="E12" s="26">
        <v>1702.4</v>
      </c>
      <c r="F12" s="27"/>
      <c r="G12" s="28">
        <v>-4.0127146705058152</v>
      </c>
      <c r="H12" s="29">
        <v>-5.7547179019923078</v>
      </c>
    </row>
    <row r="13" spans="1:8" x14ac:dyDescent="0.2">
      <c r="A13" s="30" t="s">
        <v>36</v>
      </c>
      <c r="B13" s="31" t="s">
        <v>3</v>
      </c>
      <c r="C13" s="20">
        <v>165320.38096000001</v>
      </c>
      <c r="D13" s="20">
        <v>166654.99402666668</v>
      </c>
      <c r="E13" s="21">
        <v>167983.61965661641</v>
      </c>
      <c r="F13" s="22" t="s">
        <v>241</v>
      </c>
      <c r="G13" s="23">
        <v>1.6109560606812181</v>
      </c>
      <c r="H13" s="24">
        <v>0.79723121272749609</v>
      </c>
    </row>
    <row r="14" spans="1:8" x14ac:dyDescent="0.2">
      <c r="A14" s="34"/>
      <c r="B14" s="25" t="s">
        <v>242</v>
      </c>
      <c r="C14" s="26">
        <v>81061.782252101606</v>
      </c>
      <c r="D14" s="26">
        <v>85061.430773333326</v>
      </c>
      <c r="E14" s="26">
        <v>84585.333333333328</v>
      </c>
      <c r="F14" s="27"/>
      <c r="G14" s="38">
        <v>4.3467476082298617</v>
      </c>
      <c r="H14" s="24">
        <v>-0.55971012440252821</v>
      </c>
    </row>
    <row r="15" spans="1:8" x14ac:dyDescent="0.2">
      <c r="A15" s="30" t="s">
        <v>18</v>
      </c>
      <c r="B15" s="31" t="s">
        <v>3</v>
      </c>
      <c r="C15" s="20">
        <v>3320.3300800000002</v>
      </c>
      <c r="D15" s="20">
        <v>3467.2172799999998</v>
      </c>
      <c r="E15" s="21">
        <v>3207.4550977775298</v>
      </c>
      <c r="F15" s="22" t="s">
        <v>241</v>
      </c>
      <c r="G15" s="37">
        <v>-3.399510877017093</v>
      </c>
      <c r="H15" s="33">
        <v>-7.4919499196332424</v>
      </c>
    </row>
    <row r="16" spans="1:8" x14ac:dyDescent="0.2">
      <c r="A16" s="34"/>
      <c r="B16" s="25" t="s">
        <v>242</v>
      </c>
      <c r="C16" s="26">
        <v>1880.5487376168001</v>
      </c>
      <c r="D16" s="26">
        <v>1677.39312</v>
      </c>
      <c r="E16" s="26">
        <v>1631</v>
      </c>
      <c r="F16" s="27"/>
      <c r="G16" s="28">
        <v>-13.269995753103984</v>
      </c>
      <c r="H16" s="29">
        <v>-2.7657869492155811</v>
      </c>
    </row>
    <row r="17" spans="1:9" x14ac:dyDescent="0.2">
      <c r="A17" s="30" t="s">
        <v>37</v>
      </c>
      <c r="B17" s="31" t="s">
        <v>3</v>
      </c>
      <c r="C17" s="20">
        <v>3147.0931679999999</v>
      </c>
      <c r="D17" s="20">
        <v>2949.9562879999999</v>
      </c>
      <c r="E17" s="21">
        <v>3211.3856518909097</v>
      </c>
      <c r="F17" s="22" t="s">
        <v>241</v>
      </c>
      <c r="G17" s="37">
        <v>2.0429164457107021</v>
      </c>
      <c r="H17" s="33">
        <v>8.8621436512251677</v>
      </c>
    </row>
    <row r="18" spans="1:9" x14ac:dyDescent="0.2">
      <c r="A18" s="34"/>
      <c r="B18" s="25" t="s">
        <v>242</v>
      </c>
      <c r="C18" s="26">
        <v>1384.35234899528</v>
      </c>
      <c r="D18" s="26">
        <v>1290.0255520000001</v>
      </c>
      <c r="E18" s="26">
        <v>1407.1</v>
      </c>
      <c r="F18" s="27"/>
      <c r="G18" s="28">
        <v>1.6431980645122337</v>
      </c>
      <c r="H18" s="29">
        <v>9.0753588421944613</v>
      </c>
    </row>
    <row r="19" spans="1:9" x14ac:dyDescent="0.2">
      <c r="A19" s="30" t="s">
        <v>38</v>
      </c>
      <c r="B19" s="31" t="s">
        <v>3</v>
      </c>
      <c r="C19" s="20">
        <v>4884.1035199999997</v>
      </c>
      <c r="D19" s="20">
        <v>4901.1736533333333</v>
      </c>
      <c r="E19" s="21">
        <v>6429.5735848283412</v>
      </c>
      <c r="F19" s="22" t="s">
        <v>241</v>
      </c>
      <c r="G19" s="23">
        <v>31.642860527009077</v>
      </c>
      <c r="H19" s="24">
        <v>31.184366023340743</v>
      </c>
    </row>
    <row r="20" spans="1:9" x14ac:dyDescent="0.2">
      <c r="A20" s="30"/>
      <c r="B20" s="25" t="s">
        <v>242</v>
      </c>
      <c r="C20" s="26">
        <v>2252.9470544392002</v>
      </c>
      <c r="D20" s="26">
        <v>2162.5839466666666</v>
      </c>
      <c r="E20" s="26">
        <v>2878.6666666666665</v>
      </c>
      <c r="F20" s="27"/>
      <c r="G20" s="38">
        <v>27.773382911708921</v>
      </c>
      <c r="H20" s="24">
        <v>33.112366394088212</v>
      </c>
    </row>
    <row r="21" spans="1:9" x14ac:dyDescent="0.2">
      <c r="A21" s="39" t="s">
        <v>39</v>
      </c>
      <c r="B21" s="31" t="s">
        <v>3</v>
      </c>
      <c r="C21" s="20">
        <v>256979.17392</v>
      </c>
      <c r="D21" s="20">
        <v>255583.64671999999</v>
      </c>
      <c r="E21" s="21">
        <v>248250.97008206151</v>
      </c>
      <c r="F21" s="22" t="s">
        <v>241</v>
      </c>
      <c r="G21" s="37">
        <v>-3.3964634973321495</v>
      </c>
      <c r="H21" s="33">
        <v>-2.8689928843419636</v>
      </c>
    </row>
    <row r="22" spans="1:9" x14ac:dyDescent="0.2">
      <c r="A22" s="34"/>
      <c r="B22" s="25" t="s">
        <v>242</v>
      </c>
      <c r="C22" s="26">
        <v>141816.88814322319</v>
      </c>
      <c r="D22" s="26">
        <v>135595.26287999999</v>
      </c>
      <c r="E22" s="26">
        <v>133424</v>
      </c>
      <c r="F22" s="27"/>
      <c r="G22" s="28">
        <v>-5.9181161377247662</v>
      </c>
      <c r="H22" s="29">
        <v>-1.6012822527004715</v>
      </c>
    </row>
    <row r="23" spans="1:9" x14ac:dyDescent="0.2">
      <c r="A23" s="39" t="s">
        <v>40</v>
      </c>
      <c r="B23" s="31" t="s">
        <v>3</v>
      </c>
      <c r="C23" s="20">
        <v>182046.6436795707</v>
      </c>
      <c r="D23" s="20">
        <v>194930.2096</v>
      </c>
      <c r="E23" s="21">
        <v>209450.41965621681</v>
      </c>
      <c r="F23" s="22" t="s">
        <v>241</v>
      </c>
      <c r="G23" s="23">
        <v>15.053161883545002</v>
      </c>
      <c r="H23" s="24">
        <v>7.4489275346353452</v>
      </c>
    </row>
    <row r="24" spans="1:9" x14ac:dyDescent="0.2">
      <c r="A24" s="34"/>
      <c r="B24" s="25" t="s">
        <v>242</v>
      </c>
      <c r="C24" s="26">
        <v>81362.411633176001</v>
      </c>
      <c r="D24" s="26">
        <v>103167.5184</v>
      </c>
      <c r="E24" s="26">
        <v>104440</v>
      </c>
      <c r="F24" s="27"/>
      <c r="G24" s="38">
        <v>28.363943378263855</v>
      </c>
      <c r="H24" s="24">
        <v>1.2334130157772591</v>
      </c>
    </row>
    <row r="25" spans="1:9" x14ac:dyDescent="0.2">
      <c r="A25" s="30" t="s">
        <v>41</v>
      </c>
      <c r="B25" s="31" t="s">
        <v>3</v>
      </c>
      <c r="C25" s="20">
        <v>276481.21739999996</v>
      </c>
      <c r="D25" s="20">
        <v>321381.55839999998</v>
      </c>
      <c r="E25" s="21">
        <v>325333.99948524259</v>
      </c>
      <c r="F25" s="22" t="s">
        <v>241</v>
      </c>
      <c r="G25" s="37">
        <v>17.669475903155018</v>
      </c>
      <c r="H25" s="33">
        <v>1.2298282156947238</v>
      </c>
    </row>
    <row r="26" spans="1:9" x14ac:dyDescent="0.2">
      <c r="A26" s="34"/>
      <c r="B26" s="25" t="s">
        <v>242</v>
      </c>
      <c r="C26" s="26">
        <v>135934.110179029</v>
      </c>
      <c r="D26" s="26">
        <v>161604.57860000001</v>
      </c>
      <c r="E26" s="26">
        <v>162360.75</v>
      </c>
      <c r="F26" s="27"/>
      <c r="G26" s="28">
        <v>19.440771551869048</v>
      </c>
      <c r="H26" s="29">
        <v>0.46791458914765371</v>
      </c>
    </row>
    <row r="27" spans="1:9" x14ac:dyDescent="0.2">
      <c r="A27" s="30" t="s">
        <v>24</v>
      </c>
      <c r="B27" s="31" t="s">
        <v>3</v>
      </c>
      <c r="C27" s="20">
        <v>160991.0704</v>
      </c>
      <c r="D27" s="20">
        <v>183511.47306666666</v>
      </c>
      <c r="E27" s="21">
        <v>177913.66133840455</v>
      </c>
      <c r="F27" s="22" t="s">
        <v>241</v>
      </c>
      <c r="G27" s="23">
        <v>10.51150905224651</v>
      </c>
      <c r="H27" s="24">
        <v>-3.0503878775080864</v>
      </c>
    </row>
    <row r="28" spans="1:9" ht="13.5" thickBot="1" x14ac:dyDescent="0.25">
      <c r="A28" s="56"/>
      <c r="B28" s="42" t="s">
        <v>242</v>
      </c>
      <c r="C28" s="43">
        <v>82689.941088783991</v>
      </c>
      <c r="D28" s="43">
        <v>87998.678933333329</v>
      </c>
      <c r="E28" s="43">
        <v>87245.333333333343</v>
      </c>
      <c r="F28" s="44"/>
      <c r="G28" s="57">
        <v>5.5090040996138185</v>
      </c>
      <c r="H28" s="46">
        <v>-0.85608739714230353</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ht="12.75" customHeight="1" x14ac:dyDescent="0.2">
      <c r="A35" s="202" t="s">
        <v>26</v>
      </c>
      <c r="B35" s="19" t="s">
        <v>3</v>
      </c>
      <c r="C35" s="80">
        <v>13878.920128694614</v>
      </c>
      <c r="D35" s="80">
        <v>15161.339619238017</v>
      </c>
      <c r="E35" s="83">
        <v>15815.027604085593</v>
      </c>
      <c r="F35" s="22" t="s">
        <v>241</v>
      </c>
      <c r="G35" s="23">
        <v>13.949986435818488</v>
      </c>
      <c r="H35" s="24">
        <v>4.3115450300850853</v>
      </c>
    </row>
    <row r="36" spans="1:8" ht="12.75" customHeight="1" x14ac:dyDescent="0.2">
      <c r="A36" s="203"/>
      <c r="B36" s="25" t="s">
        <v>242</v>
      </c>
      <c r="C36" s="82">
        <v>7089.2407625657042</v>
      </c>
      <c r="D36" s="82">
        <v>7698.8709484340907</v>
      </c>
      <c r="E36" s="82">
        <v>8046.5419179562896</v>
      </c>
      <c r="F36" s="27"/>
      <c r="G36" s="28">
        <v>13.503577991673723</v>
      </c>
      <c r="H36" s="29">
        <v>4.5158695586774655</v>
      </c>
    </row>
    <row r="37" spans="1:8" x14ac:dyDescent="0.2">
      <c r="A37" s="30" t="s">
        <v>34</v>
      </c>
      <c r="B37" s="31" t="s">
        <v>3</v>
      </c>
      <c r="C37" s="84">
        <v>1227.2357933286007</v>
      </c>
      <c r="D37" s="84">
        <v>1157.1966798513124</v>
      </c>
      <c r="E37" s="83">
        <v>1349.6111587598775</v>
      </c>
      <c r="F37" s="22" t="s">
        <v>241</v>
      </c>
      <c r="G37" s="32">
        <v>9.9716261615350419</v>
      </c>
      <c r="H37" s="33">
        <v>16.627638348676243</v>
      </c>
    </row>
    <row r="38" spans="1:8" x14ac:dyDescent="0.2">
      <c r="A38" s="34"/>
      <c r="B38" s="25" t="s">
        <v>242</v>
      </c>
      <c r="C38" s="82">
        <v>714.2885511083216</v>
      </c>
      <c r="D38" s="82">
        <v>627.70779106913494</v>
      </c>
      <c r="E38" s="82">
        <v>749.0656201409156</v>
      </c>
      <c r="F38" s="27"/>
      <c r="G38" s="35">
        <v>4.8687703279903332</v>
      </c>
      <c r="H38" s="29">
        <v>19.333490964813336</v>
      </c>
    </row>
    <row r="39" spans="1:8" x14ac:dyDescent="0.2">
      <c r="A39" s="30" t="s">
        <v>35</v>
      </c>
      <c r="B39" s="31" t="s">
        <v>3</v>
      </c>
      <c r="C39" s="84">
        <v>38.949811254098535</v>
      </c>
      <c r="D39" s="84">
        <v>43.881944022192918</v>
      </c>
      <c r="E39" s="83">
        <v>42.139987759705932</v>
      </c>
      <c r="F39" s="22" t="s">
        <v>241</v>
      </c>
      <c r="G39" s="37">
        <v>8.1904800123304966</v>
      </c>
      <c r="H39" s="33">
        <v>-3.9696424151263869</v>
      </c>
    </row>
    <row r="40" spans="1:8" x14ac:dyDescent="0.2">
      <c r="A40" s="34"/>
      <c r="B40" s="25" t="s">
        <v>242</v>
      </c>
      <c r="C40" s="82">
        <v>35.664358719885612</v>
      </c>
      <c r="D40" s="82">
        <v>26.955932858509073</v>
      </c>
      <c r="E40" s="82">
        <v>29.075764799209296</v>
      </c>
      <c r="F40" s="27"/>
      <c r="G40" s="28">
        <v>-18.473888658490495</v>
      </c>
      <c r="H40" s="29">
        <v>7.8640644782251172</v>
      </c>
    </row>
    <row r="41" spans="1:8" x14ac:dyDescent="0.2">
      <c r="A41" s="30" t="s">
        <v>36</v>
      </c>
      <c r="B41" s="31" t="s">
        <v>3</v>
      </c>
      <c r="C41" s="84">
        <v>2731.9712473838731</v>
      </c>
      <c r="D41" s="84">
        <v>2877.4410523838951</v>
      </c>
      <c r="E41" s="83">
        <v>2825.1349025539434</v>
      </c>
      <c r="F41" s="22" t="s">
        <v>241</v>
      </c>
      <c r="G41" s="23">
        <v>3.4101257566046428</v>
      </c>
      <c r="H41" s="24">
        <v>-1.8178009167769744</v>
      </c>
    </row>
    <row r="42" spans="1:8" x14ac:dyDescent="0.2">
      <c r="A42" s="34"/>
      <c r="B42" s="25" t="s">
        <v>242</v>
      </c>
      <c r="C42" s="82">
        <v>1375.4550981197708</v>
      </c>
      <c r="D42" s="82">
        <v>1487.3297080513821</v>
      </c>
      <c r="E42" s="82">
        <v>1447.4257961278436</v>
      </c>
      <c r="F42" s="27"/>
      <c r="G42" s="38">
        <v>5.2325007269561752</v>
      </c>
      <c r="H42" s="24">
        <v>-2.6829230739846111</v>
      </c>
    </row>
    <row r="43" spans="1:8" x14ac:dyDescent="0.2">
      <c r="A43" s="30" t="s">
        <v>18</v>
      </c>
      <c r="B43" s="31" t="s">
        <v>3</v>
      </c>
      <c r="C43" s="84">
        <v>225.16202558953506</v>
      </c>
      <c r="D43" s="84">
        <v>278.09246904358503</v>
      </c>
      <c r="E43" s="83">
        <v>283.55773043504718</v>
      </c>
      <c r="F43" s="22" t="s">
        <v>241</v>
      </c>
      <c r="G43" s="37">
        <v>25.934970469650182</v>
      </c>
      <c r="H43" s="33">
        <v>1.965267671669892</v>
      </c>
    </row>
    <row r="44" spans="1:8" x14ac:dyDescent="0.2">
      <c r="A44" s="34"/>
      <c r="B44" s="25" t="s">
        <v>242</v>
      </c>
      <c r="C44" s="82">
        <v>121.01125307828093</v>
      </c>
      <c r="D44" s="82">
        <v>139.06257217275049</v>
      </c>
      <c r="E44" s="82">
        <v>145.16111418247914</v>
      </c>
      <c r="F44" s="27"/>
      <c r="G44" s="28">
        <v>19.956706909378013</v>
      </c>
      <c r="H44" s="29">
        <v>4.3854661354550046</v>
      </c>
    </row>
    <row r="45" spans="1:8" x14ac:dyDescent="0.2">
      <c r="A45" s="30" t="s">
        <v>37</v>
      </c>
      <c r="B45" s="31" t="s">
        <v>3</v>
      </c>
      <c r="C45" s="84">
        <v>128.70785007181718</v>
      </c>
      <c r="D45" s="84">
        <v>121.77996405712665</v>
      </c>
      <c r="E45" s="83">
        <v>168.42435274036316</v>
      </c>
      <c r="F45" s="22" t="s">
        <v>241</v>
      </c>
      <c r="G45" s="37">
        <v>30.85787125368401</v>
      </c>
      <c r="H45" s="33">
        <v>38.302186278652329</v>
      </c>
    </row>
    <row r="46" spans="1:8" x14ac:dyDescent="0.2">
      <c r="A46" s="34"/>
      <c r="B46" s="25" t="s">
        <v>242</v>
      </c>
      <c r="C46" s="82">
        <v>52.509752181704833</v>
      </c>
      <c r="D46" s="82">
        <v>50.44355364111275</v>
      </c>
      <c r="E46" s="82">
        <v>69.410516106018875</v>
      </c>
      <c r="F46" s="27"/>
      <c r="G46" s="28">
        <v>32.18595255569025</v>
      </c>
      <c r="H46" s="29">
        <v>37.600369315471028</v>
      </c>
    </row>
    <row r="47" spans="1:8" x14ac:dyDescent="0.2">
      <c r="A47" s="30" t="s">
        <v>38</v>
      </c>
      <c r="B47" s="31" t="s">
        <v>3</v>
      </c>
      <c r="C47" s="84">
        <v>88.781088354513912</v>
      </c>
      <c r="D47" s="84">
        <v>96.395796485767377</v>
      </c>
      <c r="E47" s="83">
        <v>147.25151733798427</v>
      </c>
      <c r="F47" s="22" t="s">
        <v>241</v>
      </c>
      <c r="G47" s="23">
        <v>65.859103630258119</v>
      </c>
      <c r="H47" s="24">
        <v>52.757197622954067</v>
      </c>
    </row>
    <row r="48" spans="1:8" x14ac:dyDescent="0.2">
      <c r="A48" s="30"/>
      <c r="B48" s="25" t="s">
        <v>242</v>
      </c>
      <c r="C48" s="82">
        <v>40.26808393912912</v>
      </c>
      <c r="D48" s="82">
        <v>42.835532346140099</v>
      </c>
      <c r="E48" s="82">
        <v>65.879526151365894</v>
      </c>
      <c r="F48" s="27"/>
      <c r="G48" s="38">
        <v>63.60233640853653</v>
      </c>
      <c r="H48" s="24">
        <v>53.796445481323133</v>
      </c>
    </row>
    <row r="49" spans="1:9" x14ac:dyDescent="0.2">
      <c r="A49" s="39" t="s">
        <v>39</v>
      </c>
      <c r="B49" s="31" t="s">
        <v>3</v>
      </c>
      <c r="C49" s="84">
        <v>1584.2496189421049</v>
      </c>
      <c r="D49" s="84">
        <v>1617.9421538693196</v>
      </c>
      <c r="E49" s="83">
        <v>1604.3159321539781</v>
      </c>
      <c r="F49" s="22" t="s">
        <v>241</v>
      </c>
      <c r="G49" s="37">
        <v>1.2666131001042942</v>
      </c>
      <c r="H49" s="33">
        <v>-0.8421946163374372</v>
      </c>
    </row>
    <row r="50" spans="1:9" x14ac:dyDescent="0.2">
      <c r="A50" s="34"/>
      <c r="B50" s="25" t="s">
        <v>242</v>
      </c>
      <c r="C50" s="82">
        <v>835.24716621188054</v>
      </c>
      <c r="D50" s="82">
        <v>812.75420314831831</v>
      </c>
      <c r="E50" s="82">
        <v>818.78967411403482</v>
      </c>
      <c r="F50" s="27"/>
      <c r="G50" s="28">
        <v>-1.9703738921361236</v>
      </c>
      <c r="H50" s="29">
        <v>0.74259486353159332</v>
      </c>
    </row>
    <row r="51" spans="1:9" x14ac:dyDescent="0.2">
      <c r="A51" s="39" t="s">
        <v>40</v>
      </c>
      <c r="B51" s="31" t="s">
        <v>3</v>
      </c>
      <c r="C51" s="84">
        <v>713.86243103917968</v>
      </c>
      <c r="D51" s="84">
        <v>810.08675183774267</v>
      </c>
      <c r="E51" s="83">
        <v>884.76667322951641</v>
      </c>
      <c r="F51" s="22" t="s">
        <v>241</v>
      </c>
      <c r="G51" s="23">
        <v>23.940781130833415</v>
      </c>
      <c r="H51" s="24">
        <v>9.2187560433937108</v>
      </c>
    </row>
    <row r="52" spans="1:9" x14ac:dyDescent="0.2">
      <c r="A52" s="34"/>
      <c r="B52" s="25" t="s">
        <v>242</v>
      </c>
      <c r="C52" s="82">
        <v>329.76536009603979</v>
      </c>
      <c r="D52" s="82">
        <v>396.04442313619967</v>
      </c>
      <c r="E52" s="82">
        <v>424.30463450776983</v>
      </c>
      <c r="F52" s="27"/>
      <c r="G52" s="38">
        <v>28.668649243267026</v>
      </c>
      <c r="H52" s="24">
        <v>7.1356165421502453</v>
      </c>
    </row>
    <row r="53" spans="1:9" x14ac:dyDescent="0.2">
      <c r="A53" s="30" t="s">
        <v>41</v>
      </c>
      <c r="B53" s="31" t="s">
        <v>3</v>
      </c>
      <c r="C53" s="84">
        <v>6408.9540404294748</v>
      </c>
      <c r="D53" s="84">
        <v>7311.0329433679644</v>
      </c>
      <c r="E53" s="83">
        <v>7647.0597127147112</v>
      </c>
      <c r="F53" s="22" t="s">
        <v>241</v>
      </c>
      <c r="G53" s="37">
        <v>19.318373395641771</v>
      </c>
      <c r="H53" s="33">
        <v>4.5961599674033238</v>
      </c>
    </row>
    <row r="54" spans="1:9" x14ac:dyDescent="0.2">
      <c r="A54" s="34"/>
      <c r="B54" s="25" t="s">
        <v>242</v>
      </c>
      <c r="C54" s="82">
        <v>3218.1398981756743</v>
      </c>
      <c r="D54" s="82">
        <v>3715.7998075899509</v>
      </c>
      <c r="E54" s="82">
        <v>3870.8740176722463</v>
      </c>
      <c r="F54" s="27"/>
      <c r="G54" s="28">
        <v>20.282962834107977</v>
      </c>
      <c r="H54" s="29">
        <v>4.1733736506885748</v>
      </c>
    </row>
    <row r="55" spans="1:9" x14ac:dyDescent="0.2">
      <c r="A55" s="30" t="s">
        <v>24</v>
      </c>
      <c r="B55" s="31" t="s">
        <v>3</v>
      </c>
      <c r="C55" s="84">
        <v>731.04622230141717</v>
      </c>
      <c r="D55" s="84">
        <v>847.48986431911203</v>
      </c>
      <c r="E55" s="83">
        <v>885.90614287889537</v>
      </c>
      <c r="F55" s="22" t="s">
        <v>241</v>
      </c>
      <c r="G55" s="23">
        <v>21.183328201869571</v>
      </c>
      <c r="H55" s="24">
        <v>4.532948437164805</v>
      </c>
    </row>
    <row r="56" spans="1:9" ht="13.5" thickBot="1" x14ac:dyDescent="0.25">
      <c r="A56" s="56"/>
      <c r="B56" s="42" t="s">
        <v>242</v>
      </c>
      <c r="C56" s="86">
        <v>366.89121043501757</v>
      </c>
      <c r="D56" s="86">
        <v>399.93742442059386</v>
      </c>
      <c r="E56" s="86">
        <v>426.55525415440644</v>
      </c>
      <c r="F56" s="44"/>
      <c r="G56" s="57">
        <v>16.262053170651342</v>
      </c>
      <c r="H56" s="46">
        <v>6.6554986126579507</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H61" s="197">
        <v>12</v>
      </c>
    </row>
    <row r="62" spans="1:9" ht="12.75" customHeight="1" x14ac:dyDescent="0.2">
      <c r="A62" s="54" t="s">
        <v>244</v>
      </c>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election activeCell="Y70" sqref="Y70"/>
    </sheetView>
  </sheetViews>
  <sheetFormatPr baseColWidth="10"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5"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0" t="s">
        <v>1</v>
      </c>
      <c r="H5" s="201"/>
    </row>
    <row r="6" spans="1:8" x14ac:dyDescent="0.2">
      <c r="A6" s="12"/>
      <c r="B6" s="13"/>
      <c r="C6" s="14" t="s">
        <v>236</v>
      </c>
      <c r="D6" s="15" t="s">
        <v>237</v>
      </c>
      <c r="E6" s="15" t="s">
        <v>238</v>
      </c>
      <c r="F6" s="16"/>
      <c r="G6" s="17" t="s">
        <v>239</v>
      </c>
      <c r="H6" s="18" t="s">
        <v>240</v>
      </c>
    </row>
    <row r="7" spans="1:8" x14ac:dyDescent="0.2">
      <c r="A7" s="202" t="s">
        <v>17</v>
      </c>
      <c r="B7" s="19" t="s">
        <v>3</v>
      </c>
      <c r="C7" s="20">
        <v>312410.11965267966</v>
      </c>
      <c r="D7" s="20">
        <v>401911.93909904256</v>
      </c>
      <c r="E7" s="21">
        <v>462463.75193544652</v>
      </c>
      <c r="F7" s="22" t="s">
        <v>241</v>
      </c>
      <c r="G7" s="23">
        <v>48.030976861309171</v>
      </c>
      <c r="H7" s="24">
        <v>15.065940308253005</v>
      </c>
    </row>
    <row r="8" spans="1:8" x14ac:dyDescent="0.2">
      <c r="A8" s="203"/>
      <c r="B8" s="25" t="s">
        <v>242</v>
      </c>
      <c r="C8" s="26">
        <v>145788.80437477111</v>
      </c>
      <c r="D8" s="26">
        <v>170352.54489963202</v>
      </c>
      <c r="E8" s="26">
        <v>202199.83768464744</v>
      </c>
      <c r="F8" s="27"/>
      <c r="G8" s="28">
        <v>38.693666191859052</v>
      </c>
      <c r="H8" s="29">
        <v>18.694932208837358</v>
      </c>
    </row>
    <row r="9" spans="1:8" x14ac:dyDescent="0.2">
      <c r="A9" s="30" t="s">
        <v>18</v>
      </c>
      <c r="B9" s="31" t="s">
        <v>3</v>
      </c>
      <c r="C9" s="20">
        <v>22734.102206588694</v>
      </c>
      <c r="D9" s="20">
        <v>24841.406678260872</v>
      </c>
      <c r="E9" s="21">
        <v>30281.269643064079</v>
      </c>
      <c r="F9" s="22" t="s">
        <v>241</v>
      </c>
      <c r="G9" s="32">
        <v>33.197560950034358</v>
      </c>
      <c r="H9" s="33">
        <v>21.898369264103394</v>
      </c>
    </row>
    <row r="10" spans="1:8" x14ac:dyDescent="0.2">
      <c r="A10" s="34"/>
      <c r="B10" s="25" t="s">
        <v>242</v>
      </c>
      <c r="C10" s="26">
        <v>9757.9448150269563</v>
      </c>
      <c r="D10" s="26">
        <v>10033.357495652173</v>
      </c>
      <c r="E10" s="26">
        <v>12475.858356521738</v>
      </c>
      <c r="F10" s="27"/>
      <c r="G10" s="35">
        <v>27.853339950327168</v>
      </c>
      <c r="H10" s="29">
        <v>24.343803775834672</v>
      </c>
    </row>
    <row r="11" spans="1:8" x14ac:dyDescent="0.2">
      <c r="A11" s="30" t="s">
        <v>19</v>
      </c>
      <c r="B11" s="31" t="s">
        <v>3</v>
      </c>
      <c r="C11" s="20">
        <v>60163.007355295653</v>
      </c>
      <c r="D11" s="20">
        <v>69858.022260869562</v>
      </c>
      <c r="E11" s="21">
        <v>65631.8179579321</v>
      </c>
      <c r="F11" s="22" t="s">
        <v>241</v>
      </c>
      <c r="G11" s="37">
        <v>9.0899887539532642</v>
      </c>
      <c r="H11" s="33">
        <v>-6.0497050534233949</v>
      </c>
    </row>
    <row r="12" spans="1:8" x14ac:dyDescent="0.2">
      <c r="A12" s="34"/>
      <c r="B12" s="25" t="s">
        <v>242</v>
      </c>
      <c r="C12" s="26">
        <v>27622.482716756524</v>
      </c>
      <c r="D12" s="26">
        <v>35590.191652173911</v>
      </c>
      <c r="E12" s="26">
        <v>32258.194521739129</v>
      </c>
      <c r="F12" s="27"/>
      <c r="G12" s="28">
        <v>16.782386480308901</v>
      </c>
      <c r="H12" s="29">
        <v>-9.3621219098752988</v>
      </c>
    </row>
    <row r="13" spans="1:8" x14ac:dyDescent="0.2">
      <c r="A13" s="30" t="s">
        <v>20</v>
      </c>
      <c r="B13" s="31" t="s">
        <v>3</v>
      </c>
      <c r="C13" s="20">
        <v>26862.717788236027</v>
      </c>
      <c r="D13" s="20">
        <v>29684.962981366458</v>
      </c>
      <c r="E13" s="21">
        <v>34809.367141838069</v>
      </c>
      <c r="F13" s="22" t="s">
        <v>241</v>
      </c>
      <c r="G13" s="23">
        <v>29.582447376497811</v>
      </c>
      <c r="H13" s="24">
        <v>17.262626076671367</v>
      </c>
    </row>
    <row r="14" spans="1:8" x14ac:dyDescent="0.2">
      <c r="A14" s="34"/>
      <c r="B14" s="25" t="s">
        <v>242</v>
      </c>
      <c r="C14" s="26">
        <v>11981.89653178882</v>
      </c>
      <c r="D14" s="26">
        <v>13391.138881987577</v>
      </c>
      <c r="E14" s="26">
        <v>15643.568819875776</v>
      </c>
      <c r="F14" s="27"/>
      <c r="G14" s="38">
        <v>30.560039292379798</v>
      </c>
      <c r="H14" s="24">
        <v>16.820301527287882</v>
      </c>
    </row>
    <row r="15" spans="1:8" x14ac:dyDescent="0.2">
      <c r="A15" s="30" t="s">
        <v>21</v>
      </c>
      <c r="B15" s="31" t="s">
        <v>3</v>
      </c>
      <c r="C15" s="20">
        <v>4938.2510215688408</v>
      </c>
      <c r="D15" s="20">
        <v>4864.7808695652175</v>
      </c>
      <c r="E15" s="21">
        <v>5481.7379964526681</v>
      </c>
      <c r="F15" s="22" t="s">
        <v>241</v>
      </c>
      <c r="G15" s="37">
        <v>11.005657114432509</v>
      </c>
      <c r="H15" s="33">
        <v>12.682115462738011</v>
      </c>
    </row>
    <row r="16" spans="1:8" x14ac:dyDescent="0.2">
      <c r="A16" s="34"/>
      <c r="B16" s="25" t="s">
        <v>242</v>
      </c>
      <c r="C16" s="26">
        <v>2745.8448217717391</v>
      </c>
      <c r="D16" s="26">
        <v>2139.4988405797103</v>
      </c>
      <c r="E16" s="26">
        <v>2591.4159057971015</v>
      </c>
      <c r="F16" s="27"/>
      <c r="G16" s="28">
        <v>-5.6240948050004391</v>
      </c>
      <c r="H16" s="29">
        <v>21.122566492952217</v>
      </c>
    </row>
    <row r="17" spans="1:8" x14ac:dyDescent="0.2">
      <c r="A17" s="30" t="s">
        <v>22</v>
      </c>
      <c r="B17" s="31" t="s">
        <v>3</v>
      </c>
      <c r="C17" s="20">
        <v>6123.2510215688408</v>
      </c>
      <c r="D17" s="20">
        <v>8089.7808695652175</v>
      </c>
      <c r="E17" s="21">
        <v>20463.507190848431</v>
      </c>
      <c r="F17" s="22" t="s">
        <v>241</v>
      </c>
      <c r="G17" s="37">
        <v>234.1935047047192</v>
      </c>
      <c r="H17" s="33">
        <v>152.95502462662176</v>
      </c>
    </row>
    <row r="18" spans="1:8" x14ac:dyDescent="0.2">
      <c r="A18" s="34"/>
      <c r="B18" s="25" t="s">
        <v>242</v>
      </c>
      <c r="C18" s="26">
        <v>2502.8448217717391</v>
      </c>
      <c r="D18" s="26">
        <v>2976.4988405797103</v>
      </c>
      <c r="E18" s="26">
        <v>7788.415905797101</v>
      </c>
      <c r="F18" s="27"/>
      <c r="G18" s="28">
        <v>211.18253269428658</v>
      </c>
      <c r="H18" s="29">
        <v>161.66366334885618</v>
      </c>
    </row>
    <row r="19" spans="1:8" x14ac:dyDescent="0.2">
      <c r="A19" s="30" t="s">
        <v>190</v>
      </c>
      <c r="B19" s="31" t="s">
        <v>3</v>
      </c>
      <c r="C19" s="20">
        <v>123601.29447059006</v>
      </c>
      <c r="D19" s="20">
        <v>173973.40745341615</v>
      </c>
      <c r="E19" s="21">
        <v>237547.36093616969</v>
      </c>
      <c r="F19" s="22" t="s">
        <v>241</v>
      </c>
      <c r="G19" s="23">
        <v>92.188408668076022</v>
      </c>
      <c r="H19" s="24">
        <v>36.542339667501409</v>
      </c>
    </row>
    <row r="20" spans="1:8" x14ac:dyDescent="0.2">
      <c r="A20" s="30"/>
      <c r="B20" s="25" t="s">
        <v>242</v>
      </c>
      <c r="C20" s="26">
        <v>57320.241329472046</v>
      </c>
      <c r="D20" s="26">
        <v>69746.847204968944</v>
      </c>
      <c r="E20" s="26">
        <v>99739.422049689441</v>
      </c>
      <c r="F20" s="27"/>
      <c r="G20" s="38">
        <v>74.00384181286924</v>
      </c>
      <c r="H20" s="24">
        <v>43.002051055554745</v>
      </c>
    </row>
    <row r="21" spans="1:8" x14ac:dyDescent="0.2">
      <c r="A21" s="39" t="s">
        <v>12</v>
      </c>
      <c r="B21" s="31" t="s">
        <v>3</v>
      </c>
      <c r="C21" s="20">
        <v>1834.7506129413043</v>
      </c>
      <c r="D21" s="20">
        <v>1964.6685217391305</v>
      </c>
      <c r="E21" s="21">
        <v>2050.9771989841433</v>
      </c>
      <c r="F21" s="22" t="s">
        <v>241</v>
      </c>
      <c r="G21" s="37">
        <v>11.785066837841484</v>
      </c>
      <c r="H21" s="33">
        <v>4.393040163773378</v>
      </c>
    </row>
    <row r="22" spans="1:8" x14ac:dyDescent="0.2">
      <c r="A22" s="34"/>
      <c r="B22" s="25" t="s">
        <v>242</v>
      </c>
      <c r="C22" s="26">
        <v>826.70689306304348</v>
      </c>
      <c r="D22" s="26">
        <v>905.09930434782609</v>
      </c>
      <c r="E22" s="26">
        <v>937.8495434782609</v>
      </c>
      <c r="F22" s="27"/>
      <c r="G22" s="28">
        <v>13.444021254428051</v>
      </c>
      <c r="H22" s="29">
        <v>3.6184139102872308</v>
      </c>
    </row>
    <row r="23" spans="1:8" x14ac:dyDescent="0.2">
      <c r="A23" s="39" t="s">
        <v>23</v>
      </c>
      <c r="B23" s="31" t="s">
        <v>3</v>
      </c>
      <c r="C23" s="20">
        <v>12935.251021568842</v>
      </c>
      <c r="D23" s="20">
        <v>13348.780869565217</v>
      </c>
      <c r="E23" s="21">
        <v>13268.578639036932</v>
      </c>
      <c r="F23" s="22" t="s">
        <v>241</v>
      </c>
      <c r="G23" s="23">
        <v>2.5768933042913886</v>
      </c>
      <c r="H23" s="24">
        <v>-0.60082063906781968</v>
      </c>
    </row>
    <row r="24" spans="1:8" x14ac:dyDescent="0.2">
      <c r="A24" s="34"/>
      <c r="B24" s="25" t="s">
        <v>242</v>
      </c>
      <c r="C24" s="26">
        <v>6312.8448217717387</v>
      </c>
      <c r="D24" s="26">
        <v>6570.4988405797103</v>
      </c>
      <c r="E24" s="26">
        <v>6512.415905797101</v>
      </c>
      <c r="F24" s="27"/>
      <c r="G24" s="28">
        <v>3.161349433730436</v>
      </c>
      <c r="H24" s="29">
        <v>-0.88399581511052361</v>
      </c>
    </row>
    <row r="25" spans="1:8" x14ac:dyDescent="0.2">
      <c r="A25" s="30" t="s">
        <v>24</v>
      </c>
      <c r="B25" s="31" t="s">
        <v>3</v>
      </c>
      <c r="C25" s="20">
        <v>59331.502043137676</v>
      </c>
      <c r="D25" s="20">
        <v>86794.56173913044</v>
      </c>
      <c r="E25" s="21">
        <v>69453.718120325604</v>
      </c>
      <c r="F25" s="22" t="s">
        <v>241</v>
      </c>
      <c r="G25" s="23">
        <v>17.060441297825975</v>
      </c>
      <c r="H25" s="24">
        <v>-19.979182187617283</v>
      </c>
    </row>
    <row r="26" spans="1:8" ht="13.5" thickBot="1" x14ac:dyDescent="0.25">
      <c r="A26" s="41"/>
      <c r="B26" s="42" t="s">
        <v>242</v>
      </c>
      <c r="C26" s="43">
        <v>29277.689643543479</v>
      </c>
      <c r="D26" s="43">
        <v>33293.997681159417</v>
      </c>
      <c r="E26" s="43">
        <v>28777.831811594202</v>
      </c>
      <c r="F26" s="44"/>
      <c r="G26" s="45">
        <v>-1.7072994421180709</v>
      </c>
      <c r="H26" s="46">
        <v>-13.564504667821382</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6" t="s">
        <v>16</v>
      </c>
      <c r="D33" s="200"/>
      <c r="E33" s="200"/>
      <c r="F33" s="207"/>
      <c r="G33" s="200" t="s">
        <v>1</v>
      </c>
      <c r="H33" s="201"/>
    </row>
    <row r="34" spans="1:8" x14ac:dyDescent="0.2">
      <c r="A34" s="12"/>
      <c r="B34" s="13"/>
      <c r="C34" s="14" t="s">
        <v>236</v>
      </c>
      <c r="D34" s="15" t="s">
        <v>237</v>
      </c>
      <c r="E34" s="15" t="s">
        <v>238</v>
      </c>
      <c r="F34" s="16"/>
      <c r="G34" s="17" t="s">
        <v>239</v>
      </c>
      <c r="H34" s="18" t="s">
        <v>240</v>
      </c>
    </row>
    <row r="35" spans="1:8" x14ac:dyDescent="0.2">
      <c r="A35" s="202" t="s">
        <v>17</v>
      </c>
      <c r="B35" s="19" t="s">
        <v>3</v>
      </c>
      <c r="C35" s="80">
        <v>7171.790369567203</v>
      </c>
      <c r="D35" s="80">
        <v>8904.3769745772461</v>
      </c>
      <c r="E35" s="83">
        <v>8251.1728223890368</v>
      </c>
      <c r="F35" s="22" t="s">
        <v>241</v>
      </c>
      <c r="G35" s="23">
        <v>15.050390449253626</v>
      </c>
      <c r="H35" s="24">
        <v>-7.3357648048051232</v>
      </c>
    </row>
    <row r="36" spans="1:8" x14ac:dyDescent="0.2">
      <c r="A36" s="203"/>
      <c r="B36" s="25" t="s">
        <v>242</v>
      </c>
      <c r="C36" s="82">
        <v>3523.3386332618047</v>
      </c>
      <c r="D36" s="82">
        <v>4388.2652719303569</v>
      </c>
      <c r="E36" s="82">
        <v>4062.0977013556694</v>
      </c>
      <c r="F36" s="27"/>
      <c r="G36" s="28">
        <v>15.291152062641714</v>
      </c>
      <c r="H36" s="29">
        <v>-7.4327222800550885</v>
      </c>
    </row>
    <row r="37" spans="1:8" x14ac:dyDescent="0.2">
      <c r="A37" s="30" t="s">
        <v>18</v>
      </c>
      <c r="B37" s="31" t="s">
        <v>3</v>
      </c>
      <c r="C37" s="80">
        <v>2543.9606140869655</v>
      </c>
      <c r="D37" s="80">
        <v>3037.3151262980327</v>
      </c>
      <c r="E37" s="83">
        <v>2779.6605607444858</v>
      </c>
      <c r="F37" s="22" t="s">
        <v>241</v>
      </c>
      <c r="G37" s="32">
        <v>9.2650784509929736</v>
      </c>
      <c r="H37" s="33">
        <v>-8.4829711386445297</v>
      </c>
    </row>
    <row r="38" spans="1:8" x14ac:dyDescent="0.2">
      <c r="A38" s="34"/>
      <c r="B38" s="25" t="s">
        <v>242</v>
      </c>
      <c r="C38" s="82">
        <v>1318.1752343744988</v>
      </c>
      <c r="D38" s="82">
        <v>1500.8721099651136</v>
      </c>
      <c r="E38" s="82">
        <v>1395.1058473316755</v>
      </c>
      <c r="F38" s="27"/>
      <c r="G38" s="35">
        <v>5.8361446149973943</v>
      </c>
      <c r="H38" s="29">
        <v>-7.0469870104986114</v>
      </c>
    </row>
    <row r="39" spans="1:8" x14ac:dyDescent="0.2">
      <c r="A39" s="30" t="s">
        <v>19</v>
      </c>
      <c r="B39" s="31" t="s">
        <v>3</v>
      </c>
      <c r="C39" s="80">
        <v>2463.2625002424425</v>
      </c>
      <c r="D39" s="80">
        <v>2934.800680629909</v>
      </c>
      <c r="E39" s="83">
        <v>2838.2274261014859</v>
      </c>
      <c r="F39" s="22" t="s">
        <v>241</v>
      </c>
      <c r="G39" s="37">
        <v>15.222288563323573</v>
      </c>
      <c r="H39" s="33">
        <v>-3.2906239652259899</v>
      </c>
    </row>
    <row r="40" spans="1:8" x14ac:dyDescent="0.2">
      <c r="A40" s="34"/>
      <c r="B40" s="25" t="s">
        <v>242</v>
      </c>
      <c r="C40" s="82">
        <v>1126.2878727043585</v>
      </c>
      <c r="D40" s="82">
        <v>1458.7859096493157</v>
      </c>
      <c r="E40" s="82">
        <v>1370.9734004788904</v>
      </c>
      <c r="F40" s="27"/>
      <c r="G40" s="28">
        <v>21.724954490277099</v>
      </c>
      <c r="H40" s="29">
        <v>-6.0195611014322736</v>
      </c>
    </row>
    <row r="41" spans="1:8" x14ac:dyDescent="0.2">
      <c r="A41" s="30" t="s">
        <v>20</v>
      </c>
      <c r="B41" s="31" t="s">
        <v>3</v>
      </c>
      <c r="C41" s="80">
        <v>364.95528732458075</v>
      </c>
      <c r="D41" s="80">
        <v>375.52211592854422</v>
      </c>
      <c r="E41" s="83">
        <v>382.41482588795452</v>
      </c>
      <c r="F41" s="22" t="s">
        <v>241</v>
      </c>
      <c r="G41" s="23">
        <v>4.7840212677466383</v>
      </c>
      <c r="H41" s="24">
        <v>1.8355004051803689</v>
      </c>
    </row>
    <row r="42" spans="1:8" x14ac:dyDescent="0.2">
      <c r="A42" s="34"/>
      <c r="B42" s="25" t="s">
        <v>242</v>
      </c>
      <c r="C42" s="82">
        <v>179.17424255642928</v>
      </c>
      <c r="D42" s="82">
        <v>180.20655249564686</v>
      </c>
      <c r="E42" s="82">
        <v>184.90346538867234</v>
      </c>
      <c r="F42" s="27"/>
      <c r="G42" s="38">
        <v>3.1975705606450049</v>
      </c>
      <c r="H42" s="24">
        <v>2.6064051656162377</v>
      </c>
    </row>
    <row r="43" spans="1:8" x14ac:dyDescent="0.2">
      <c r="A43" s="30" t="s">
        <v>21</v>
      </c>
      <c r="B43" s="31" t="s">
        <v>3</v>
      </c>
      <c r="C43" s="80">
        <v>41.787927755822388</v>
      </c>
      <c r="D43" s="80">
        <v>45.958752576502974</v>
      </c>
      <c r="E43" s="83">
        <v>39.678187303108608</v>
      </c>
      <c r="F43" s="22" t="s">
        <v>241</v>
      </c>
      <c r="G43" s="37">
        <v>-5.048684072207493</v>
      </c>
      <c r="H43" s="33">
        <v>-13.665656531777557</v>
      </c>
    </row>
    <row r="44" spans="1:8" x14ac:dyDescent="0.2">
      <c r="A44" s="34"/>
      <c r="B44" s="25" t="s">
        <v>242</v>
      </c>
      <c r="C44" s="82">
        <v>21.515225994318296</v>
      </c>
      <c r="D44" s="82">
        <v>31.970662681987005</v>
      </c>
      <c r="E44" s="82">
        <v>24.70977321093061</v>
      </c>
      <c r="F44" s="27"/>
      <c r="G44" s="28">
        <v>14.847844114934801</v>
      </c>
      <c r="H44" s="29">
        <v>-22.711100934255398</v>
      </c>
    </row>
    <row r="45" spans="1:8" x14ac:dyDescent="0.2">
      <c r="A45" s="30" t="s">
        <v>22</v>
      </c>
      <c r="B45" s="31" t="s">
        <v>3</v>
      </c>
      <c r="C45" s="80">
        <v>29.436083674779386</v>
      </c>
      <c r="D45" s="80">
        <v>40.378602719497835</v>
      </c>
      <c r="E45" s="83">
        <v>123.49824755125545</v>
      </c>
      <c r="F45" s="22" t="s">
        <v>241</v>
      </c>
      <c r="G45" s="37">
        <v>319.54714124239229</v>
      </c>
      <c r="H45" s="33">
        <v>205.8507210097718</v>
      </c>
    </row>
    <row r="46" spans="1:8" x14ac:dyDescent="0.2">
      <c r="A46" s="34"/>
      <c r="B46" s="25" t="s">
        <v>242</v>
      </c>
      <c r="C46" s="82">
        <v>12.518163086875674</v>
      </c>
      <c r="D46" s="82">
        <v>14.781898403603858</v>
      </c>
      <c r="E46" s="82">
        <v>47.409856111533024</v>
      </c>
      <c r="F46" s="27"/>
      <c r="G46" s="28">
        <v>278.72853854443377</v>
      </c>
      <c r="H46" s="29">
        <v>220.72914328767411</v>
      </c>
    </row>
    <row r="47" spans="1:8" x14ac:dyDescent="0.2">
      <c r="A47" s="30" t="s">
        <v>190</v>
      </c>
      <c r="B47" s="31" t="s">
        <v>3</v>
      </c>
      <c r="C47" s="80">
        <v>820.1524830819003</v>
      </c>
      <c r="D47" s="80">
        <v>1259.2014506981184</v>
      </c>
      <c r="E47" s="83">
        <v>1095.0853128280235</v>
      </c>
      <c r="F47" s="22" t="s">
        <v>241</v>
      </c>
      <c r="G47" s="23">
        <v>33.522160258907405</v>
      </c>
      <c r="H47" s="24">
        <v>-13.03335044437145</v>
      </c>
    </row>
    <row r="48" spans="1:8" x14ac:dyDescent="0.2">
      <c r="A48" s="30"/>
      <c r="B48" s="25" t="s">
        <v>242</v>
      </c>
      <c r="C48" s="82">
        <v>425.26182601591137</v>
      </c>
      <c r="D48" s="82">
        <v>658.30810524718947</v>
      </c>
      <c r="E48" s="82">
        <v>570.93667709330623</v>
      </c>
      <c r="F48" s="27"/>
      <c r="G48" s="38">
        <v>34.255332166105205</v>
      </c>
      <c r="H48" s="24">
        <v>-13.272117942566723</v>
      </c>
    </row>
    <row r="49" spans="1:8" x14ac:dyDescent="0.2">
      <c r="A49" s="39" t="s">
        <v>12</v>
      </c>
      <c r="B49" s="31" t="s">
        <v>3</v>
      </c>
      <c r="C49" s="80">
        <v>20.946257253498224</v>
      </c>
      <c r="D49" s="80">
        <v>22.759661424554807</v>
      </c>
      <c r="E49" s="83">
        <v>27.206192821652749</v>
      </c>
      <c r="F49" s="22" t="s">
        <v>241</v>
      </c>
      <c r="G49" s="37">
        <v>29.885699828827683</v>
      </c>
      <c r="H49" s="33">
        <v>19.536896064282814</v>
      </c>
    </row>
    <row r="50" spans="1:8" x14ac:dyDescent="0.2">
      <c r="A50" s="34"/>
      <c r="B50" s="25" t="s">
        <v>242</v>
      </c>
      <c r="C50" s="82">
        <v>11.143323733511908</v>
      </c>
      <c r="D50" s="82">
        <v>12.616943625180449</v>
      </c>
      <c r="E50" s="82">
        <v>14.87352672125993</v>
      </c>
      <c r="F50" s="27"/>
      <c r="G50" s="28">
        <v>33.474778952441142</v>
      </c>
      <c r="H50" s="29">
        <v>17.885338661384466</v>
      </c>
    </row>
    <row r="51" spans="1:8" x14ac:dyDescent="0.2">
      <c r="A51" s="39" t="s">
        <v>23</v>
      </c>
      <c r="B51" s="31" t="s">
        <v>3</v>
      </c>
      <c r="C51" s="80">
        <v>307.54379769015588</v>
      </c>
      <c r="D51" s="80">
        <v>332.94284501083894</v>
      </c>
      <c r="E51" s="83">
        <v>313.42965278091845</v>
      </c>
      <c r="F51" s="22" t="s">
        <v>241</v>
      </c>
      <c r="G51" s="23">
        <v>1.913826627286582</v>
      </c>
      <c r="H51" s="24">
        <v>-5.8608234182912895</v>
      </c>
    </row>
    <row r="52" spans="1:8" x14ac:dyDescent="0.2">
      <c r="A52" s="34"/>
      <c r="B52" s="25" t="s">
        <v>242</v>
      </c>
      <c r="C52" s="82">
        <v>146.07792628073491</v>
      </c>
      <c r="D52" s="82">
        <v>155.51724806569752</v>
      </c>
      <c r="E52" s="82">
        <v>147.21714157609409</v>
      </c>
      <c r="F52" s="27"/>
      <c r="G52" s="28">
        <v>0.77986820073678587</v>
      </c>
      <c r="H52" s="29">
        <v>-5.3370970698356786</v>
      </c>
    </row>
    <row r="53" spans="1:8" x14ac:dyDescent="0.2">
      <c r="A53" s="30" t="s">
        <v>24</v>
      </c>
      <c r="B53" s="31" t="s">
        <v>3</v>
      </c>
      <c r="C53" s="80">
        <v>579.74541845705608</v>
      </c>
      <c r="D53" s="80">
        <v>855.49773929124785</v>
      </c>
      <c r="E53" s="83">
        <v>673.88280949477598</v>
      </c>
      <c r="F53" s="22" t="s">
        <v>241</v>
      </c>
      <c r="G53" s="23">
        <v>16.237711940571913</v>
      </c>
      <c r="H53" s="24">
        <v>-21.229153679229356</v>
      </c>
    </row>
    <row r="54" spans="1:8" ht="13.5" thickBot="1" x14ac:dyDescent="0.25">
      <c r="A54" s="41"/>
      <c r="B54" s="42" t="s">
        <v>242</v>
      </c>
      <c r="C54" s="86">
        <v>283.18481851516555</v>
      </c>
      <c r="D54" s="86">
        <v>375.20584179662251</v>
      </c>
      <c r="E54" s="86">
        <v>305.96801344330663</v>
      </c>
      <c r="F54" s="44"/>
      <c r="G54" s="45">
        <v>8.0453447496236379</v>
      </c>
      <c r="H54" s="46">
        <v>-18.453291670987809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5">
        <v>13</v>
      </c>
    </row>
    <row r="62" spans="1:8" ht="12.75" customHeight="1" x14ac:dyDescent="0.2">
      <c r="A62" s="54" t="s">
        <v>244</v>
      </c>
      <c r="G62" s="53"/>
      <c r="H62" s="198"/>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23</vt:i4>
      </vt:variant>
      <vt:variant>
        <vt:lpstr>Navngitte områder</vt:lpstr>
      </vt:variant>
      <vt:variant>
        <vt:i4>28</vt:i4>
      </vt:variant>
    </vt:vector>
  </HeadingPairs>
  <TitlesOfParts>
    <vt:vector size="5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pros_1</vt:lpstr>
      <vt:lpstr>pros_2</vt:lpstr>
      <vt:lpstr>Innhold!Utskriftsområde</vt:lpstr>
      <vt:lpstr>'Tab1'!Utskriftsområde</vt:lpstr>
      <vt:lpstr>'Tab10'!Utskriftsområde</vt:lpstr>
      <vt:lpstr>'Tab11'!Utskriftsområde</vt:lpstr>
      <vt:lpstr>'Tab12'!Utskriftsområde</vt:lpstr>
      <vt:lpstr>'Tab13'!Utskriftsområde</vt:lpstr>
      <vt:lpstr>'Tab14'!Utskriftsområde</vt:lpstr>
      <vt:lpstr>'Tab15'!Utskriftsområde</vt:lpstr>
      <vt:lpstr>'Tab16'!Utskriftsområde</vt:lpstr>
      <vt:lpstr>'Tab17'!Utskriftsområde</vt:lpstr>
      <vt:lpstr>'Tab18'!Utskriftsområde</vt:lpstr>
      <vt:lpstr>'Tab19'!Utskriftsområde</vt:lpstr>
      <vt:lpstr>'Tab20'!Utskriftsområde</vt:lpstr>
      <vt:lpstr>'Tab21'!Utskriftsområde</vt:lpstr>
      <vt:lpstr>'Tab4'!Utskriftsområde</vt:lpstr>
      <vt:lpstr>'Tab5'!Utskriftsområde</vt:lpstr>
      <vt:lpstr>'Tab6'!Utskriftsområde</vt:lpstr>
      <vt:lpstr>'Tab7'!Utskriftsområde</vt:lpstr>
      <vt:lpstr>'Tab8'!Utskriftsområde</vt:lpstr>
      <vt:lpstr>'Tab9'!Utskriftsområde</vt:lpstr>
      <vt:lpstr>Utskriftsområde</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Joël Fomete</cp:lastModifiedBy>
  <cp:lastPrinted>2019-08-27T06:59:28Z</cp:lastPrinted>
  <dcterms:created xsi:type="dcterms:W3CDTF">2002-02-09T09:48:14Z</dcterms:created>
  <dcterms:modified xsi:type="dcterms:W3CDTF">2019-08-28T07:58:57Z</dcterms:modified>
</cp:coreProperties>
</file>