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O:\SFA\HMoseby\Kvartalstatistikkene\Skadestatistikk\Rapport\"/>
    </mc:Choice>
  </mc:AlternateContent>
  <xr:revisionPtr revIDLastSave="0" documentId="8_{A993585F-FADD-4BCF-BB51-F77895A7416D}" xr6:coauthVersionLast="31" xr6:coauthVersionMax="31" xr10:uidLastSave="{00000000-0000-0000-0000-000000000000}"/>
  <bookViews>
    <workbookView xWindow="7668" yWindow="-12" windowWidth="7356" windowHeight="5292" tabRatio="721"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22">'Tab21'!$A$1:$N$53</definedName>
    <definedName name="_xlnm.Print_Area" localSheetId="4">'Tab3'!$A$1:$H$62</definedName>
    <definedName name="_xlnm.Print_Area">'Tab9'!$A$4:$H$62</definedName>
    <definedName name="pros_1">'Tab3'!$H$6</definedName>
    <definedName name="pros_2">'Tab3'!$G$6</definedName>
  </definedNames>
  <calcPr calcId="179017"/>
</workbook>
</file>

<file path=xl/calcChain.xml><?xml version="1.0" encoding="utf-8"?>
<calcChain xmlns="http://schemas.openxmlformats.org/spreadsheetml/2006/main">
  <c r="S213" i="19" l="1"/>
  <c r="R213" i="19"/>
  <c r="P213" i="19"/>
  <c r="O213" i="19"/>
  <c r="M213" i="19"/>
  <c r="L213" i="19"/>
  <c r="T212" i="19" l="1"/>
  <c r="N211" i="19"/>
  <c r="Q212" i="19"/>
  <c r="N212" i="19"/>
  <c r="D212" i="19" l="1"/>
  <c r="C212" i="19"/>
  <c r="T211" i="19"/>
  <c r="Q211" i="19"/>
  <c r="D211" i="19"/>
  <c r="C211" i="19"/>
  <c r="D210" i="19" l="1"/>
  <c r="C210" i="19"/>
  <c r="T210" i="19"/>
  <c r="Q210" i="19"/>
  <c r="N210" i="19"/>
  <c r="D209" i="19" l="1"/>
  <c r="C209" i="19"/>
  <c r="D208" i="19" l="1"/>
  <c r="C208" i="19"/>
  <c r="D207" i="19" l="1"/>
  <c r="C207" i="19"/>
  <c r="B124" i="21"/>
  <c r="Q209" i="19" l="1"/>
  <c r="N209" i="19"/>
  <c r="T209" i="19"/>
  <c r="T208" i="19"/>
  <c r="Q208" i="19"/>
  <c r="N208" i="19"/>
  <c r="Q206" i="19"/>
  <c r="T207" i="19"/>
  <c r="N207" i="19"/>
  <c r="Q207" i="19"/>
  <c r="N206" i="19"/>
  <c r="T206" i="19"/>
  <c r="C206" i="19"/>
  <c r="D206" i="19"/>
  <c r="C205" i="19" l="1"/>
  <c r="D205" i="19"/>
  <c r="D204" i="19" l="1"/>
  <c r="C204" i="19"/>
  <c r="T205" i="19" l="1"/>
  <c r="Q205" i="19"/>
  <c r="N205" i="19"/>
  <c r="T203" i="19"/>
  <c r="Q204" i="19"/>
  <c r="N204" i="19"/>
  <c r="T204" i="19"/>
  <c r="N203" i="19"/>
  <c r="Q203" i="19"/>
  <c r="D203" i="19"/>
  <c r="C203" i="19"/>
  <c r="D202" i="19" l="1"/>
  <c r="C202" i="19"/>
  <c r="C201" i="19" l="1"/>
  <c r="D201" i="19"/>
  <c r="D200" i="19"/>
  <c r="C200" i="19"/>
  <c r="D199" i="19"/>
  <c r="C199" i="19"/>
  <c r="C198" i="19"/>
  <c r="D198" i="19"/>
  <c r="C197" i="19"/>
  <c r="D197" i="19"/>
  <c r="T198" i="19" l="1"/>
  <c r="N202" i="19"/>
  <c r="Q202" i="19"/>
  <c r="T202" i="19"/>
  <c r="Q201" i="19"/>
  <c r="N201" i="19"/>
  <c r="N200" i="19"/>
  <c r="T201" i="19"/>
  <c r="T200" i="19"/>
  <c r="Q200" i="19"/>
  <c r="T199" i="19"/>
  <c r="Q199" i="19"/>
  <c r="N199" i="19"/>
  <c r="Q198" i="19"/>
  <c r="N198" i="19"/>
  <c r="H24" i="21"/>
  <c r="D196" i="19"/>
  <c r="C196" i="19"/>
  <c r="K195" i="19"/>
  <c r="J195" i="19"/>
  <c r="D195" i="19"/>
  <c r="C195" i="19"/>
  <c r="K191" i="19"/>
  <c r="D194" i="19" l="1"/>
  <c r="C194" i="19"/>
  <c r="T197" i="19" l="1"/>
  <c r="N197" i="19"/>
  <c r="Q197" i="19"/>
  <c r="N195" i="19"/>
  <c r="T196" i="19"/>
  <c r="N196" i="19"/>
  <c r="Q196" i="19"/>
  <c r="B123" i="21"/>
  <c r="C193" i="19"/>
  <c r="D193" i="19"/>
  <c r="D192" i="19"/>
  <c r="C192" i="19"/>
  <c r="L215" i="19"/>
  <c r="D191" i="19"/>
  <c r="C191" i="19"/>
  <c r="Q191" i="19"/>
  <c r="C190" i="19"/>
  <c r="D190" i="19"/>
  <c r="D189" i="19"/>
  <c r="C189" i="19"/>
  <c r="D188" i="19"/>
  <c r="C188" i="19"/>
  <c r="D187" i="19"/>
  <c r="C187" i="19"/>
  <c r="C186" i="19"/>
  <c r="D186" i="19"/>
  <c r="B15" i="21"/>
  <c r="AD32" i="19"/>
  <c r="B20" i="21" s="1"/>
  <c r="AD6" i="19"/>
  <c r="B19" i="21" s="1"/>
  <c r="X112" i="19" l="1"/>
  <c r="W112" i="19"/>
  <c r="T193" i="19"/>
  <c r="Q193" i="19"/>
  <c r="N193" i="19"/>
  <c r="T192" i="19"/>
  <c r="T191" i="19"/>
  <c r="Q192" i="19"/>
  <c r="N192" i="19"/>
  <c r="T189" i="19"/>
  <c r="Q188" i="19"/>
  <c r="N186" i="19"/>
  <c r="T187" i="19"/>
  <c r="N188" i="19"/>
  <c r="N190" i="19"/>
  <c r="N191" i="19"/>
  <c r="Q186" i="19"/>
  <c r="Q187" i="19"/>
  <c r="N187" i="19"/>
  <c r="N189" i="19"/>
  <c r="Q190" i="19"/>
  <c r="T188" i="19"/>
  <c r="Q189" i="19"/>
  <c r="T190" i="19"/>
  <c r="T186" i="19"/>
  <c r="D185" i="19"/>
  <c r="C185" i="19"/>
  <c r="D184" i="19"/>
  <c r="C184" i="19"/>
  <c r="N181" i="19"/>
  <c r="D183" i="19"/>
  <c r="C183" i="19"/>
  <c r="D182" i="19"/>
  <c r="C182" i="19"/>
  <c r="C181" i="19"/>
  <c r="D181" i="19"/>
  <c r="C180" i="19"/>
  <c r="D180" i="19"/>
  <c r="I32" i="19"/>
  <c r="B14" i="21" s="1"/>
  <c r="N108" i="19"/>
  <c r="D179" i="19"/>
  <c r="C179" i="19"/>
  <c r="D178" i="19"/>
  <c r="C178" i="19"/>
  <c r="C177" i="19"/>
  <c r="D177" i="19"/>
  <c r="D176" i="19"/>
  <c r="C176" i="19"/>
  <c r="D175" i="19"/>
  <c r="C175" i="19"/>
  <c r="D174" i="19"/>
  <c r="C174" i="19"/>
  <c r="D173" i="19"/>
  <c r="C173" i="19"/>
  <c r="D172" i="19"/>
  <c r="C172" i="19"/>
  <c r="D171" i="19"/>
  <c r="C171" i="19"/>
  <c r="D170" i="19"/>
  <c r="C170" i="19"/>
  <c r="D169" i="19"/>
  <c r="C169" i="19"/>
  <c r="D168" i="19"/>
  <c r="C168" i="19"/>
  <c r="D167" i="19"/>
  <c r="C167" i="19"/>
  <c r="D166" i="19"/>
  <c r="C166" i="19"/>
  <c r="D165" i="19"/>
  <c r="C165" i="19"/>
  <c r="D164" i="19"/>
  <c r="C164" i="19"/>
  <c r="D163" i="19"/>
  <c r="C163" i="19"/>
  <c r="D162" i="19"/>
  <c r="C162" i="19"/>
  <c r="D161" i="19"/>
  <c r="C161" i="19"/>
  <c r="D160" i="19"/>
  <c r="C160" i="19"/>
  <c r="D156" i="19"/>
  <c r="D159" i="19"/>
  <c r="C159" i="19"/>
  <c r="C158" i="19"/>
  <c r="D158" i="19"/>
  <c r="D157" i="19"/>
  <c r="C157" i="19"/>
  <c r="C156" i="19"/>
  <c r="C112" i="19"/>
  <c r="C113" i="19" s="1"/>
  <c r="C114" i="19" s="1"/>
  <c r="D112" i="19"/>
  <c r="D113" i="19" s="1"/>
  <c r="D114" i="19" s="1"/>
  <c r="C116" i="19"/>
  <c r="D116" i="19"/>
  <c r="D117" i="19" s="1"/>
  <c r="D118" i="19" s="1"/>
  <c r="C120" i="19"/>
  <c r="C121" i="19" s="1"/>
  <c r="C122" i="19" s="1"/>
  <c r="D120" i="19"/>
  <c r="D121" i="19" s="1"/>
  <c r="D122" i="19" s="1"/>
  <c r="C124" i="19"/>
  <c r="C125" i="19" s="1"/>
  <c r="C126" i="19" s="1"/>
  <c r="D124" i="19"/>
  <c r="D125" i="19" s="1"/>
  <c r="D126" i="19" s="1"/>
  <c r="C128" i="19"/>
  <c r="C129" i="19" s="1"/>
  <c r="C130" i="19" s="1"/>
  <c r="D128" i="19"/>
  <c r="D129" i="19" s="1"/>
  <c r="D130" i="19" s="1"/>
  <c r="C132" i="19"/>
  <c r="C133" i="19" s="1"/>
  <c r="D132" i="19"/>
  <c r="D133" i="19" s="1"/>
  <c r="C134" i="19"/>
  <c r="D134" i="19"/>
  <c r="C135" i="19"/>
  <c r="D135" i="19"/>
  <c r="C136" i="19"/>
  <c r="D136" i="19"/>
  <c r="C137" i="19"/>
  <c r="D137" i="19"/>
  <c r="C138" i="19"/>
  <c r="D138" i="19"/>
  <c r="C139" i="19"/>
  <c r="D139" i="19"/>
  <c r="C140" i="19"/>
  <c r="D140" i="19"/>
  <c r="C141" i="19"/>
  <c r="D141" i="19"/>
  <c r="C142" i="19"/>
  <c r="D142" i="19"/>
  <c r="C143" i="19"/>
  <c r="D143" i="19"/>
  <c r="C144" i="19"/>
  <c r="D144" i="19"/>
  <c r="C145" i="19"/>
  <c r="D145" i="19"/>
  <c r="C146" i="19"/>
  <c r="D146" i="19"/>
  <c r="C147" i="19"/>
  <c r="D147" i="19"/>
  <c r="C148" i="19"/>
  <c r="D148" i="19"/>
  <c r="C149" i="19"/>
  <c r="D149" i="19"/>
  <c r="C150" i="19"/>
  <c r="D150" i="19"/>
  <c r="C151" i="19"/>
  <c r="D151" i="19"/>
  <c r="C152" i="19"/>
  <c r="D152" i="19"/>
  <c r="C153" i="19"/>
  <c r="D153" i="19"/>
  <c r="C154" i="19"/>
  <c r="D154" i="19"/>
  <c r="C155" i="19"/>
  <c r="D155" i="19"/>
  <c r="H26" i="21"/>
  <c r="L214" i="19" l="1"/>
  <c r="Y112" i="19"/>
  <c r="N185" i="19"/>
  <c r="N184" i="19"/>
  <c r="T104" i="19"/>
  <c r="T108" i="19"/>
  <c r="T112" i="19"/>
  <c r="T116" i="19"/>
  <c r="T120" i="19"/>
  <c r="T124" i="19"/>
  <c r="T128" i="19"/>
  <c r="T132" i="19"/>
  <c r="T136" i="19"/>
  <c r="T140" i="19"/>
  <c r="T144" i="19"/>
  <c r="T148" i="19"/>
  <c r="T152" i="19"/>
  <c r="T156" i="19"/>
  <c r="T160" i="19"/>
  <c r="T164" i="19"/>
  <c r="T168" i="19"/>
  <c r="T172" i="19"/>
  <c r="T176" i="19"/>
  <c r="T180" i="19"/>
  <c r="T184" i="19"/>
  <c r="Q106" i="19"/>
  <c r="Q110" i="19"/>
  <c r="Q114" i="19"/>
  <c r="Q118" i="19"/>
  <c r="Q122" i="19"/>
  <c r="Q126" i="19"/>
  <c r="Q130" i="19"/>
  <c r="Q134" i="19"/>
  <c r="Q138" i="19"/>
  <c r="Q142" i="19"/>
  <c r="Q146" i="19"/>
  <c r="Q150" i="19"/>
  <c r="Q154" i="19"/>
  <c r="Q158" i="19"/>
  <c r="Q162" i="19"/>
  <c r="Q166" i="19"/>
  <c r="Q170" i="19"/>
  <c r="Q174" i="19"/>
  <c r="Q178" i="19"/>
  <c r="Q182" i="19"/>
  <c r="T103" i="19"/>
  <c r="T145" i="19"/>
  <c r="T161" i="19"/>
  <c r="T173" i="19"/>
  <c r="T185" i="19"/>
  <c r="Q111" i="19"/>
  <c r="Q123" i="19"/>
  <c r="Q139" i="19"/>
  <c r="Q155" i="19"/>
  <c r="Q167" i="19"/>
  <c r="Q175" i="19"/>
  <c r="Q103" i="19"/>
  <c r="T107" i="19"/>
  <c r="T111" i="19"/>
  <c r="T115" i="19"/>
  <c r="T119" i="19"/>
  <c r="T123" i="19"/>
  <c r="T127" i="19"/>
  <c r="T131" i="19"/>
  <c r="T135" i="19"/>
  <c r="T139" i="19"/>
  <c r="T143" i="19"/>
  <c r="T147" i="19"/>
  <c r="T151" i="19"/>
  <c r="T155" i="19"/>
  <c r="T159" i="19"/>
  <c r="T163" i="19"/>
  <c r="T167" i="19"/>
  <c r="T171" i="19"/>
  <c r="T175" i="19"/>
  <c r="T179" i="19"/>
  <c r="T183" i="19"/>
  <c r="Q105" i="19"/>
  <c r="Q109" i="19"/>
  <c r="Q113" i="19"/>
  <c r="Q117" i="19"/>
  <c r="Q121" i="19"/>
  <c r="Q125" i="19"/>
  <c r="Q129" i="19"/>
  <c r="Q133" i="19"/>
  <c r="Q137" i="19"/>
  <c r="Q141" i="19"/>
  <c r="Q145" i="19"/>
  <c r="Q149" i="19"/>
  <c r="Q153" i="19"/>
  <c r="Q157" i="19"/>
  <c r="Q161" i="19"/>
  <c r="Q165" i="19"/>
  <c r="Q169" i="19"/>
  <c r="Q173" i="19"/>
  <c r="Q177" i="19"/>
  <c r="Q181" i="19"/>
  <c r="Q185" i="19"/>
  <c r="T137" i="19"/>
  <c r="T153" i="19"/>
  <c r="T169" i="19"/>
  <c r="T181" i="19"/>
  <c r="Q115" i="19"/>
  <c r="Q127" i="19"/>
  <c r="Q135" i="19"/>
  <c r="Q151" i="19"/>
  <c r="Q163" i="19"/>
  <c r="Q179" i="19"/>
  <c r="T106" i="19"/>
  <c r="T110" i="19"/>
  <c r="T114" i="19"/>
  <c r="T118" i="19"/>
  <c r="T122" i="19"/>
  <c r="T126" i="19"/>
  <c r="T130" i="19"/>
  <c r="T134" i="19"/>
  <c r="T138" i="19"/>
  <c r="T142" i="19"/>
  <c r="T146" i="19"/>
  <c r="T150" i="19"/>
  <c r="T154" i="19"/>
  <c r="T158" i="19"/>
  <c r="T162" i="19"/>
  <c r="T166" i="19"/>
  <c r="T170" i="19"/>
  <c r="T174" i="19"/>
  <c r="T178" i="19"/>
  <c r="T182" i="19"/>
  <c r="Q104" i="19"/>
  <c r="Q108" i="19"/>
  <c r="Q112" i="19"/>
  <c r="Q116" i="19"/>
  <c r="Q120" i="19"/>
  <c r="Q124" i="19"/>
  <c r="Q128" i="19"/>
  <c r="Q132" i="19"/>
  <c r="Q136" i="19"/>
  <c r="Q140" i="19"/>
  <c r="Q144" i="19"/>
  <c r="Q148" i="19"/>
  <c r="Q152" i="19"/>
  <c r="Q156" i="19"/>
  <c r="Q160" i="19"/>
  <c r="Q164" i="19"/>
  <c r="Q168" i="19"/>
  <c r="Q172" i="19"/>
  <c r="Q176" i="19"/>
  <c r="Q180" i="19"/>
  <c r="Q184" i="19"/>
  <c r="T105" i="19"/>
  <c r="T109" i="19"/>
  <c r="T113" i="19"/>
  <c r="T117" i="19"/>
  <c r="T121" i="19"/>
  <c r="T125" i="19"/>
  <c r="T129" i="19"/>
  <c r="T133" i="19"/>
  <c r="T141" i="19"/>
  <c r="T149" i="19"/>
  <c r="T157" i="19"/>
  <c r="T165" i="19"/>
  <c r="T177" i="19"/>
  <c r="Q107" i="19"/>
  <c r="Q119" i="19"/>
  <c r="Q131" i="19"/>
  <c r="Q143" i="19"/>
  <c r="Q147" i="19"/>
  <c r="Q159" i="19"/>
  <c r="Q171" i="19"/>
  <c r="Q183" i="19"/>
  <c r="N183" i="19"/>
  <c r="N180" i="19"/>
  <c r="I6" i="19"/>
  <c r="B13" i="21" s="1"/>
  <c r="AD61" i="19"/>
  <c r="P62" i="19"/>
  <c r="H53" i="24"/>
  <c r="AD62" i="19"/>
  <c r="H28" i="21"/>
  <c r="H29" i="21" s="1"/>
  <c r="H31" i="21" s="1"/>
  <c r="H32" i="21" s="1"/>
  <c r="H27" i="21"/>
  <c r="A62" i="19"/>
  <c r="N106" i="19"/>
  <c r="N104" i="19"/>
  <c r="N102" i="19"/>
  <c r="N100" i="19"/>
  <c r="N98" i="19"/>
  <c r="N96" i="19"/>
  <c r="N94" i="19"/>
  <c r="N92" i="19"/>
  <c r="N90" i="19"/>
  <c r="N88" i="19"/>
  <c r="N86" i="19"/>
  <c r="N84" i="19"/>
  <c r="N82" i="19"/>
  <c r="N80" i="19"/>
  <c r="N78" i="19"/>
  <c r="N76" i="19"/>
  <c r="N74" i="19"/>
  <c r="N72" i="19"/>
  <c r="C117" i="19"/>
  <c r="C118" i="19" s="1"/>
  <c r="N105" i="19"/>
  <c r="N103" i="19"/>
  <c r="N101" i="19"/>
  <c r="N99" i="19"/>
  <c r="N97" i="19"/>
  <c r="N95" i="19"/>
  <c r="N93" i="19"/>
  <c r="N91" i="19"/>
  <c r="N89" i="19"/>
  <c r="N87" i="19"/>
  <c r="N85" i="19"/>
  <c r="N83" i="19"/>
  <c r="N81" i="19"/>
  <c r="N79" i="19"/>
  <c r="N77" i="19"/>
  <c r="N75" i="19"/>
  <c r="N73" i="19"/>
  <c r="N71" i="19"/>
  <c r="A61" i="19"/>
  <c r="H52" i="24"/>
  <c r="X125" i="19"/>
  <c r="X84" i="19"/>
  <c r="W84" i="19"/>
  <c r="W125" i="19"/>
  <c r="B62" i="21"/>
  <c r="A52" i="23"/>
  <c r="W62" i="19"/>
  <c r="I62" i="19"/>
  <c r="A53" i="24"/>
  <c r="O215" i="19"/>
  <c r="B61" i="21"/>
  <c r="P61" i="19"/>
  <c r="X124" i="19"/>
  <c r="A51" i="23"/>
  <c r="W61" i="19"/>
  <c r="I61" i="19"/>
  <c r="A52" i="24"/>
  <c r="X133" i="19"/>
  <c r="X131" i="19"/>
  <c r="X86" i="19"/>
  <c r="X92" i="19"/>
  <c r="Y121" i="19"/>
  <c r="W82" i="19"/>
  <c r="W100" i="19" s="1"/>
  <c r="W111" i="19" s="1"/>
  <c r="X70" i="19"/>
  <c r="X121" i="19"/>
  <c r="X132" i="19"/>
  <c r="W123" i="19"/>
  <c r="W128" i="19"/>
  <c r="Z70" i="19"/>
  <c r="Y82" i="19"/>
  <c r="Y100" i="19" s="1"/>
  <c r="Y111" i="19" s="1"/>
  <c r="Y128" i="19"/>
  <c r="W129" i="19"/>
  <c r="W133" i="19"/>
  <c r="W86" i="19"/>
  <c r="N177" i="19"/>
  <c r="N175" i="19"/>
  <c r="N173" i="19"/>
  <c r="N171" i="19"/>
  <c r="N169" i="19"/>
  <c r="N167" i="19"/>
  <c r="N165" i="19"/>
  <c r="N163" i="19"/>
  <c r="N161" i="19"/>
  <c r="N159" i="19"/>
  <c r="N157" i="19"/>
  <c r="N155"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78" i="19"/>
  <c r="N176" i="19"/>
  <c r="N174" i="19"/>
  <c r="N172" i="19"/>
  <c r="N170" i="19"/>
  <c r="N168" i="19"/>
  <c r="N166" i="19"/>
  <c r="N164" i="19"/>
  <c r="N162" i="19"/>
  <c r="N160" i="19"/>
  <c r="N158" i="19"/>
  <c r="N156" i="19"/>
  <c r="N154" i="19"/>
  <c r="N152" i="19"/>
  <c r="N150" i="19"/>
  <c r="N148" i="19"/>
  <c r="N146" i="19"/>
  <c r="N144" i="19"/>
  <c r="N142" i="19"/>
  <c r="N140" i="19"/>
  <c r="N138" i="19"/>
  <c r="N136" i="19"/>
  <c r="N134" i="19"/>
  <c r="N132" i="19"/>
  <c r="N130" i="19"/>
  <c r="N128" i="19"/>
  <c r="N126" i="19"/>
  <c r="N124" i="19"/>
  <c r="N122" i="19"/>
  <c r="N120" i="19"/>
  <c r="N118" i="19"/>
  <c r="N116" i="19"/>
  <c r="N114" i="19"/>
  <c r="N112" i="19"/>
  <c r="N110" i="19"/>
  <c r="W132" i="19"/>
  <c r="X128" i="19"/>
  <c r="Y70" i="19"/>
  <c r="W121" i="19"/>
  <c r="H33" i="21" l="1"/>
  <c r="H34" i="21" s="1"/>
  <c r="H35" i="21" s="1"/>
  <c r="H36" i="21" s="1"/>
  <c r="H37" i="21" s="1"/>
  <c r="H38" i="21" s="1"/>
  <c r="H40" i="21" s="1"/>
  <c r="H43" i="21" s="1"/>
  <c r="W114" i="19"/>
  <c r="X101" i="19"/>
  <c r="R215" i="19"/>
  <c r="P215" i="19"/>
  <c r="W6" i="19"/>
  <c r="B17" i="21" s="1"/>
  <c r="W32" i="19"/>
  <c r="B18" i="21" s="1"/>
  <c r="P32" i="19"/>
  <c r="B16" i="21" s="1"/>
  <c r="A6" i="19"/>
  <c r="B11" i="21" s="1"/>
  <c r="A32" i="19"/>
  <c r="B12" i="21" s="1"/>
  <c r="S215" i="19"/>
  <c r="X77" i="19"/>
  <c r="X91" i="19"/>
  <c r="W83" i="19"/>
  <c r="W91" i="19"/>
  <c r="X89" i="19"/>
  <c r="W87" i="19"/>
  <c r="X103" i="19"/>
  <c r="W106" i="19"/>
  <c r="X129" i="19"/>
  <c r="X114" i="19"/>
  <c r="W117" i="19"/>
  <c r="X106" i="19"/>
  <c r="X85" i="19"/>
  <c r="W90" i="19"/>
  <c r="X102" i="19"/>
  <c r="W85" i="19"/>
  <c r="W101" i="19"/>
  <c r="X75" i="19"/>
  <c r="W88" i="19"/>
  <c r="Z76" i="19"/>
  <c r="Y88" i="19"/>
  <c r="W122" i="19"/>
  <c r="X122" i="19"/>
  <c r="Y133" i="19"/>
  <c r="Y85" i="19"/>
  <c r="W103" i="19"/>
  <c r="W102" i="19"/>
  <c r="W113" i="19"/>
  <c r="X117" i="19"/>
  <c r="X113" i="19"/>
  <c r="M215" i="19"/>
  <c r="X74" i="19"/>
  <c r="X72" i="19"/>
  <c r="W89" i="19"/>
  <c r="X123" i="19"/>
  <c r="X130" i="19"/>
  <c r="Y123" i="19"/>
  <c r="E214" i="19"/>
  <c r="Y129" i="19"/>
  <c r="X76" i="19"/>
  <c r="Z74" i="19"/>
  <c r="X83" i="19"/>
  <c r="Y83" i="19"/>
  <c r="Y91" i="19"/>
  <c r="W92" i="19"/>
  <c r="Y92" i="19"/>
  <c r="X87" i="19"/>
  <c r="X90" i="19"/>
  <c r="X88" i="19"/>
  <c r="Y122" i="19"/>
  <c r="Y124" i="19"/>
  <c r="X82" i="19"/>
  <c r="X100" i="19" s="1"/>
  <c r="X111" i="19" s="1"/>
  <c r="W124" i="19"/>
  <c r="Y130" i="19"/>
  <c r="W130" i="19"/>
  <c r="Y72" i="19"/>
  <c r="Y74" i="19"/>
  <c r="Y76" i="19"/>
  <c r="Y77" i="19"/>
  <c r="Z72" i="19"/>
  <c r="Y75" i="19"/>
  <c r="W131" i="19"/>
  <c r="Q195" i="19" l="1"/>
  <c r="T195" i="19"/>
  <c r="H41" i="21"/>
  <c r="Y131" i="19"/>
  <c r="Y106" i="19"/>
  <c r="Y117" i="19"/>
  <c r="Y125" i="19"/>
  <c r="Y103" i="19"/>
  <c r="Y87" i="19"/>
  <c r="G214" i="19"/>
  <c r="Z77" i="19"/>
  <c r="Y101" i="19"/>
  <c r="Z75" i="19"/>
  <c r="X104" i="19"/>
  <c r="R214" i="19"/>
  <c r="S214" i="19"/>
  <c r="P214" i="19"/>
  <c r="O214" i="19"/>
  <c r="X78" i="19"/>
  <c r="Y89" i="19"/>
  <c r="M214" i="19"/>
  <c r="W93" i="19"/>
  <c r="W95" i="19" s="1"/>
  <c r="Y114" i="19"/>
  <c r="Y102" i="19"/>
  <c r="Y113" i="19"/>
  <c r="H45" i="21"/>
  <c r="H46" i="21" s="1"/>
  <c r="H44" i="21"/>
  <c r="X115" i="19"/>
  <c r="Y132" i="19"/>
  <c r="Y84" i="19"/>
  <c r="Y86" i="19"/>
  <c r="Y90" i="19"/>
  <c r="W104" i="19"/>
  <c r="W115" i="19"/>
  <c r="X93" i="19"/>
  <c r="X95" i="19" s="1"/>
  <c r="N179" i="19"/>
  <c r="Y78" i="19"/>
  <c r="T194" i="19" l="1"/>
  <c r="N194" i="19"/>
  <c r="Q194" i="19"/>
  <c r="Z78" i="19"/>
  <c r="H47" i="21"/>
  <c r="H48" i="21" s="1"/>
  <c r="Y93" i="19"/>
  <c r="Y95" i="19" s="1"/>
  <c r="Y115" i="19"/>
  <c r="Y104" i="19"/>
  <c r="N182" i="19"/>
  <c r="H66" i="21" l="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<sst xmlns="http://schemas.openxmlformats.org/spreadsheetml/2006/main" count="1453" uniqueCount="245">
  <si>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</si>
  <si>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</si>
  <si>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</si>
  <si>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</si>
  <si>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</si>
  <si>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</si>
  <si>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</si>
  <si>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</si>
  <si>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</si>
  <si>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</si>
  <si>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</si>
  <si>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</si>
  <si>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</si>
  <si>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</si>
  <si>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</si>
  <si>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</si>
  <si>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</si>
  <si>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</si>
  <si>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</si>
  <si>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</si>
  <si>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</si>
  <si>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</si>
  <si>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</si>
  <si>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</si>
  <si>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</si>
  <si>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</si>
  <si>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</si>
  <si>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</si>
  <si>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</si>
  <si>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</si>
  <si>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</si>
  <si>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</si>
  <si>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</si>
  <si>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</si>
  <si>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</si>
  <si>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</si>
  <si>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</si>
  <si>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</si>
  <si>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</si>
  <si>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</si>
  <si>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</si>
  <si>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</si>
  <si>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</si>
  <si>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</si>
  <si>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</si>
  <si>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</si>
  <si>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</si>
  <si>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</si>
  <si>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</si>
  <si>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</si>
  <si>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</si>
  <si>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</si>
  <si>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</si>
  <si>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</si>
  <si>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</si>
  <si>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</si>
  <si>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</si>
  <si>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</si>
  <si>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</si>
  <si>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</si>
  <si>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</si>
  <si>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</si>
  <si>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</si>
  <si>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</si>
  <si>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</si>
  <si>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</si>
  <si>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</si>
  <si>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</si>
  <si>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</si>
  <si>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</si>
  <si>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</si>
  <si>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</si>
  <si>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</si>
  <si>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</si>
  <si>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</si>
  <si>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</si>
  <si>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</si>
  <si>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</si>
  <si>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</si>
  <si>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</si>
  <si>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</si>
  <si>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</si>
  <si>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</si>
  <si>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</si>
  <si>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</si>
  <si>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</si>
  <si>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</si>
  <si>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</si>
  <si>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</si>
  <si>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</si>
  <si>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</si>
  <si>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</si>
  <si>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</si>
  <si>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</si>
  <si>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</si>
  <si>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</si>
  <si>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</si>
  <si>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</si>
  <si>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</si>
  <si>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</si>
  <si>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</si>
  <si>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</si>
  <si>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</si>
  <si>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</si>
  <si>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</si>
  <si>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</si>
  <si>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</si>
  <si>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</si>
  <si>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</si>
  <si>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</si>
  <si>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</si>
  <si>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</si>
  <si>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</si>
  <si>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</si>
  <si>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</si>
  <si>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</si>
  <si>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</si>
  <si>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</si>
  <si>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</si>
  <si>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</si>
  <si>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</si>
  <si>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</si>
  <si>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</si>
  <si>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</si>
  <si>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</si>
  <si>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</si>
  <si>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</si>
  <si>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</si>
  <si>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</si>
  <si>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</si>
  <si>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</si>
  <si>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</si>
  <si>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</si>
  <si>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</si>
  <si>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</si>
  <si>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</si>
  <si>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</si>
  <si>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</si>
  <si>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</si>
  <si>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</si>
  <si>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</si>
  <si>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</si>
  <si>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</si>
  <si>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</si>
  <si>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</si>
  <si>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</si>
  <si>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</si>
  <si>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</si>
  <si>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</si>
  <si>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</si>
  <si>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</si>
  <si>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</si>
  <si>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</si>
  <si>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</si>
  <si>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</si>
  <si>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</si>
  <si>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</si>
  <si>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</si>
  <si>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</si>
  <si>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</si>
  <si>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</si>
  <si>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</si>
  <si>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</si>
  <si>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</si>
  <si>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</si>
  <si>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</si>
  <si>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</si>
  <si>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</si>
  <si>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</si>
  <si>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</si>
  <si>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</si>
  <si>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</si>
  <si>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</si>
  <si>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</si>
  <si>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</si>
  <si>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</si>
  <si>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</si>
  <si>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</si>
  <si>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</si>
  <si>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</si>
  <si>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</si>
  <si>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</si>
  <si>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</si>
  <si>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</si>
  <si>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</si>
  <si>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</si>
  <si>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</si>
  <si>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</si>
  <si>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</si>
  <si>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</si>
  <si>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</si>
  <si>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</si>
  <si>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</si>
  <si>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</si>
  <si>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</si>
  <si>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</si>
  <si>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</si>
  <si>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</si>
  <si>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</si>
  <si>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</si>
  <si>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</si>
  <si>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</si>
  <si>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</si>
  <si>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</si>
  <si>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</si>
  <si>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</si>
  <si>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</si>
  <si>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</si>
  <si>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</si>
  <si>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</si>
  <si>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</si>
  <si>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</si>
  <si>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</si>
  <si>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</si>
  <si>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</si>
  <si>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</si>
  <si>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</si>
  <si>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</si>
  <si>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</si>
  <si>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</si>
  <si>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</si>
  <si>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</si>
  <si>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</si>
  <si>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</si>
  <si>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</si>
  <si>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</si>
  <si>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</si>
  <si>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</si>
  <si>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</si>
  <si>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</si>
  <si>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</si>
  <si>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</si>
  <si>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</si>
  <si>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</si>
  <si>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(2017)</t>
  </si>
  <si>
    <t>2016</t>
  </si>
  <si>
    <t>2017</t>
  </si>
  <si>
    <t>2018</t>
  </si>
  <si>
    <t>16-18</t>
  </si>
  <si>
    <t>17-18</t>
  </si>
  <si>
    <t>*</t>
  </si>
  <si>
    <t>Hittil i år</t>
  </si>
  <si>
    <t>Finans Norge / Skadestatistikk</t>
  </si>
  <si>
    <t>Skadestatistikk for landbasert forsikring 1. kvartal 2017</t>
  </si>
  <si>
    <t>punkt 4. Prinsipper, begreper og definisjoner på side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</si>
</sst>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9"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
      <sz val="10"/>
      <color theme="1"/>
      <name val="Times New Roman"/>
      <family val="1"/>
    </font>
    <font>
      <u/>
      <sz val="10"/>
      <color theme="1"/>
      <name val="Arial"/>
      <family val="2"/>
    </font>
    <font>
      <u/>
      <sz val="12"/>
      <color theme="1"/>
      <name val="System"/>
      <family val="2"/>
    </font>
    <font>
      <b/>
      <sz val="12"/>
      <color theme="1"/>
      <name val="Times New Roman"/>
      <family val="1"/>
    </font>
    <font>
      <b/>
      <sz val="10"/>
      <color theme="1"/>
      <name val="Times New Roman"/>
      <family val="1"/>
    </font>
    <font>
      <i/>
      <sz val="10"/>
      <color theme="1"/>
      <name val="Times New Roman"/>
      <family val="1"/>
    </font>
    <font>
      <sz val="8"/>
      <color theme="1"/>
      <name val="Times New Roman"/>
      <family val="1"/>
    </font>
    <font>
      <b/>
      <sz val="16"/>
      <color theme="1"/>
      <name val="Times New Roman"/>
      <family val="1"/>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31">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0" fontId="3" fillId="0" borderId="0" xfId="4"/>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9" applyFont="1"/>
    <xf numFmtId="0" fontId="3" fillId="0" borderId="0" xfId="9"/>
    <xf numFmtId="0" fontId="0" fillId="0" borderId="0" xfId="9" applyFont="1"/>
    <xf numFmtId="0" fontId="27" fillId="0" borderId="0" xfId="9" applyFont="1" applyAlignment="1">
      <alignment horizontal="right"/>
    </xf>
    <xf numFmtId="0" fontId="29" fillId="0" borderId="0" xfId="9" applyFont="1" applyAlignment="1">
      <alignment horizontal="left"/>
    </xf>
    <xf numFmtId="0" fontId="32"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30" fillId="0" borderId="0" xfId="9" applyFont="1" applyAlignment="1">
      <alignment horizontal="left"/>
    </xf>
    <xf numFmtId="14" fontId="31" fillId="0" borderId="0" xfId="9" applyNumberFormat="1" applyFont="1" applyAlignment="1">
      <alignment horizontal="left"/>
    </xf>
    <xf numFmtId="0" fontId="31" fillId="0" borderId="0" xfId="9" applyFont="1" applyAlignment="1">
      <alignment horizontal="left"/>
    </xf>
    <xf numFmtId="0" fontId="33" fillId="0" borderId="0" xfId="4" applyFont="1" applyAlignment="1">
      <alignment vertical="center"/>
    </xf>
    <xf numFmtId="0" fontId="34" fillId="0" borderId="0" xfId="4" applyFont="1" applyAlignment="1">
      <alignment vertical="center"/>
    </xf>
    <xf numFmtId="0" fontId="35" fillId="0" borderId="0" xfId="4" applyFont="1"/>
    <xf numFmtId="14" fontId="28" fillId="0" borderId="0" xfId="9" applyNumberFormat="1" applyFont="1"/>
    <xf numFmtId="14" fontId="36"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5"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5" fontId="8" fillId="0" borderId="0" xfId="4" applyNumberFormat="1" applyFont="1" applyAlignment="1" applyProtection="1">
      <alignment horizontal="right"/>
    </xf>
    <xf numFmtId="165" fontId="8" fillId="0" borderId="12" xfId="4" applyNumberFormat="1" applyFont="1" applyBorder="1" applyAlignment="1">
      <alignment horizontal="right"/>
    </xf>
    <xf numFmtId="0" fontId="11" fillId="0" borderId="13" xfId="4" applyFont="1" applyBorder="1"/>
    <xf numFmtId="165" fontId="8" fillId="0" borderId="14" xfId="4" applyNumberFormat="1" applyFont="1" applyBorder="1" applyAlignment="1" applyProtection="1">
      <alignment horizontal="right"/>
    </xf>
    <xf numFmtId="165" fontId="8" fillId="0" borderId="15" xfId="4" applyNumberFormat="1" applyFont="1" applyBorder="1" applyAlignment="1">
      <alignment horizontal="right"/>
    </xf>
    <xf numFmtId="0" fontId="8" fillId="0" borderId="16" xfId="4" applyFont="1" applyBorder="1"/>
    <xf numFmtId="0" fontId="8" fillId="0" borderId="11" xfId="4" applyFont="1" applyBorder="1"/>
    <xf numFmtId="165" fontId="8" fillId="0" borderId="17" xfId="4" applyNumberFormat="1" applyFont="1" applyBorder="1" applyAlignment="1" applyProtection="1">
      <alignment horizontal="right"/>
    </xf>
    <xf numFmtId="165" fontId="8" fillId="0" borderId="18" xfId="4" applyNumberFormat="1" applyFont="1" applyBorder="1" applyAlignment="1">
      <alignment horizontal="right"/>
    </xf>
    <xf numFmtId="0" fontId="8" fillId="0" borderId="19" xfId="4" applyFont="1" applyBorder="1"/>
    <xf numFmtId="165" fontId="8" fillId="0" borderId="20" xfId="4" applyNumberFormat="1" applyFont="1" applyBorder="1" applyAlignment="1" applyProtection="1">
      <alignment horizontal="right"/>
    </xf>
    <xf numFmtId="165" fontId="8" fillId="0" borderId="21" xfId="4" applyNumberFormat="1" applyFont="1" applyBorder="1" applyAlignment="1" applyProtection="1">
      <alignment horizontal="right"/>
    </xf>
    <xf numFmtId="165"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5" fontId="8" fillId="0" borderId="25" xfId="4" applyNumberFormat="1" applyFont="1" applyBorder="1" applyAlignment="1" applyProtection="1">
      <alignment horizontal="right"/>
    </xf>
    <xf numFmtId="165" fontId="8" fillId="0" borderId="27" xfId="4" applyNumberFormat="1" applyFont="1" applyBorder="1" applyAlignment="1">
      <alignment horizontal="right"/>
    </xf>
    <xf numFmtId="0" fontId="8" fillId="0" borderId="0" xfId="4" applyFont="1" applyBorder="1"/>
    <xf numFmtId="165"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5" fontId="5" fillId="0" borderId="0" xfId="4" applyNumberFormat="1" applyFont="1" applyBorder="1" applyAlignment="1" applyProtection="1">
      <alignment horizontal="right"/>
    </xf>
    <xf numFmtId="165"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0" fontId="41" fillId="0" borderId="0" xfId="0" applyFont="1"/>
    <xf numFmtId="0" fontId="42" fillId="0" borderId="0" xfId="3" applyFont="1" applyAlignment="1" applyProtection="1"/>
    <xf numFmtId="0" fontId="41" fillId="0" borderId="0" xfId="0" applyFont="1" applyAlignment="1" applyProtection="1">
      <alignment horizontal="left"/>
    </xf>
    <xf numFmtId="0" fontId="43" fillId="0" borderId="0" xfId="2" applyFont="1" applyAlignment="1" applyProtection="1">
      <alignment horizontal="left"/>
    </xf>
    <xf numFmtId="0" fontId="41" fillId="0" borderId="0" xfId="0" applyFont="1" applyAlignment="1"/>
    <xf numFmtId="0" fontId="44" fillId="2" borderId="0" xfId="0" applyFont="1" applyFill="1" applyBorder="1"/>
    <xf numFmtId="0" fontId="44" fillId="0" borderId="0" xfId="0" applyFont="1"/>
    <xf numFmtId="0" fontId="45" fillId="0" borderId="0" xfId="0" applyFont="1" applyBorder="1"/>
    <xf numFmtId="0" fontId="46" fillId="0" borderId="0" xfId="0" applyFont="1" applyBorder="1"/>
    <xf numFmtId="167" fontId="41" fillId="0" borderId="0" xfId="1" applyNumberFormat="1" applyFont="1" applyBorder="1" applyProtection="1"/>
    <xf numFmtId="165" fontId="41" fillId="0" borderId="0" xfId="0" applyNumberFormat="1" applyFont="1" applyBorder="1" applyAlignment="1" applyProtection="1">
      <alignment horizontal="right"/>
    </xf>
    <xf numFmtId="165" fontId="41" fillId="0" borderId="0" xfId="0" applyNumberFormat="1" applyFont="1" applyBorder="1" applyAlignment="1">
      <alignment horizontal="right"/>
    </xf>
    <xf numFmtId="167" fontId="41" fillId="0" borderId="0" xfId="1" quotePrefix="1" applyNumberFormat="1" applyFont="1" applyBorder="1" applyProtection="1"/>
    <xf numFmtId="0" fontId="41" fillId="0" borderId="6" xfId="0" applyFont="1" applyBorder="1"/>
    <xf numFmtId="0" fontId="47" fillId="0" borderId="0" xfId="0" applyFont="1" applyAlignment="1">
      <alignment horizontal="left"/>
    </xf>
    <xf numFmtId="0" fontId="9" fillId="2" borderId="7" xfId="0" applyNumberFormat="1" applyFont="1" applyFill="1" applyBorder="1" applyAlignment="1">
      <alignment horizontal="right"/>
    </xf>
    <xf numFmtId="0" fontId="9" fillId="2" borderId="6" xfId="0" applyNumberFormat="1" applyFont="1" applyFill="1" applyBorder="1" applyAlignment="1">
      <alignment horizontal="right"/>
    </xf>
    <xf numFmtId="0" fontId="9" fillId="2" borderId="7" xfId="4" applyNumberFormat="1" applyFont="1" applyFill="1" applyBorder="1" applyAlignment="1">
      <alignment horizontal="right"/>
    </xf>
    <xf numFmtId="0" fontId="9" fillId="2" borderId="6" xfId="4" applyNumberFormat="1" applyFont="1" applyFill="1" applyBorder="1" applyAlignment="1">
      <alignment horizontal="right"/>
    </xf>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48" fillId="0" borderId="28" xfId="0" applyFont="1" applyBorder="1" applyAlignment="1">
      <alignment horizontal="right"/>
    </xf>
    <xf numFmtId="0" fontId="48" fillId="0" borderId="0" xfId="0" applyFont="1" applyAlignment="1">
      <alignment horizontal="right"/>
    </xf>
    <xf numFmtId="0" fontId="44"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5">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'Tab2'!$B$71:$B$212</c:f>
              <c:numCache>
                <c:formatCode>General</c:formatCode>
                <c:ptCount val="14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'Tab2'!$C$71:$C$212</c:f>
              <c:numCache>
                <c:formatCode>General</c:formatCode>
                <c:ptCount val="142"/>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'Tab2'!$B$71:$B$212</c:f>
              <c:numCache>
                <c:formatCode>General</c:formatCode>
                <c:ptCount val="14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'Tab2'!$D$71:$D$212</c:f>
              <c:numCache>
                <c:formatCode>General</c:formatCode>
                <c:ptCount val="142"/>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c:v>222.678</c:v>
                </c:pt>
                <c:pt idx="141">
                  <c:v>208.83864191330298</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93.279085987000002</c:v>
                </c:pt>
                <c:pt idx="1">
                  <c:v>812.75420314799999</c:v>
                </c:pt>
                <c:pt idx="2">
                  <c:v>139.06257217300001</c:v>
                </c:pt>
                <c:pt idx="3">
                  <c:v>654.66372392799997</c:v>
                </c:pt>
                <c:pt idx="4" formatCode="0.000">
                  <c:v>5999.1113631979997</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2016</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3395.008061944</c:v>
                </c:pt>
                <c:pt idx="1">
                  <c:v>2460.811699936</c:v>
                </c:pt>
                <c:pt idx="2">
                  <c:v>1005.193879384</c:v>
                </c:pt>
                <c:pt idx="3">
                  <c:v>1159.859386956</c:v>
                </c:pt>
                <c:pt idx="4">
                  <c:v>289.64428472700001</c:v>
                </c:pt>
                <c:pt idx="5">
                  <c:v>1054.3515800069999</c:v>
                </c:pt>
                <c:pt idx="6">
                  <c:v>182.68802268300001</c:v>
                </c:pt>
                <c:pt idx="7">
                  <c:v>523.92029056199999</c:v>
                </c:pt>
                <c:pt idx="8">
                  <c:v>72.478043400999994</c:v>
                </c:pt>
                <c:pt idx="9">
                  <c:v>366.61415975100005</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2017</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3523.3386332619998</c:v>
                </c:pt>
                <c:pt idx="1">
                  <c:v>2985.487429965</c:v>
                </c:pt>
                <c:pt idx="2">
                  <c:v>1025.8261380930001</c:v>
                </c:pt>
                <c:pt idx="3">
                  <c:v>908.11823416300001</c:v>
                </c:pt>
                <c:pt idx="4">
                  <c:v>259.13745973699997</c:v>
                </c:pt>
                <c:pt idx="5">
                  <c:v>1010.191873648</c:v>
                </c:pt>
                <c:pt idx="6">
                  <c:v>194.09698577200001</c:v>
                </c:pt>
                <c:pt idx="7">
                  <c:v>461.43342745899997</c:v>
                </c:pt>
                <c:pt idx="8">
                  <c:v>46.489193006000001</c:v>
                </c:pt>
                <c:pt idx="9">
                  <c:v>363.98026173099998</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2018</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4388.2652719300004</c:v>
                </c:pt>
                <c:pt idx="1">
                  <c:v>2968.4968054679998</c:v>
                </c:pt>
                <c:pt idx="2">
                  <c:v>928.78469140599998</c:v>
                </c:pt>
                <c:pt idx="3">
                  <c:v>908.02671589399995</c:v>
                </c:pt>
                <c:pt idx="4">
                  <c:v>288.48809882500001</c:v>
                </c:pt>
                <c:pt idx="5">
                  <c:v>1085.1063746960001</c:v>
                </c:pt>
                <c:pt idx="6">
                  <c:v>211.626502254</c:v>
                </c:pt>
                <c:pt idx="7">
                  <c:v>509.75726957000001</c:v>
                </c:pt>
                <c:pt idx="8">
                  <c:v>116.932610199</c:v>
                </c:pt>
                <c:pt idx="9">
                  <c:v>407.53106160599998</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2016</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12067.935357970999</c:v>
                </c:pt>
                <c:pt idx="1">
                  <c:v>39707.453391304996</c:v>
                </c:pt>
                <c:pt idx="2">
                  <c:v>16448.436375776</c:v>
                </c:pt>
                <c:pt idx="3" formatCode="_ * #\ ##0_ ;_ * \-#\ ##0_ ;_ * &quot;-&quot;??_ ;_ @_ ">
                  <c:v>105404.83574401498</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2017</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12131.619408749</c:v>
                </c:pt>
                <c:pt idx="1">
                  <c:v>36546.508659847001</c:v>
                </c:pt>
                <c:pt idx="2">
                  <c:v>13316.301288021999</c:v>
                </c:pt>
                <c:pt idx="3" formatCode="_ * #\ ##0_ ;_ * \-#\ ##0_ ;_ * &quot;-&quot;??_ ;_ @_ ">
                  <c:v>102813.99864433598</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2018</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12186.599271014002</c:v>
                </c:pt>
                <c:pt idx="1">
                  <c:v>46084.437462450995</c:v>
                </c:pt>
                <c:pt idx="2">
                  <c:v>14752.683947205</c:v>
                </c:pt>
                <c:pt idx="3" formatCode="_ * #\ ##0_ ;_ * \-#\ ##0_ ;_ * &quot;-&quot;??_ ;_ @_ ">
                  <c:v>119937.321431894</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2016</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2258.6952683640002</c:v>
                </c:pt>
                <c:pt idx="1">
                  <c:v>1816.8339558759999</c:v>
                </c:pt>
                <c:pt idx="2">
                  <c:v>281.20767810699999</c:v>
                </c:pt>
                <c:pt idx="3">
                  <c:v>1499.0828595330004</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2017</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2978.2659125519999</c:v>
                </c:pt>
                <c:pt idx="1">
                  <c:v>1797.6562683560001</c:v>
                </c:pt>
                <c:pt idx="2">
                  <c:v>261.095823397</c:v>
                </c:pt>
                <c:pt idx="3">
                  <c:v>1471.808058921999</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2018</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2733.9660798479999</c:v>
                </c:pt>
                <c:pt idx="1">
                  <c:v>2251.7915513600001</c:v>
                </c:pt>
                <c:pt idx="2">
                  <c:v>251.61776245999999</c:v>
                </c:pt>
                <c:pt idx="3">
                  <c:v>2119.3866837299993</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2016</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149261.141025641</c:v>
                </c:pt>
                <c:pt idx="1">
                  <c:v>52562.962486265998</c:v>
                </c:pt>
                <c:pt idx="2">
                  <c:v>61041.058319816999</c:v>
                </c:pt>
                <c:pt idx="3">
                  <c:v>20119.271221531999</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2017</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148449</c:v>
                </c:pt>
                <c:pt idx="1">
                  <c:v>52500.265517266002</c:v>
                </c:pt>
                <c:pt idx="2">
                  <c:v>69216.435027458996</c:v>
                </c:pt>
                <c:pt idx="3">
                  <c:v>19019.623626183002</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2018</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154340</c:v>
                </c:pt>
                <c:pt idx="1">
                  <c:v>64737.309980990001</c:v>
                </c:pt>
                <c:pt idx="2">
                  <c:v>79397.795165593998</c:v>
                </c:pt>
                <c:pt idx="3">
                  <c:v>22608.497212932001</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2016</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4070.6695760600001</c:v>
                </c:pt>
                <c:pt idx="1">
                  <c:v>4769.7039999999997</c:v>
                </c:pt>
                <c:pt idx="2">
                  <c:v>4950.7766367349996</c:v>
                </c:pt>
                <c:pt idx="3">
                  <c:v>7377.228430911</c:v>
                </c:pt>
                <c:pt idx="4">
                  <c:v>13539.56</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2017</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3833.5464347259999</c:v>
                </c:pt>
                <c:pt idx="1">
                  <c:v>4864.4012554769997</c:v>
                </c:pt>
                <c:pt idx="2">
                  <c:v>5397.5735274389999</c:v>
                </c:pt>
                <c:pt idx="3">
                  <c:v>7122.0658691990002</c:v>
                </c:pt>
                <c:pt idx="4">
                  <c:v>12623.589153782999</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2018</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4529.9239401499999</c:v>
                </c:pt>
                <c:pt idx="1">
                  <c:v>5414.37</c:v>
                </c:pt>
                <c:pt idx="2">
                  <c:v>5650.9223836729998</c:v>
                </c:pt>
                <c:pt idx="3">
                  <c:v>9512.4768482180007</c:v>
                </c:pt>
                <c:pt idx="4">
                  <c:v>11956.071666667</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50800"/>
          </c:spPr>
          <c:marker>
            <c:symbol val="none"/>
          </c:marker>
          <c:cat>
            <c:numRef>
              <c:f>'Tab2'!$K$71:$K$212</c:f>
              <c:numCache>
                <c:formatCode>General</c:formatCode>
                <c:ptCount val="14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'Tab2'!$N$71:$N$212</c:f>
              <c:numCache>
                <c:formatCode>#\ ##0.0</c:formatCode>
                <c:ptCount val="142"/>
                <c:pt idx="0">
                  <c:v>221.94869888475839</c:v>
                </c:pt>
                <c:pt idx="1">
                  <c:v>185.9166361974406</c:v>
                </c:pt>
                <c:pt idx="2">
                  <c:v>170.02025316455698</c:v>
                </c:pt>
                <c:pt idx="3">
                  <c:v>208.26832740213521</c:v>
                </c:pt>
                <c:pt idx="4">
                  <c:v>223.3319371727749</c:v>
                </c:pt>
                <c:pt idx="5">
                  <c:v>211.25567010309274</c:v>
                </c:pt>
                <c:pt idx="6">
                  <c:v>209.4562180579216</c:v>
                </c:pt>
                <c:pt idx="7">
                  <c:v>234.27785234899324</c:v>
                </c:pt>
                <c:pt idx="8">
                  <c:v>253.16821192052979</c:v>
                </c:pt>
                <c:pt idx="9">
                  <c:v>276.71999999999997</c:v>
                </c:pt>
                <c:pt idx="10">
                  <c:v>245.20645161290324</c:v>
                </c:pt>
                <c:pt idx="11">
                  <c:v>278.09714285714284</c:v>
                </c:pt>
                <c:pt idx="12">
                  <c:v>257.83875</c:v>
                </c:pt>
                <c:pt idx="13">
                  <c:v>275.8984615384615</c:v>
                </c:pt>
                <c:pt idx="14">
                  <c:v>222.06089552238805</c:v>
                </c:pt>
                <c:pt idx="15">
                  <c:v>259.86218978102187</c:v>
                </c:pt>
                <c:pt idx="16">
                  <c:v>283.89446808510638</c:v>
                </c:pt>
                <c:pt idx="17">
                  <c:v>280.15139664804474</c:v>
                </c:pt>
                <c:pt idx="18">
                  <c:v>229.25975103734439</c:v>
                </c:pt>
                <c:pt idx="19">
                  <c:v>269.73097826086956</c:v>
                </c:pt>
                <c:pt idx="20">
                  <c:v>256.72978723404259</c:v>
                </c:pt>
                <c:pt idx="21">
                  <c:v>183.00860495436766</c:v>
                </c:pt>
                <c:pt idx="22">
                  <c:v>285.04051948051944</c:v>
                </c:pt>
                <c:pt idx="23">
                  <c:v>377.59897567221515</c:v>
                </c:pt>
                <c:pt idx="24">
                  <c:v>266.76501901140682</c:v>
                </c:pt>
                <c:pt idx="25">
                  <c:v>215.60996264009964</c:v>
                </c:pt>
                <c:pt idx="26">
                  <c:v>189.71910669975185</c:v>
                </c:pt>
                <c:pt idx="27">
                  <c:v>239.35135135135133</c:v>
                </c:pt>
                <c:pt idx="28">
                  <c:v>256.2823815309842</c:v>
                </c:pt>
                <c:pt idx="29">
                  <c:v>206.1798561151079</c:v>
                </c:pt>
                <c:pt idx="30">
                  <c:v>178.81290322580645</c:v>
                </c:pt>
                <c:pt idx="31">
                  <c:v>208.13160987074031</c:v>
                </c:pt>
                <c:pt idx="32">
                  <c:v>224.59368421052633</c:v>
                </c:pt>
                <c:pt idx="33">
                  <c:v>215.9459584295611</c:v>
                </c:pt>
                <c:pt idx="34">
                  <c:v>226.00184757505778</c:v>
                </c:pt>
                <c:pt idx="35">
                  <c:v>233.65773195876295</c:v>
                </c:pt>
                <c:pt idx="36">
                  <c:v>218.27931428571429</c:v>
                </c:pt>
                <c:pt idx="37">
                  <c:v>188.08171557562079</c:v>
                </c:pt>
                <c:pt idx="38">
                  <c:v>217.32311161217578</c:v>
                </c:pt>
                <c:pt idx="39">
                  <c:v>179.33482642777165</c:v>
                </c:pt>
                <c:pt idx="40">
                  <c:v>225.01603563474384</c:v>
                </c:pt>
                <c:pt idx="41">
                  <c:v>187.26343612334804</c:v>
                </c:pt>
                <c:pt idx="42">
                  <c:v>216.34966887417218</c:v>
                </c:pt>
                <c:pt idx="43">
                  <c:v>255.94813186813178</c:v>
                </c:pt>
                <c:pt idx="44">
                  <c:v>306.55384615384617</c:v>
                </c:pt>
                <c:pt idx="45">
                  <c:v>267.99781897491818</c:v>
                </c:pt>
                <c:pt idx="46">
                  <c:v>272.28273615635175</c:v>
                </c:pt>
                <c:pt idx="47">
                  <c:v>224.42850971922257</c:v>
                </c:pt>
                <c:pt idx="48">
                  <c:v>270.38929336188431</c:v>
                </c:pt>
                <c:pt idx="49">
                  <c:v>232.61509032943684</c:v>
                </c:pt>
                <c:pt idx="50">
                  <c:v>282.65164718384688</c:v>
                </c:pt>
                <c:pt idx="51">
                  <c:v>268.36363636363643</c:v>
                </c:pt>
                <c:pt idx="52">
                  <c:v>588.51974522292983</c:v>
                </c:pt>
                <c:pt idx="53">
                  <c:v>364.42145110410098</c:v>
                </c:pt>
                <c:pt idx="54">
                  <c:v>370.93193717277506</c:v>
                </c:pt>
                <c:pt idx="55">
                  <c:v>357.73457943925246</c:v>
                </c:pt>
                <c:pt idx="56">
                  <c:v>387.27934224049329</c:v>
                </c:pt>
                <c:pt idx="57">
                  <c:v>424.97318321392027</c:v>
                </c:pt>
                <c:pt idx="58">
                  <c:v>450.05158648925277</c:v>
                </c:pt>
                <c:pt idx="59">
                  <c:v>401.55</c:v>
                </c:pt>
                <c:pt idx="60">
                  <c:v>423.62537764350452</c:v>
                </c:pt>
                <c:pt idx="61">
                  <c:v>375.2918756268806</c:v>
                </c:pt>
                <c:pt idx="62">
                  <c:v>381.42324649298592</c:v>
                </c:pt>
                <c:pt idx="63">
                  <c:v>438.40278053624627</c:v>
                </c:pt>
                <c:pt idx="64">
                  <c:v>478.17159763313612</c:v>
                </c:pt>
                <c:pt idx="65">
                  <c:v>480.49432485322893</c:v>
                </c:pt>
                <c:pt idx="66">
                  <c:v>646.56637168141583</c:v>
                </c:pt>
                <c:pt idx="67">
                  <c:v>585.55130434782563</c:v>
                </c:pt>
                <c:pt idx="68">
                  <c:v>488.09598470363284</c:v>
                </c:pt>
                <c:pt idx="69">
                  <c:v>354.4647002854424</c:v>
                </c:pt>
                <c:pt idx="70">
                  <c:v>439.4358974358974</c:v>
                </c:pt>
                <c:pt idx="71">
                  <c:v>670.00449438202236</c:v>
                </c:pt>
                <c:pt idx="72">
                  <c:v>919.5044280442803</c:v>
                </c:pt>
                <c:pt idx="73">
                  <c:v>608.71532846715331</c:v>
                </c:pt>
                <c:pt idx="74">
                  <c:v>546.70712303422772</c:v>
                </c:pt>
                <c:pt idx="75">
                  <c:v>691.69678012879456</c:v>
                </c:pt>
                <c:pt idx="76">
                  <c:v>629.96706312900267</c:v>
                </c:pt>
                <c:pt idx="77">
                  <c:v>548.13272727272727</c:v>
                </c:pt>
                <c:pt idx="78">
                  <c:v>677.39781021897807</c:v>
                </c:pt>
                <c:pt idx="79">
                  <c:v>617.26054054054055</c:v>
                </c:pt>
                <c:pt idx="80">
                  <c:v>807.29214659685852</c:v>
                </c:pt>
                <c:pt idx="81">
                  <c:v>533.75209260908298</c:v>
                </c:pt>
                <c:pt idx="82">
                  <c:v>567.84450402144762</c:v>
                </c:pt>
                <c:pt idx="83">
                  <c:v>618.58294849023071</c:v>
                </c:pt>
                <c:pt idx="84">
                  <c:v>678.61918294849011</c:v>
                </c:pt>
                <c:pt idx="85">
                  <c:v>448.65714285714273</c:v>
                </c:pt>
                <c:pt idx="86">
                  <c:v>593.1430088495573</c:v>
                </c:pt>
                <c:pt idx="87">
                  <c:v>554.40631578947409</c:v>
                </c:pt>
                <c:pt idx="88">
                  <c:v>542.62796833773086</c:v>
                </c:pt>
                <c:pt idx="89">
                  <c:v>414.1</c:v>
                </c:pt>
                <c:pt idx="90">
                  <c:v>574.88340573414416</c:v>
                </c:pt>
                <c:pt idx="91">
                  <c:v>609.231724137931</c:v>
                </c:pt>
                <c:pt idx="92">
                  <c:v>740.53173241852494</c:v>
                </c:pt>
                <c:pt idx="93">
                  <c:v>543.07786259541967</c:v>
                </c:pt>
                <c:pt idx="94">
                  <c:v>624.87774936061362</c:v>
                </c:pt>
                <c:pt idx="95">
                  <c:v>651.92067226890777</c:v>
                </c:pt>
                <c:pt idx="96">
                  <c:v>816.00817021276589</c:v>
                </c:pt>
                <c:pt idx="97">
                  <c:v>641.55469146238374</c:v>
                </c:pt>
                <c:pt idx="98">
                  <c:v>819.69371816638409</c:v>
                </c:pt>
                <c:pt idx="99">
                  <c:v>693.03576158940348</c:v>
                </c:pt>
                <c:pt idx="100">
                  <c:v>716.6894175553731</c:v>
                </c:pt>
                <c:pt idx="101">
                  <c:v>663.47409836065572</c:v>
                </c:pt>
                <c:pt idx="102">
                  <c:v>866.53549959382656</c:v>
                </c:pt>
                <c:pt idx="103">
                  <c:v>832.21780272654382</c:v>
                </c:pt>
                <c:pt idx="104">
                  <c:v>873.31967999999983</c:v>
                </c:pt>
                <c:pt idx="105">
                  <c:v>708.99665871121726</c:v>
                </c:pt>
                <c:pt idx="106">
                  <c:v>936.5655502392342</c:v>
                </c:pt>
                <c:pt idx="107">
                  <c:v>885.2502369668249</c:v>
                </c:pt>
                <c:pt idx="108">
                  <c:v>1941.8805510404081</c:v>
                </c:pt>
                <c:pt idx="109">
                  <c:v>990.45553107301703</c:v>
                </c:pt>
                <c:pt idx="110">
                  <c:v>995.22033258241254</c:v>
                </c:pt>
                <c:pt idx="111">
                  <c:v>1018.1527510103033</c:v>
                </c:pt>
                <c:pt idx="112">
                  <c:v>1203.2698347104526</c:v>
                </c:pt>
                <c:pt idx="113">
                  <c:v>874.98980014124868</c:v>
                </c:pt>
                <c:pt idx="114">
                  <c:v>1043.2909786798266</c:v>
                </c:pt>
                <c:pt idx="115">
                  <c:v>879.24833356910221</c:v>
                </c:pt>
                <c:pt idx="116">
                  <c:v>974.08672415823048</c:v>
                </c:pt>
                <c:pt idx="117">
                  <c:v>712.14649161270768</c:v>
                </c:pt>
                <c:pt idx="118">
                  <c:v>981.85072268821136</c:v>
                </c:pt>
                <c:pt idx="119">
                  <c:v>924.50543422004421</c:v>
                </c:pt>
                <c:pt idx="120">
                  <c:v>1135.3893759479563</c:v>
                </c:pt>
                <c:pt idx="121">
                  <c:v>1111.7605236315067</c:v>
                </c:pt>
                <c:pt idx="122">
                  <c:v>808.96819714867354</c:v>
                </c:pt>
                <c:pt idx="123">
                  <c:v>977.13916907546172</c:v>
                </c:pt>
                <c:pt idx="124">
                  <c:v>963.72200325004462</c:v>
                </c:pt>
                <c:pt idx="125">
                  <c:v>791.40600903733139</c:v>
                </c:pt>
                <c:pt idx="126">
                  <c:v>1164.2001929008434</c:v>
                </c:pt>
                <c:pt idx="127">
                  <c:v>930.84787085064363</c:v>
                </c:pt>
                <c:pt idx="128">
                  <c:v>1021.2610439293121</c:v>
                </c:pt>
                <c:pt idx="129">
                  <c:v>782.10642065455181</c:v>
                </c:pt>
                <c:pt idx="130">
                  <c:v>1035.2863238813959</c:v>
                </c:pt>
                <c:pt idx="131">
                  <c:v>919.21561196323501</c:v>
                </c:pt>
                <c:pt idx="132">
                  <c:v>1056.7105311281123</c:v>
                </c:pt>
                <c:pt idx="133">
                  <c:v>813.38946011999974</c:v>
                </c:pt>
                <c:pt idx="134">
                  <c:v>1426.5404355132714</c:v>
                </c:pt>
                <c:pt idx="135">
                  <c:v>967.90828114809881</c:v>
                </c:pt>
                <c:pt idx="136">
                  <c:v>1037.5841428044344</c:v>
                </c:pt>
                <c:pt idx="137">
                  <c:v>769.55052037161727</c:v>
                </c:pt>
                <c:pt idx="138">
                  <c:v>908.84725050916484</c:v>
                </c:pt>
                <c:pt idx="139">
                  <c:v>1134.8490566037735</c:v>
                </c:pt>
                <c:pt idx="140">
                  <c:v>1158.5170340681364</c:v>
                </c:pt>
                <c:pt idx="141">
                  <c:v>1053.9418632674801</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val>
            <c:numRef>
              <c:f>'Tab2'!$L$71:$L$212</c:f>
              <c:numCache>
                <c:formatCode>#,##0</c:formatCode>
                <c:ptCount val="142"/>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'Tab2'!$K$103:$K$212</c:f>
              <c:numCache>
                <c:formatCode>General</c:formatCode>
                <c:ptCount val="11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numCache>
            </c:numRef>
          </c:cat>
          <c:val>
            <c:numRef>
              <c:f>'Tab2'!$Q$103:$Q$212</c:f>
              <c:numCache>
                <c:formatCode>#\ ##0.0</c:formatCode>
                <c:ptCount val="110"/>
                <c:pt idx="0">
                  <c:v>650.64842105263142</c:v>
                </c:pt>
                <c:pt idx="1">
                  <c:v>629.43048498845258</c:v>
                </c:pt>
                <c:pt idx="2">
                  <c:v>734.42078521939948</c:v>
                </c:pt>
                <c:pt idx="3">
                  <c:v>721.93814432989734</c:v>
                </c:pt>
                <c:pt idx="4">
                  <c:v>690.76799999999992</c:v>
                </c:pt>
                <c:pt idx="5">
                  <c:v>686.35665914221215</c:v>
                </c:pt>
                <c:pt idx="6">
                  <c:v>732.84148816234517</c:v>
                </c:pt>
                <c:pt idx="7">
                  <c:v>703.45531914893593</c:v>
                </c:pt>
                <c:pt idx="8">
                  <c:v>738.65746102449884</c:v>
                </c:pt>
                <c:pt idx="9">
                  <c:v>573.65682819383255</c:v>
                </c:pt>
                <c:pt idx="10">
                  <c:v>632.92052980132485</c:v>
                </c:pt>
                <c:pt idx="11">
                  <c:v>757.46373626373588</c:v>
                </c:pt>
                <c:pt idx="12">
                  <c:v>693.55780219780218</c:v>
                </c:pt>
                <c:pt idx="13">
                  <c:v>795.6235550708833</c:v>
                </c:pt>
                <c:pt idx="14">
                  <c:v>681.90879478827367</c:v>
                </c:pt>
                <c:pt idx="15">
                  <c:v>622.59784017278605</c:v>
                </c:pt>
                <c:pt idx="16">
                  <c:v>858.10278372591006</c:v>
                </c:pt>
                <c:pt idx="17">
                  <c:v>725.29479277364521</c:v>
                </c:pt>
                <c:pt idx="18">
                  <c:v>765.29266737513262</c:v>
                </c:pt>
                <c:pt idx="19">
                  <c:v>577.13784355179689</c:v>
                </c:pt>
                <c:pt idx="20">
                  <c:v>751.94522292993622</c:v>
                </c:pt>
                <c:pt idx="21">
                  <c:v>908.41514195583602</c:v>
                </c:pt>
                <c:pt idx="22">
                  <c:v>899.3553926701569</c:v>
                </c:pt>
                <c:pt idx="23">
                  <c:v>1020.4785046728974</c:v>
                </c:pt>
                <c:pt idx="24">
                  <c:v>949.16053442959924</c:v>
                </c:pt>
                <c:pt idx="25">
                  <c:v>1003.7404298874101</c:v>
                </c:pt>
                <c:pt idx="26">
                  <c:v>1088.1911975435007</c:v>
                </c:pt>
                <c:pt idx="27">
                  <c:v>845.99999999999989</c:v>
                </c:pt>
                <c:pt idx="28">
                  <c:v>891.24833836858011</c:v>
                </c:pt>
                <c:pt idx="29">
                  <c:v>854.06659979939809</c:v>
                </c:pt>
                <c:pt idx="30">
                  <c:v>640.09298597194413</c:v>
                </c:pt>
                <c:pt idx="31">
                  <c:v>1082.5954319761659</c:v>
                </c:pt>
                <c:pt idx="32">
                  <c:v>1003.0686390532544</c:v>
                </c:pt>
                <c:pt idx="33">
                  <c:v>1263.120939334638</c:v>
                </c:pt>
                <c:pt idx="34">
                  <c:v>822.90265486725627</c:v>
                </c:pt>
                <c:pt idx="35">
                  <c:v>1334.104347826087</c:v>
                </c:pt>
                <c:pt idx="36">
                  <c:v>1156.9525812619504</c:v>
                </c:pt>
                <c:pt idx="37">
                  <c:v>946.83082778306368</c:v>
                </c:pt>
                <c:pt idx="38">
                  <c:v>989.88717948717976</c:v>
                </c:pt>
                <c:pt idx="39">
                  <c:v>1021.5910112359547</c:v>
                </c:pt>
                <c:pt idx="40">
                  <c:v>1194.1439114391142</c:v>
                </c:pt>
                <c:pt idx="41">
                  <c:v>1243.0182481751824</c:v>
                </c:pt>
                <c:pt idx="42">
                  <c:v>1600.5246993524513</c:v>
                </c:pt>
                <c:pt idx="43">
                  <c:v>1090.7735050597978</c:v>
                </c:pt>
                <c:pt idx="44">
                  <c:v>1107.8777676120769</c:v>
                </c:pt>
                <c:pt idx="45">
                  <c:v>924.64690909090893</c:v>
                </c:pt>
                <c:pt idx="46">
                  <c:v>1206.5222627737228</c:v>
                </c:pt>
                <c:pt idx="47">
                  <c:v>1247.9513513513514</c:v>
                </c:pt>
                <c:pt idx="48">
                  <c:v>1400.2680628272253</c:v>
                </c:pt>
                <c:pt idx="49">
                  <c:v>1074.8644701691896</c:v>
                </c:pt>
                <c:pt idx="50">
                  <c:v>1134.6337801608577</c:v>
                </c:pt>
                <c:pt idx="51">
                  <c:v>999.24937833037325</c:v>
                </c:pt>
                <c:pt idx="52">
                  <c:v>963.7257548845472</c:v>
                </c:pt>
                <c:pt idx="53">
                  <c:v>921.9142857142856</c:v>
                </c:pt>
                <c:pt idx="54">
                  <c:v>852.55327433628293</c:v>
                </c:pt>
                <c:pt idx="55">
                  <c:v>918.48631578947436</c:v>
                </c:pt>
                <c:pt idx="56">
                  <c:v>928.43905013192602</c:v>
                </c:pt>
                <c:pt idx="57">
                  <c:v>955.17187499999989</c:v>
                </c:pt>
                <c:pt idx="58">
                  <c:v>1067.05438748914</c:v>
                </c:pt>
                <c:pt idx="59">
                  <c:v>1012.5868965517237</c:v>
                </c:pt>
                <c:pt idx="60">
                  <c:v>1199.0284734133793</c:v>
                </c:pt>
                <c:pt idx="61">
                  <c:v>1015.5480916030534</c:v>
                </c:pt>
                <c:pt idx="62">
                  <c:v>1076.9892583120206</c:v>
                </c:pt>
                <c:pt idx="63">
                  <c:v>1024.5176470588235</c:v>
                </c:pt>
                <c:pt idx="64">
                  <c:v>1371.9891063829784</c:v>
                </c:pt>
                <c:pt idx="65">
                  <c:v>1299.703465765004</c:v>
                </c:pt>
                <c:pt idx="66">
                  <c:v>851.51918505942319</c:v>
                </c:pt>
                <c:pt idx="67">
                  <c:v>1113.9645695364236</c:v>
                </c:pt>
                <c:pt idx="68">
                  <c:v>1166.7543888433142</c:v>
                </c:pt>
                <c:pt idx="69">
                  <c:v>1395.9088524590168</c:v>
                </c:pt>
                <c:pt idx="70">
                  <c:v>1782.350934199837</c:v>
                </c:pt>
                <c:pt idx="71">
                  <c:v>1373.0232558139535</c:v>
                </c:pt>
                <c:pt idx="72">
                  <c:v>1239.72192</c:v>
                </c:pt>
                <c:pt idx="73">
                  <c:v>1265.6964200477328</c:v>
                </c:pt>
                <c:pt idx="74">
                  <c:v>1504.3665071770331</c:v>
                </c:pt>
                <c:pt idx="75">
                  <c:v>1389.958293838863</c:v>
                </c:pt>
                <c:pt idx="76">
                  <c:v>1890.5874125874127</c:v>
                </c:pt>
                <c:pt idx="77">
                  <c:v>1582.1483320403411</c:v>
                </c:pt>
                <c:pt idx="78">
                  <c:v>1485.4704225352111</c:v>
                </c:pt>
                <c:pt idx="79">
                  <c:v>1499.7990697674429</c:v>
                </c:pt>
                <c:pt idx="80">
                  <c:v>1925.7152073732721</c:v>
                </c:pt>
                <c:pt idx="81">
                  <c:v>1727.7087022900764</c:v>
                </c:pt>
                <c:pt idx="82">
                  <c:v>1466.1904173106641</c:v>
                </c:pt>
                <c:pt idx="83">
                  <c:v>1455.4860854504245</c:v>
                </c:pt>
                <c:pt idx="84">
                  <c:v>1289.1902418896912</c:v>
                </c:pt>
                <c:pt idx="85">
                  <c:v>1163.0891952467791</c:v>
                </c:pt>
                <c:pt idx="86">
                  <c:v>1285.3245537943262</c:v>
                </c:pt>
                <c:pt idx="87">
                  <c:v>1197.5859863603714</c:v>
                </c:pt>
                <c:pt idx="88">
                  <c:v>1274.225340367952</c:v>
                </c:pt>
                <c:pt idx="89">
                  <c:v>1245.9797627336802</c:v>
                </c:pt>
                <c:pt idx="90">
                  <c:v>1455.5306241203248</c:v>
                </c:pt>
                <c:pt idx="91">
                  <c:v>1322.905135829651</c:v>
                </c:pt>
                <c:pt idx="92">
                  <c:v>1613.9429927660501</c:v>
                </c:pt>
                <c:pt idx="93">
                  <c:v>1251.1640201397388</c:v>
                </c:pt>
                <c:pt idx="94">
                  <c:v>1357.3533551016872</c:v>
                </c:pt>
                <c:pt idx="95">
                  <c:v>1184.7075595202489</c:v>
                </c:pt>
                <c:pt idx="96">
                  <c:v>1364.9118132011204</c:v>
                </c:pt>
                <c:pt idx="97">
                  <c:v>1275.8950467874574</c:v>
                </c:pt>
                <c:pt idx="98">
                  <c:v>1416.9441236133371</c:v>
                </c:pt>
                <c:pt idx="99">
                  <c:v>1484.6848053043157</c:v>
                </c:pt>
                <c:pt idx="100">
                  <c:v>1310.6889399275572</c:v>
                </c:pt>
                <c:pt idx="101">
                  <c:v>1014.1934156816633</c:v>
                </c:pt>
                <c:pt idx="102">
                  <c:v>1516.0778648725718</c:v>
                </c:pt>
                <c:pt idx="103">
                  <c:v>1229.6125920121724</c:v>
                </c:pt>
                <c:pt idx="104">
                  <c:v>1307.0734920938605</c:v>
                </c:pt>
                <c:pt idx="105">
                  <c:v>1684.1010139086432</c:v>
                </c:pt>
                <c:pt idx="106">
                  <c:v>955.94297352342141</c:v>
                </c:pt>
                <c:pt idx="107">
                  <c:v>1198.5040431266843</c:v>
                </c:pt>
                <c:pt idx="108">
                  <c:v>1244.2965931863728</c:v>
                </c:pt>
                <c:pt idx="109">
                  <c:v>1440.7307253684667</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'Tab2'!$O$103:$O$212</c:f>
              <c:numCache>
                <c:formatCode>#,##0</c:formatCode>
                <c:ptCount val="110"/>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'Tab2'!$K$103:$K$212</c:f>
              <c:numCache>
                <c:formatCode>General</c:formatCode>
                <c:ptCount val="11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numCache>
            </c:numRef>
          </c:cat>
          <c:val>
            <c:numRef>
              <c:f>'Tab2'!$T$103:$T$212</c:f>
              <c:numCache>
                <c:formatCode>#\ ##0.0</c:formatCode>
                <c:ptCount val="110"/>
                <c:pt idx="0">
                  <c:v>241.51157894736841</c:v>
                </c:pt>
                <c:pt idx="1">
                  <c:v>300.4836027713626</c:v>
                </c:pt>
                <c:pt idx="2">
                  <c:v>349.2290993071594</c:v>
                </c:pt>
                <c:pt idx="3">
                  <c:v>312.78350515463916</c:v>
                </c:pt>
                <c:pt idx="4">
                  <c:v>304.47771428571423</c:v>
                </c:pt>
                <c:pt idx="5">
                  <c:v>278.20767494356659</c:v>
                </c:pt>
                <c:pt idx="6">
                  <c:v>364.59030439684329</c:v>
                </c:pt>
                <c:pt idx="7">
                  <c:v>180.82239641657333</c:v>
                </c:pt>
                <c:pt idx="8">
                  <c:v>288.46102449888645</c:v>
                </c:pt>
                <c:pt idx="9">
                  <c:v>310.80528634361235</c:v>
                </c:pt>
                <c:pt idx="10">
                  <c:v>353.36026490066223</c:v>
                </c:pt>
                <c:pt idx="11">
                  <c:v>266.81538461538463</c:v>
                </c:pt>
                <c:pt idx="12">
                  <c:v>262.27384615384614</c:v>
                </c:pt>
                <c:pt idx="13">
                  <c:v>315.80283533260632</c:v>
                </c:pt>
                <c:pt idx="14">
                  <c:v>352.25276872964184</c:v>
                </c:pt>
                <c:pt idx="15">
                  <c:v>341.74341252699782</c:v>
                </c:pt>
                <c:pt idx="16">
                  <c:v>289.35289079229119</c:v>
                </c:pt>
                <c:pt idx="17">
                  <c:v>334.72731137088203</c:v>
                </c:pt>
                <c:pt idx="18">
                  <c:v>351.51073326248655</c:v>
                </c:pt>
                <c:pt idx="19">
                  <c:v>321.88033826638502</c:v>
                </c:pt>
                <c:pt idx="20">
                  <c:v>311.18216560509558</c:v>
                </c:pt>
                <c:pt idx="21">
                  <c:v>341.60630914826493</c:v>
                </c:pt>
                <c:pt idx="22">
                  <c:v>360.42219895287957</c:v>
                </c:pt>
                <c:pt idx="23">
                  <c:v>288.14953271028054</c:v>
                </c:pt>
                <c:pt idx="24">
                  <c:v>284.88468653648511</c:v>
                </c:pt>
                <c:pt idx="25">
                  <c:v>339.31381780962118</c:v>
                </c:pt>
                <c:pt idx="26">
                  <c:v>300.33654042988752</c:v>
                </c:pt>
                <c:pt idx="27">
                  <c:v>277.64999999999981</c:v>
                </c:pt>
                <c:pt idx="28">
                  <c:v>275.57945619335351</c:v>
                </c:pt>
                <c:pt idx="29">
                  <c:v>302.30611835506517</c:v>
                </c:pt>
                <c:pt idx="30">
                  <c:v>309.98957915831664</c:v>
                </c:pt>
                <c:pt idx="31">
                  <c:v>301.6492552135054</c:v>
                </c:pt>
                <c:pt idx="32">
                  <c:v>236.97514792899406</c:v>
                </c:pt>
                <c:pt idx="33">
                  <c:v>287.5455968688845</c:v>
                </c:pt>
                <c:pt idx="34">
                  <c:v>330.46725663716819</c:v>
                </c:pt>
                <c:pt idx="35">
                  <c:v>274.09391304347815</c:v>
                </c:pt>
                <c:pt idx="36">
                  <c:v>279.39579349904398</c:v>
                </c:pt>
                <c:pt idx="37">
                  <c:v>259.10751665080875</c:v>
                </c:pt>
                <c:pt idx="38">
                  <c:v>271.79145299145296</c:v>
                </c:pt>
                <c:pt idx="39">
                  <c:v>297.13483146067415</c:v>
                </c:pt>
                <c:pt idx="40">
                  <c:v>223.44243542435422</c:v>
                </c:pt>
                <c:pt idx="41">
                  <c:v>256.27992700729925</c:v>
                </c:pt>
                <c:pt idx="42">
                  <c:v>216.41628122109157</c:v>
                </c:pt>
                <c:pt idx="43">
                  <c:v>351.0082796688132</c:v>
                </c:pt>
                <c:pt idx="44">
                  <c:v>267.24647758462947</c:v>
                </c:pt>
                <c:pt idx="45">
                  <c:v>313.3145454545454</c:v>
                </c:pt>
                <c:pt idx="46">
                  <c:v>248.46897810218979</c:v>
                </c:pt>
                <c:pt idx="47">
                  <c:v>257.9675675675677</c:v>
                </c:pt>
                <c:pt idx="48">
                  <c:v>235.69633507853402</c:v>
                </c:pt>
                <c:pt idx="49">
                  <c:v>267.07319679430094</c:v>
                </c:pt>
                <c:pt idx="50">
                  <c:v>249.0337801608579</c:v>
                </c:pt>
                <c:pt idx="51">
                  <c:v>289.56341030195398</c:v>
                </c:pt>
                <c:pt idx="52">
                  <c:v>234.50834813499108</c:v>
                </c:pt>
                <c:pt idx="53">
                  <c:v>297.28253968253966</c:v>
                </c:pt>
                <c:pt idx="54">
                  <c:v>210.03610619469012</c:v>
                </c:pt>
                <c:pt idx="55">
                  <c:v>210.91263157894747</c:v>
                </c:pt>
                <c:pt idx="56">
                  <c:v>207.31503957783639</c:v>
                </c:pt>
                <c:pt idx="57">
                  <c:v>195.39062500000009</c:v>
                </c:pt>
                <c:pt idx="58">
                  <c:v>196.20156385751511</c:v>
                </c:pt>
                <c:pt idx="59">
                  <c:v>180.68275862068973</c:v>
                </c:pt>
                <c:pt idx="60">
                  <c:v>190.63945111492279</c:v>
                </c:pt>
                <c:pt idx="61">
                  <c:v>220.46106870229005</c:v>
                </c:pt>
                <c:pt idx="62">
                  <c:v>210.26393861892586</c:v>
                </c:pt>
                <c:pt idx="63">
                  <c:v>178.73243697478986</c:v>
                </c:pt>
                <c:pt idx="64">
                  <c:v>210.28289361702127</c:v>
                </c:pt>
                <c:pt idx="65">
                  <c:v>200.87573964497039</c:v>
                </c:pt>
                <c:pt idx="66">
                  <c:v>191.57928692699485</c:v>
                </c:pt>
                <c:pt idx="67">
                  <c:v>174.48079470198684</c:v>
                </c:pt>
                <c:pt idx="68">
                  <c:v>193.85365053322394</c:v>
                </c:pt>
                <c:pt idx="69">
                  <c:v>227.93311475409837</c:v>
                </c:pt>
                <c:pt idx="70">
                  <c:v>223.37839155158403</c:v>
                </c:pt>
                <c:pt idx="71">
                  <c:v>319.10954290296729</c:v>
                </c:pt>
                <c:pt idx="72">
                  <c:v>251.74655999999999</c:v>
                </c:pt>
                <c:pt idx="73">
                  <c:v>276.29498806682579</c:v>
                </c:pt>
                <c:pt idx="74">
                  <c:v>272.83636363636356</c:v>
                </c:pt>
                <c:pt idx="75">
                  <c:v>322.24834123222757</c:v>
                </c:pt>
                <c:pt idx="76">
                  <c:v>278.80000000000007</c:v>
                </c:pt>
                <c:pt idx="77">
                  <c:v>230.84685802948022</c:v>
                </c:pt>
                <c:pt idx="78">
                  <c:v>231.79436619718302</c:v>
                </c:pt>
                <c:pt idx="79">
                  <c:v>234.55813953488371</c:v>
                </c:pt>
                <c:pt idx="80">
                  <c:v>177.41474654377882</c:v>
                </c:pt>
                <c:pt idx="81">
                  <c:v>222.86473282442742</c:v>
                </c:pt>
                <c:pt idx="82">
                  <c:v>190.83060278207103</c:v>
                </c:pt>
                <c:pt idx="83">
                  <c:v>204.83424916836907</c:v>
                </c:pt>
                <c:pt idx="84">
                  <c:v>196.95429435122469</c:v>
                </c:pt>
                <c:pt idx="85">
                  <c:v>206.44661196828196</c:v>
                </c:pt>
                <c:pt idx="86">
                  <c:v>215.7555423998146</c:v>
                </c:pt>
                <c:pt idx="87">
                  <c:v>212.92119044237475</c:v>
                </c:pt>
                <c:pt idx="88">
                  <c:v>186.27319654739844</c:v>
                </c:pt>
                <c:pt idx="89">
                  <c:v>193.61352246894305</c:v>
                </c:pt>
                <c:pt idx="90">
                  <c:v>189.63413110494392</c:v>
                </c:pt>
                <c:pt idx="91">
                  <c:v>196.47313247691815</c:v>
                </c:pt>
                <c:pt idx="92">
                  <c:v>179.51402706492749</c:v>
                </c:pt>
                <c:pt idx="93">
                  <c:v>180.662646667373</c:v>
                </c:pt>
                <c:pt idx="94">
                  <c:v>190.72919720272557</c:v>
                </c:pt>
                <c:pt idx="95">
                  <c:v>187.76027604828124</c:v>
                </c:pt>
                <c:pt idx="96">
                  <c:v>165.69776489022124</c:v>
                </c:pt>
                <c:pt idx="97">
                  <c:v>178.52914401999143</c:v>
                </c:pt>
                <c:pt idx="98">
                  <c:v>138.58047072315915</c:v>
                </c:pt>
                <c:pt idx="99">
                  <c:v>165.16036250126285</c:v>
                </c:pt>
                <c:pt idx="100">
                  <c:v>133.00855336219763</c:v>
                </c:pt>
                <c:pt idx="101">
                  <c:v>156.10486988085654</c:v>
                </c:pt>
                <c:pt idx="102">
                  <c:v>151.5128614451975</c:v>
                </c:pt>
                <c:pt idx="103">
                  <c:v>148.77184006525155</c:v>
                </c:pt>
                <c:pt idx="104">
                  <c:v>142.30662052551639</c:v>
                </c:pt>
                <c:pt idx="105">
                  <c:v>120.10891647531614</c:v>
                </c:pt>
                <c:pt idx="106">
                  <c:v>128.26069246435844</c:v>
                </c:pt>
                <c:pt idx="107">
                  <c:v>123.33153638814017</c:v>
                </c:pt>
                <c:pt idx="108">
                  <c:v>114.37274549098197</c:v>
                </c:pt>
                <c:pt idx="109">
                  <c:v>132.73993195687001</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val>
            <c:numRef>
              <c:f>'Tab2'!$R$103:$R$212</c:f>
              <c:numCache>
                <c:formatCode>#,##0</c:formatCode>
                <c:ptCount val="110"/>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689610</xdr:colOff>
      <xdr:row>54</xdr:row>
      <xdr:rowOff>137160</xdr:rowOff>
    </xdr:to>
    <xdr:pic>
      <xdr:nvPicPr>
        <xdr:cNvPr id="9" name="Picture 8" descr="Statistikk_forside.pdf">
          <a:extLst>
            <a:ext uri="{FF2B5EF4-FFF2-40B4-BE49-F238E27FC236}">
              <a16:creationId xmlns:a16="http://schemas.microsoft.com/office/drawing/2014/main" id="{12DDDF0D-56CA-4D60-933D-01935EB6D1F5}"/>
            </a:ext>
          </a:extLst>
        </xdr:cNvPr>
        <xdr:cNvPicPr>
          <a:picLocks noChangeAspect="1"/>
        </xdr:cNvPicPr>
      </xdr:nvPicPr>
      <xdr:blipFill>
        <a:blip xmlns:r="http://schemas.openxmlformats.org/officeDocument/2006/relationships" r:embed="rId1" cstate="print"/>
        <a:srcRect/>
        <a:stretch>
          <a:fillRect/>
        </a:stretch>
      </xdr:blipFill>
      <xdr:spPr bwMode="auto">
        <a:xfrm>
          <a:off x="0" y="9525"/>
          <a:ext cx="6755130" cy="1151191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2018 </a:t>
          </a:r>
          <a:r>
            <a:rPr lang="nb-NO" sz="1000">
              <a:effectLst/>
              <a:latin typeface="Arial"/>
              <a:ea typeface="ＭＳ 明朝"/>
              <a:cs typeface="Times New Roman"/>
            </a:rPr>
            <a:t>(22. august 2018)</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00000000-0008-0000-0000-000005000000}"/>
            </a:ext>
          </a:extLst>
        </xdr:cNvPr>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00000000-0008-0000-0000-000006000000}"/>
            </a:ext>
          </a:extLst>
        </xdr:cNvPr>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102</xdr:row>
      <xdr:rowOff>142876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90575" y="14773276"/>
          <a:ext cx="54006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effectLst/>
              <a:latin typeface="Times New Roman" panose="02020603050405020304" pitchFamily="18" charset="0"/>
              <a:ea typeface="+mn-ea"/>
              <a:cs typeface="Times New Roman" panose="02020603050405020304" pitchFamily="18" charset="0"/>
            </a:rPr>
            <a:t>1. </a:t>
          </a:r>
          <a:r>
            <a:rPr lang="en-US" sz="1200" b="1" i="0" baseline="0">
              <a:solidFill>
                <a:schemeClr val="dk1"/>
              </a:solidFill>
              <a:effectLst/>
              <a:latin typeface="Times New Roman" panose="02020603050405020304" pitchFamily="18" charset="0"/>
              <a:ea typeface="+mn-ea"/>
              <a:cs typeface="Times New Roman" panose="02020603050405020304" pitchFamily="18" charset="0"/>
            </a:rPr>
            <a:t>HOVEDTREKK - Mange skader - økt bilbruk og fortsatt vintereffekt på bygning</a:t>
          </a:r>
        </a:p>
        <a:p>
          <a:pPr rtl="0" eaLnBrk="1" fontAlgn="auto" latinLnBrk="0" hangingPunct="1"/>
          <a:r>
            <a:rPr lang="en-US" sz="1100">
              <a:effectLst/>
              <a:latin typeface="+mn-lt"/>
              <a:ea typeface="+mn-ea"/>
              <a:cs typeface="+mn-cs"/>
            </a:rPr>
            <a:t>Erstatningene for landbasert forsikring hittil i år ble på 20,8 milliarder kr, mot 19,1 milliarder kr i fjor til samme tid. Erstatninger på bygninger og innbo var på 7,4 milliarder, et beløp rundt 13  prosent høyere enn i fjor til samme tid; mye kan tilskrives frost og snøtyngde i årets første fire måneder. På motorvognforsikring økte både antall skader og erstatningsbeløp med rundt 9 prosent i forhold til tallene for samme periode i fjor.  </a:t>
          </a:r>
        </a:p>
        <a:p>
          <a:pPr rtl="0" eaLnBrk="1" fontAlgn="auto" latinLnBrk="0" hangingPunct="1"/>
          <a:endParaRPr lang="en-US" sz="1200" b="1" i="0"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66675</xdr:colOff>
      <xdr:row>103</xdr:row>
      <xdr:rowOff>76201</xdr:rowOff>
    </xdr:from>
    <xdr:to>
      <xdr:col>7</xdr:col>
      <xdr:colOff>57150</xdr:colOff>
      <xdr:row>118</xdr:row>
      <xdr:rowOff>28576</xdr:rowOff>
    </xdr:to>
    <xdr:sp macro="" textlink="">
      <xdr:nvSpPr>
        <xdr:cNvPr id="3309" name="Text Box 3">
          <a:extLst>
            <a:ext uri="{FF2B5EF4-FFF2-40B4-BE49-F238E27FC236}">
              <a16:creationId xmlns:a16="http://schemas.microsoft.com/office/drawing/2014/main" id="{00000000-0008-0000-0100-0000ED0C0000}"/>
            </a:ext>
          </a:extLst>
        </xdr:cNvPr>
        <xdr:cNvSpPr txBox="1">
          <a:spLocks noChangeArrowheads="1"/>
        </xdr:cNvSpPr>
      </xdr:nvSpPr>
      <xdr:spPr bwMode="auto">
        <a:xfrm>
          <a:off x="819150" y="16754476"/>
          <a:ext cx="4972050" cy="2381250"/>
        </a:xfrm>
        <a:prstGeom prst="rect">
          <a:avLst/>
        </a:prstGeom>
        <a:solidFill>
          <a:srgbClr val="FFFFFF"/>
        </a:solidFill>
        <a:ln w="9525">
          <a:noFill/>
          <a:miter lim="800000"/>
          <a:headEnd/>
          <a:tailEnd/>
        </a:ln>
      </xdr:spPr>
      <xdr:txBody>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i="0">
              <a:effectLst/>
              <a:latin typeface="Times New Roman" panose="02020603050405020304" pitchFamily="18" charset="0"/>
              <a:ea typeface="+mn-ea"/>
              <a:cs typeface="Times New Roman" panose="02020603050405020304" pitchFamily="18" charset="0"/>
            </a:rPr>
            <a:t>Motorvogn – økt skadefrekvens på kasko</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a:effectLst/>
              <a:latin typeface="+mn-lt"/>
              <a:ea typeface="+mn-ea"/>
              <a:cs typeface="+mn-cs"/>
            </a:rPr>
            <a:t>I første halvår i år økte antall skader sammenlignet med i fjor med 9,5 prosent og med 8,6 prosent i erstatninger, størst økning var det på kasko; det var nesten 19 prosent flere skader og et nærmere 15 prosent større erstatningsbeløp. Mye av økningen kan nok tilskrives den lange vinteren. Hittil i år utgjør kaskoskadene nærmere halvparten av de totale erstatningene på motorvogn. Glasskader har</a:t>
          </a:r>
          <a:r>
            <a:rPr lang="nb-NO" sz="1100" baseline="0">
              <a:effectLst/>
              <a:latin typeface="+mn-lt"/>
              <a:ea typeface="+mn-ea"/>
              <a:cs typeface="+mn-cs"/>
            </a:rPr>
            <a:t> tidligere</a:t>
          </a:r>
          <a:r>
            <a:rPr lang="nb-NO" sz="1100">
              <a:effectLst/>
              <a:latin typeface="+mn-lt"/>
              <a:ea typeface="+mn-ea"/>
              <a:cs typeface="+mn-cs"/>
            </a:rPr>
            <a:t> økt mye, men hittil i år er de redusert med nesten 3 prosent i beløp og rundt 4 prosent i antall skader. Tyveri av og fra bil reduseres også denne gangen i antall meldte skader, men erstatningsbeløpet etter tyveri </a:t>
          </a:r>
          <a:r>
            <a:rPr lang="nb-NO" sz="1100" u="sng">
              <a:effectLst/>
              <a:latin typeface="+mn-lt"/>
              <a:ea typeface="+mn-ea"/>
              <a:cs typeface="+mn-cs"/>
            </a:rPr>
            <a:t>fra</a:t>
          </a:r>
          <a:r>
            <a:rPr lang="nb-NO" sz="1100">
              <a:effectLst/>
              <a:latin typeface="+mn-lt"/>
              <a:ea typeface="+mn-ea"/>
              <a:cs typeface="+mn-cs"/>
            </a:rPr>
            <a:t> bil økte noe fra samme periode i fjor; i gjennomsnitt har det blitt det blitt</a:t>
          </a:r>
          <a:r>
            <a:rPr lang="nb-NO" sz="1100" baseline="0">
              <a:effectLst/>
              <a:latin typeface="+mn-lt"/>
              <a:ea typeface="+mn-ea"/>
              <a:cs typeface="+mn-cs"/>
            </a:rPr>
            <a:t> stjålet</a:t>
          </a:r>
          <a:r>
            <a:rPr lang="nb-NO" sz="1100">
              <a:effectLst/>
              <a:latin typeface="+mn-lt"/>
              <a:ea typeface="+mn-ea"/>
              <a:cs typeface="+mn-cs"/>
            </a:rPr>
            <a:t> for 19 800 kr, mens gjennomsnittstyveriet fra bil på samme tid i fjor var på 17 900 kr.  </a:t>
          </a:r>
        </a:p>
        <a:p>
          <a:pPr marL="0" marR="0" lvl="0" indent="0" defTabSz="914400" rtl="0" eaLnBrk="1" fontAlgn="auto" latinLnBrk="0" hangingPunct="1">
            <a:lnSpc>
              <a:spcPct val="100000"/>
            </a:lnSpc>
            <a:spcBef>
              <a:spcPts val="0"/>
            </a:spcBef>
            <a:spcAft>
              <a:spcPts val="0"/>
            </a:spcAft>
            <a:buClrTx/>
            <a:buSzTx/>
            <a:buFontTx/>
            <a:buNone/>
            <a:tabLst/>
            <a:defRPr/>
          </a:pPr>
          <a:endParaRPr lang="nb-NO">
            <a:effectLst/>
            <a:latin typeface="Times New Roman" panose="02020603050405020304" pitchFamily="18" charset="0"/>
            <a:cs typeface="Times New Roman" panose="02020603050405020304" pitchFamily="18" charset="0"/>
          </a:endParaRPr>
        </a:p>
        <a:p>
          <a:pPr rtl="0"/>
          <a:endParaRPr lang="nb-NO" sz="1100" b="0" i="0" baseline="0">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4</xdr:row>
      <xdr:rowOff>60960</xdr:rowOff>
    </xdr:from>
    <xdr:to>
      <xdr:col>1</xdr:col>
      <xdr:colOff>590550</xdr:colOff>
      <xdr:row>44</xdr:row>
      <xdr:rowOff>161913</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609600"/>
          <a:ext cx="2361879" cy="8025753"/>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Brann-kombinert privatmarkedet – mye vinterskader -  vann, brann og snøtyngde</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a:effectLst/>
              <a:latin typeface="+mn-lt"/>
              <a:ea typeface="+mn-ea"/>
              <a:cs typeface="+mn-cs"/>
            </a:rPr>
            <a:t>Totalt har det hittil i år blitt erstattet for skader på private bygninger og innbo</a:t>
          </a:r>
          <a:r>
            <a:rPr lang="nb-NO" sz="1100" baseline="0">
              <a:effectLst/>
              <a:latin typeface="+mn-lt"/>
              <a:ea typeface="+mn-ea"/>
              <a:cs typeface="+mn-cs"/>
            </a:rPr>
            <a:t> </a:t>
          </a:r>
          <a:r>
            <a:rPr lang="nb-NO" sz="1100">
              <a:effectLst/>
              <a:latin typeface="+mn-lt"/>
              <a:ea typeface="+mn-ea"/>
              <a:cs typeface="+mn-cs"/>
            </a:rPr>
            <a:t>med nesten 4,4 milliarder kr, noe som er 24,5 prosent økning fra 2.kvartal i fjor. Størst erstatningsøkning er det på kasko som økte med nesten 55 prosent – fra 425 mill.kr til 658 mill.kr; blant annet inneholder «kasko-begrepet» takskader etter snøtyngde. Erstatning på vannskader ble på 1,46 milliarder kr som er en økning på nesten 30 prosent fra i fjor. Noe av økningen kan skyldes nok ettervirkninger av den lange og kalde vinteren på østlandsområdet. Erstatninger etter brann utgjør 1,5 milliarder kroner for første halvår i 2018, mot 1,32 milliarder i fjor. Erstatning etter innbrudd/tyveri/ran er på linje med fjoråret, mens antallet meldte skader har økt med nesten 12 prosent fra i fjor. Økningen i antall meldte skader etter innbrudd/tyveri/ran er på produktene hjem/innboforsikringer og spesielle verdisaksforsikringer; noe som tilser at mesteparten skyldes «simpelt tyveri» og ikke «grovt innbrudd». </a:t>
          </a:r>
        </a:p>
        <a:p>
          <a:pPr rtl="0"/>
          <a:endParaRPr lang="en-US" sz="1100" b="1"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b="1" i="0">
              <a:latin typeface="Times New Roman" pitchFamily="18" charset="0"/>
              <a:ea typeface="+mn-ea"/>
              <a:cs typeface="Times New Roman" pitchFamily="18" charset="0"/>
            </a:rPr>
            <a:t>Brann-kombinert næring – fortsatt vintereffekt</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a:effectLst/>
              <a:latin typeface="+mn-lt"/>
              <a:ea typeface="+mn-ea"/>
              <a:cs typeface="+mn-cs"/>
            </a:rPr>
            <a:t>På næringsrelaterte bransjer ble de totale erstatningene på om lag samme nivå som i fjor,</a:t>
          </a:r>
          <a:r>
            <a:rPr lang="nb-NO" sz="1100" baseline="0">
              <a:effectLst/>
              <a:latin typeface="+mn-lt"/>
              <a:ea typeface="+mn-ea"/>
              <a:cs typeface="+mn-cs"/>
            </a:rPr>
            <a:t> </a:t>
          </a:r>
          <a:r>
            <a:rPr lang="nb-NO" sz="1100">
              <a:effectLst/>
              <a:latin typeface="+mn-lt"/>
              <a:ea typeface="+mn-ea"/>
              <a:cs typeface="+mn-cs"/>
            </a:rPr>
            <a:t>rundt 2,9 milliarder kr; men i april i fjor var det et par større brannskader,</a:t>
          </a:r>
          <a:r>
            <a:rPr lang="nb-NO" sz="1100" baseline="0">
              <a:effectLst/>
              <a:latin typeface="+mn-lt"/>
              <a:ea typeface="+mn-ea"/>
              <a:cs typeface="+mn-cs"/>
            </a:rPr>
            <a:t> m</a:t>
          </a:r>
          <a:r>
            <a:rPr lang="nb-NO" sz="1100">
              <a:effectLst/>
              <a:latin typeface="+mn-lt"/>
              <a:ea typeface="+mn-ea"/>
              <a:cs typeface="+mn-cs"/>
            </a:rPr>
            <a:t>ens det i år har vært vesentlig mer vann-/frost og snøtyngdeskader (registreres under skadetype kasko). Brannerstatningene ble rundt 400 mill. kr lavere dette kvartalet</a:t>
          </a:r>
          <a:r>
            <a:rPr lang="nb-NO" sz="1100" baseline="0">
              <a:effectLst/>
              <a:latin typeface="+mn-lt"/>
              <a:ea typeface="+mn-ea"/>
              <a:cs typeface="+mn-cs"/>
            </a:rPr>
            <a:t> </a:t>
          </a:r>
          <a:r>
            <a:rPr lang="nb-NO" sz="1100">
              <a:effectLst/>
              <a:latin typeface="+mn-lt"/>
              <a:ea typeface="+mn-ea"/>
              <a:cs typeface="+mn-cs"/>
            </a:rPr>
            <a:t>sammenlignet med samme periode i fjor og er på 1,2 milliarder kr. Erstatninger etter vannskader hittil i år er på 793 mill. kr, 122 mill. kr mer enn i fjor. Kaskoskadene er på 564 mill. kr og er drøyt 300 mill. kr høyere enn i fjor. </a:t>
          </a:r>
        </a:p>
        <a:p>
          <a:pPr rtl="0"/>
          <a:endParaRPr lang="nb-NO" sz="1100" b="0" i="0" baseline="0">
            <a:latin typeface="Times New Roman" pitchFamily="18" charset="0"/>
            <a:ea typeface="+mn-ea"/>
            <a:cs typeface="Times New Roman" pitchFamily="18" charset="0"/>
          </a:endParaRPr>
        </a:p>
      </xdr:txBody>
    </xdr:sp>
    <xdr:clientData/>
  </xdr:twoCellAnchor>
  <xdr:twoCellAnchor>
    <xdr:from>
      <xdr:col>2</xdr:col>
      <xdr:colOff>400050</xdr:colOff>
      <xdr:row>4</xdr:row>
      <xdr:rowOff>59851</xdr:rowOff>
    </xdr:from>
    <xdr:to>
      <xdr:col>6</xdr:col>
      <xdr:colOff>395305</xdr:colOff>
      <xdr:row>44</xdr:row>
      <xdr:rowOff>161925</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990850" y="608491"/>
          <a:ext cx="2525095" cy="8026874"/>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Reiseforsikring – økt reiseaktivitet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a:effectLst/>
              <a:latin typeface="+mn-lt"/>
              <a:ea typeface="+mn-ea"/>
              <a:cs typeface="+mn-cs"/>
            </a:rPr>
            <a:t>I første halvår har totalt antall reiseskader økt med 4 prosent og erstatningsbeløpet økte med drøye 7 prosent sammenlignet med 2.kvartal 2017; det er erstattet reiseskader for 1,085 milliarder kr. Det er igjen økning i reisesykdom – antallet økte med 4 prosent og erstatningsbeløpet med hele 9 prosent. Reisesykdomsskader hadde etter</a:t>
          </a:r>
          <a:r>
            <a:rPr lang="nb-NO" sz="1100" baseline="0">
              <a:effectLst/>
              <a:latin typeface="+mn-lt"/>
              <a:ea typeface="+mn-ea"/>
              <a:cs typeface="+mn-cs"/>
            </a:rPr>
            <a:t> lang tids økning</a:t>
          </a:r>
          <a:r>
            <a:rPr lang="nb-NO" sz="1100">
              <a:effectLst/>
              <a:latin typeface="+mn-lt"/>
              <a:ea typeface="+mn-ea"/>
              <a:cs typeface="+mn-cs"/>
            </a:rPr>
            <a:t> en stagnasjon i 2017, men ser nå ut til å ha tatt seg opp og tallene pr nå er på nivå med første halvår i 2016. Reiseskader etter tyveri har fortsatt reduksjon i både antall og beløp. Erstatning etter sykdom på reise utgjør 46 prosent av de totale erstatningene hittil i år, mens tyveriskadene «bare» utgjør 14 prosent av totalen. Erstatninger for avbestillinger utgjør 22 prosent.   </a:t>
          </a:r>
        </a:p>
        <a:p>
          <a:pPr rtl="0"/>
          <a:endParaRPr lang="nb-NO" sz="110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a:effectLst/>
              <a:latin typeface="+mn-lt"/>
              <a:ea typeface="+mn-ea"/>
              <a:cs typeface="+mn-cs"/>
            </a:rPr>
            <a:t>Erstatningene i første halvår i år er på nesten 212 mill. kr, noe som er ca. 9 prosent høyere enn på samme tid i fjor. Antall meldte skader økte med totalt 18 prosent. Hovedsakelig skyldes økningen havariskadene; 56 prosent av de totale båterstatningene skyldes havari og erstatningene økte med nesten 32 prosent fra i fjor – men da var det også en dårlig sommer for båtliv over mye av landet. Både antall og erstatning etter båttyveri er redusert fra i fjor og beløpet som skyldes tyveri utgjør bare 11 prosent av totalen. Ansvarsskadene utgjør bare en 1 prosent av totalen, men hittil i år er beløpet dobbelt så stort som tilsvarende i fjor. Brannerstatningene er på linje med fjoråret og utgjør nesten 14 mill. kr hittil i år.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Insr (tidl. Vardia) (inkl. NEMI)</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462915</xdr:colOff>
      <xdr:row>3</xdr:row>
      <xdr:rowOff>158115</xdr:rowOff>
    </xdr:from>
    <xdr:to>
      <xdr:col>13</xdr:col>
      <xdr:colOff>760095</xdr:colOff>
      <xdr:row>50</xdr:row>
      <xdr:rowOff>26670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524875" y="462915"/>
          <a:ext cx="2674620" cy="918019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50" zoomScaleNormal="50" zoomScaleSheetLayoutView="50" workbookViewId="0"/>
  </sheetViews>
  <sheetFormatPr defaultColWidth="11.44140625" defaultRowHeight="13.2" x14ac:dyDescent="0.25"/>
  <cols>
    <col min="1" max="1" width="16.33203125" style="99" customWidth="1"/>
    <col min="2" max="4" width="11.44140625" style="99"/>
    <col min="5" max="5" width="14.109375" style="99" bestFit="1" customWidth="1"/>
    <col min="6" max="7" width="11.44140625" style="99"/>
    <col min="8" max="8" width="13.44140625" style="99" customWidth="1"/>
    <col min="9" max="9" width="11.44140625" style="99"/>
    <col min="10" max="10" width="13.44140625" style="99" bestFit="1" customWidth="1"/>
    <col min="11" max="256" width="11.44140625" style="99"/>
    <col min="257" max="257" width="16.33203125" style="99" customWidth="1"/>
    <col min="258" max="260" width="11.44140625" style="99"/>
    <col min="261" max="261" width="14.109375" style="99" bestFit="1" customWidth="1"/>
    <col min="262" max="263" width="11.44140625" style="99"/>
    <col min="264" max="264" width="13.44140625" style="99" customWidth="1"/>
    <col min="265" max="265" width="11.44140625" style="99"/>
    <col min="266" max="266" width="13.44140625" style="99" bestFit="1" customWidth="1"/>
    <col min="267" max="512" width="11.44140625" style="99"/>
    <col min="513" max="513" width="16.33203125" style="99" customWidth="1"/>
    <col min="514" max="516" width="11.44140625" style="99"/>
    <col min="517" max="517" width="14.109375" style="99" bestFit="1" customWidth="1"/>
    <col min="518" max="519" width="11.44140625" style="99"/>
    <col min="520" max="520" width="13.44140625" style="99" customWidth="1"/>
    <col min="521" max="521" width="11.44140625" style="99"/>
    <col min="522" max="522" width="13.44140625" style="99" bestFit="1" customWidth="1"/>
    <col min="523" max="768" width="11.44140625" style="99"/>
    <col min="769" max="769" width="16.33203125" style="99" customWidth="1"/>
    <col min="770" max="772" width="11.44140625" style="99"/>
    <col min="773" max="773" width="14.109375" style="99" bestFit="1" customWidth="1"/>
    <col min="774" max="775" width="11.44140625" style="99"/>
    <col min="776" max="776" width="13.44140625" style="99" customWidth="1"/>
    <col min="777" max="777" width="11.44140625" style="99"/>
    <col min="778" max="778" width="13.44140625" style="99" bestFit="1" customWidth="1"/>
    <col min="779" max="1024" width="11.44140625" style="99"/>
    <col min="1025" max="1025" width="16.33203125" style="99" customWidth="1"/>
    <col min="1026" max="1028" width="11.44140625" style="99"/>
    <col min="1029" max="1029" width="14.109375" style="99" bestFit="1" customWidth="1"/>
    <col min="1030" max="1031" width="11.44140625" style="99"/>
    <col min="1032" max="1032" width="13.44140625" style="99" customWidth="1"/>
    <col min="1033" max="1033" width="11.44140625" style="99"/>
    <col min="1034" max="1034" width="13.44140625" style="99" bestFit="1" customWidth="1"/>
    <col min="1035" max="1280" width="11.44140625" style="99"/>
    <col min="1281" max="1281" width="16.33203125" style="99" customWidth="1"/>
    <col min="1282" max="1284" width="11.44140625" style="99"/>
    <col min="1285" max="1285" width="14.109375" style="99" bestFit="1" customWidth="1"/>
    <col min="1286" max="1287" width="11.44140625" style="99"/>
    <col min="1288" max="1288" width="13.44140625" style="99" customWidth="1"/>
    <col min="1289" max="1289" width="11.44140625" style="99"/>
    <col min="1290" max="1290" width="13.44140625" style="99" bestFit="1" customWidth="1"/>
    <col min="1291" max="1536" width="11.44140625" style="99"/>
    <col min="1537" max="1537" width="16.33203125" style="99" customWidth="1"/>
    <col min="1538" max="1540" width="11.44140625" style="99"/>
    <col min="1541" max="1541" width="14.109375" style="99" bestFit="1" customWidth="1"/>
    <col min="1542" max="1543" width="11.44140625" style="99"/>
    <col min="1544" max="1544" width="13.44140625" style="99" customWidth="1"/>
    <col min="1545" max="1545" width="11.44140625" style="99"/>
    <col min="1546" max="1546" width="13.44140625" style="99" bestFit="1" customWidth="1"/>
    <col min="1547" max="1792" width="11.44140625" style="99"/>
    <col min="1793" max="1793" width="16.33203125" style="99" customWidth="1"/>
    <col min="1794" max="1796" width="11.44140625" style="99"/>
    <col min="1797" max="1797" width="14.109375" style="99" bestFit="1" customWidth="1"/>
    <col min="1798" max="1799" width="11.44140625" style="99"/>
    <col min="1800" max="1800" width="13.44140625" style="99" customWidth="1"/>
    <col min="1801" max="1801" width="11.44140625" style="99"/>
    <col min="1802" max="1802" width="13.44140625" style="99" bestFit="1" customWidth="1"/>
    <col min="1803" max="2048" width="11.44140625" style="99"/>
    <col min="2049" max="2049" width="16.33203125" style="99" customWidth="1"/>
    <col min="2050" max="2052" width="11.44140625" style="99"/>
    <col min="2053" max="2053" width="14.109375" style="99" bestFit="1" customWidth="1"/>
    <col min="2054" max="2055" width="11.44140625" style="99"/>
    <col min="2056" max="2056" width="13.44140625" style="99" customWidth="1"/>
    <col min="2057" max="2057" width="11.44140625" style="99"/>
    <col min="2058" max="2058" width="13.44140625" style="99" bestFit="1" customWidth="1"/>
    <col min="2059" max="2304" width="11.44140625" style="99"/>
    <col min="2305" max="2305" width="16.33203125" style="99" customWidth="1"/>
    <col min="2306" max="2308" width="11.44140625" style="99"/>
    <col min="2309" max="2309" width="14.109375" style="99" bestFit="1" customWidth="1"/>
    <col min="2310" max="2311" width="11.44140625" style="99"/>
    <col min="2312" max="2312" width="13.44140625" style="99" customWidth="1"/>
    <col min="2313" max="2313" width="11.44140625" style="99"/>
    <col min="2314" max="2314" width="13.44140625" style="99" bestFit="1" customWidth="1"/>
    <col min="2315" max="2560" width="11.44140625" style="99"/>
    <col min="2561" max="2561" width="16.33203125" style="99" customWidth="1"/>
    <col min="2562" max="2564" width="11.44140625" style="99"/>
    <col min="2565" max="2565" width="14.109375" style="99" bestFit="1" customWidth="1"/>
    <col min="2566" max="2567" width="11.44140625" style="99"/>
    <col min="2568" max="2568" width="13.44140625" style="99" customWidth="1"/>
    <col min="2569" max="2569" width="11.44140625" style="99"/>
    <col min="2570" max="2570" width="13.44140625" style="99" bestFit="1" customWidth="1"/>
    <col min="2571" max="2816" width="11.44140625" style="99"/>
    <col min="2817" max="2817" width="16.33203125" style="99" customWidth="1"/>
    <col min="2818" max="2820" width="11.44140625" style="99"/>
    <col min="2821" max="2821" width="14.109375" style="99" bestFit="1" customWidth="1"/>
    <col min="2822" max="2823" width="11.44140625" style="99"/>
    <col min="2824" max="2824" width="13.44140625" style="99" customWidth="1"/>
    <col min="2825" max="2825" width="11.44140625" style="99"/>
    <col min="2826" max="2826" width="13.44140625" style="99" bestFit="1" customWidth="1"/>
    <col min="2827" max="3072" width="11.44140625" style="99"/>
    <col min="3073" max="3073" width="16.33203125" style="99" customWidth="1"/>
    <col min="3074" max="3076" width="11.44140625" style="99"/>
    <col min="3077" max="3077" width="14.109375" style="99" bestFit="1" customWidth="1"/>
    <col min="3078" max="3079" width="11.44140625" style="99"/>
    <col min="3080" max="3080" width="13.44140625" style="99" customWidth="1"/>
    <col min="3081" max="3081" width="11.44140625" style="99"/>
    <col min="3082" max="3082" width="13.44140625" style="99" bestFit="1" customWidth="1"/>
    <col min="3083" max="3328" width="11.44140625" style="99"/>
    <col min="3329" max="3329" width="16.33203125" style="99" customWidth="1"/>
    <col min="3330" max="3332" width="11.44140625" style="99"/>
    <col min="3333" max="3333" width="14.109375" style="99" bestFit="1" customWidth="1"/>
    <col min="3334" max="3335" width="11.44140625" style="99"/>
    <col min="3336" max="3336" width="13.44140625" style="99" customWidth="1"/>
    <col min="3337" max="3337" width="11.44140625" style="99"/>
    <col min="3338" max="3338" width="13.44140625" style="99" bestFit="1" customWidth="1"/>
    <col min="3339" max="3584" width="11.44140625" style="99"/>
    <col min="3585" max="3585" width="16.33203125" style="99" customWidth="1"/>
    <col min="3586" max="3588" width="11.44140625" style="99"/>
    <col min="3589" max="3589" width="14.109375" style="99" bestFit="1" customWidth="1"/>
    <col min="3590" max="3591" width="11.44140625" style="99"/>
    <col min="3592" max="3592" width="13.44140625" style="99" customWidth="1"/>
    <col min="3593" max="3593" width="11.44140625" style="99"/>
    <col min="3594" max="3594" width="13.44140625" style="99" bestFit="1" customWidth="1"/>
    <col min="3595" max="3840" width="11.44140625" style="99"/>
    <col min="3841" max="3841" width="16.33203125" style="99" customWidth="1"/>
    <col min="3842" max="3844" width="11.44140625" style="99"/>
    <col min="3845" max="3845" width="14.109375" style="99" bestFit="1" customWidth="1"/>
    <col min="3846" max="3847" width="11.44140625" style="99"/>
    <col min="3848" max="3848" width="13.44140625" style="99" customWidth="1"/>
    <col min="3849" max="3849" width="11.44140625" style="99"/>
    <col min="3850" max="3850" width="13.44140625" style="99" bestFit="1" customWidth="1"/>
    <col min="3851" max="4096" width="11.44140625" style="99"/>
    <col min="4097" max="4097" width="16.33203125" style="99" customWidth="1"/>
    <col min="4098" max="4100" width="11.44140625" style="99"/>
    <col min="4101" max="4101" width="14.109375" style="99" bestFit="1" customWidth="1"/>
    <col min="4102" max="4103" width="11.44140625" style="99"/>
    <col min="4104" max="4104" width="13.44140625" style="99" customWidth="1"/>
    <col min="4105" max="4105" width="11.44140625" style="99"/>
    <col min="4106" max="4106" width="13.44140625" style="99" bestFit="1" customWidth="1"/>
    <col min="4107" max="4352" width="11.44140625" style="99"/>
    <col min="4353" max="4353" width="16.33203125" style="99" customWidth="1"/>
    <col min="4354" max="4356" width="11.44140625" style="99"/>
    <col min="4357" max="4357" width="14.109375" style="99" bestFit="1" customWidth="1"/>
    <col min="4358" max="4359" width="11.44140625" style="99"/>
    <col min="4360" max="4360" width="13.44140625" style="99" customWidth="1"/>
    <col min="4361" max="4361" width="11.44140625" style="99"/>
    <col min="4362" max="4362" width="13.44140625" style="99" bestFit="1" customWidth="1"/>
    <col min="4363" max="4608" width="11.44140625" style="99"/>
    <col min="4609" max="4609" width="16.33203125" style="99" customWidth="1"/>
    <col min="4610" max="4612" width="11.44140625" style="99"/>
    <col min="4613" max="4613" width="14.109375" style="99" bestFit="1" customWidth="1"/>
    <col min="4614" max="4615" width="11.44140625" style="99"/>
    <col min="4616" max="4616" width="13.44140625" style="99" customWidth="1"/>
    <col min="4617" max="4617" width="11.44140625" style="99"/>
    <col min="4618" max="4618" width="13.44140625" style="99" bestFit="1" customWidth="1"/>
    <col min="4619" max="4864" width="11.44140625" style="99"/>
    <col min="4865" max="4865" width="16.33203125" style="99" customWidth="1"/>
    <col min="4866" max="4868" width="11.44140625" style="99"/>
    <col min="4869" max="4869" width="14.109375" style="99" bestFit="1" customWidth="1"/>
    <col min="4870" max="4871" width="11.44140625" style="99"/>
    <col min="4872" max="4872" width="13.44140625" style="99" customWidth="1"/>
    <col min="4873" max="4873" width="11.44140625" style="99"/>
    <col min="4874" max="4874" width="13.44140625" style="99" bestFit="1" customWidth="1"/>
    <col min="4875" max="5120" width="11.44140625" style="99"/>
    <col min="5121" max="5121" width="16.33203125" style="99" customWidth="1"/>
    <col min="5122" max="5124" width="11.44140625" style="99"/>
    <col min="5125" max="5125" width="14.109375" style="99" bestFit="1" customWidth="1"/>
    <col min="5126" max="5127" width="11.44140625" style="99"/>
    <col min="5128" max="5128" width="13.44140625" style="99" customWidth="1"/>
    <col min="5129" max="5129" width="11.44140625" style="99"/>
    <col min="5130" max="5130" width="13.44140625" style="99" bestFit="1" customWidth="1"/>
    <col min="5131" max="5376" width="11.44140625" style="99"/>
    <col min="5377" max="5377" width="16.33203125" style="99" customWidth="1"/>
    <col min="5378" max="5380" width="11.44140625" style="99"/>
    <col min="5381" max="5381" width="14.109375" style="99" bestFit="1" customWidth="1"/>
    <col min="5382" max="5383" width="11.44140625" style="99"/>
    <col min="5384" max="5384" width="13.44140625" style="99" customWidth="1"/>
    <col min="5385" max="5385" width="11.44140625" style="99"/>
    <col min="5386" max="5386" width="13.44140625" style="99" bestFit="1" customWidth="1"/>
    <col min="5387" max="5632" width="11.44140625" style="99"/>
    <col min="5633" max="5633" width="16.33203125" style="99" customWidth="1"/>
    <col min="5634" max="5636" width="11.44140625" style="99"/>
    <col min="5637" max="5637" width="14.109375" style="99" bestFit="1" customWidth="1"/>
    <col min="5638" max="5639" width="11.44140625" style="99"/>
    <col min="5640" max="5640" width="13.44140625" style="99" customWidth="1"/>
    <col min="5641" max="5641" width="11.44140625" style="99"/>
    <col min="5642" max="5642" width="13.44140625" style="99" bestFit="1" customWidth="1"/>
    <col min="5643" max="5888" width="11.44140625" style="99"/>
    <col min="5889" max="5889" width="16.33203125" style="99" customWidth="1"/>
    <col min="5890" max="5892" width="11.44140625" style="99"/>
    <col min="5893" max="5893" width="14.109375" style="99" bestFit="1" customWidth="1"/>
    <col min="5894" max="5895" width="11.44140625" style="99"/>
    <col min="5896" max="5896" width="13.44140625" style="99" customWidth="1"/>
    <col min="5897" max="5897" width="11.44140625" style="99"/>
    <col min="5898" max="5898" width="13.44140625" style="99" bestFit="1" customWidth="1"/>
    <col min="5899" max="6144" width="11.44140625" style="99"/>
    <col min="6145" max="6145" width="16.33203125" style="99" customWidth="1"/>
    <col min="6146" max="6148" width="11.44140625" style="99"/>
    <col min="6149" max="6149" width="14.109375" style="99" bestFit="1" customWidth="1"/>
    <col min="6150" max="6151" width="11.44140625" style="99"/>
    <col min="6152" max="6152" width="13.44140625" style="99" customWidth="1"/>
    <col min="6153" max="6153" width="11.44140625" style="99"/>
    <col min="6154" max="6154" width="13.44140625" style="99" bestFit="1" customWidth="1"/>
    <col min="6155" max="6400" width="11.44140625" style="99"/>
    <col min="6401" max="6401" width="16.33203125" style="99" customWidth="1"/>
    <col min="6402" max="6404" width="11.44140625" style="99"/>
    <col min="6405" max="6405" width="14.109375" style="99" bestFit="1" customWidth="1"/>
    <col min="6406" max="6407" width="11.44140625" style="99"/>
    <col min="6408" max="6408" width="13.44140625" style="99" customWidth="1"/>
    <col min="6409" max="6409" width="11.44140625" style="99"/>
    <col min="6410" max="6410" width="13.44140625" style="99" bestFit="1" customWidth="1"/>
    <col min="6411" max="6656" width="11.44140625" style="99"/>
    <col min="6657" max="6657" width="16.33203125" style="99" customWidth="1"/>
    <col min="6658" max="6660" width="11.44140625" style="99"/>
    <col min="6661" max="6661" width="14.109375" style="99" bestFit="1" customWidth="1"/>
    <col min="6662" max="6663" width="11.44140625" style="99"/>
    <col min="6664" max="6664" width="13.44140625" style="99" customWidth="1"/>
    <col min="6665" max="6665" width="11.44140625" style="99"/>
    <col min="6666" max="6666" width="13.44140625" style="99" bestFit="1" customWidth="1"/>
    <col min="6667" max="6912" width="11.44140625" style="99"/>
    <col min="6913" max="6913" width="16.33203125" style="99" customWidth="1"/>
    <col min="6914" max="6916" width="11.44140625" style="99"/>
    <col min="6917" max="6917" width="14.109375" style="99" bestFit="1" customWidth="1"/>
    <col min="6918" max="6919" width="11.44140625" style="99"/>
    <col min="6920" max="6920" width="13.44140625" style="99" customWidth="1"/>
    <col min="6921" max="6921" width="11.44140625" style="99"/>
    <col min="6922" max="6922" width="13.44140625" style="99" bestFit="1" customWidth="1"/>
    <col min="6923" max="7168" width="11.44140625" style="99"/>
    <col min="7169" max="7169" width="16.33203125" style="99" customWidth="1"/>
    <col min="7170" max="7172" width="11.44140625" style="99"/>
    <col min="7173" max="7173" width="14.109375" style="99" bestFit="1" customWidth="1"/>
    <col min="7174" max="7175" width="11.44140625" style="99"/>
    <col min="7176" max="7176" width="13.44140625" style="99" customWidth="1"/>
    <col min="7177" max="7177" width="11.44140625" style="99"/>
    <col min="7178" max="7178" width="13.44140625" style="99" bestFit="1" customWidth="1"/>
    <col min="7179" max="7424" width="11.44140625" style="99"/>
    <col min="7425" max="7425" width="16.33203125" style="99" customWidth="1"/>
    <col min="7426" max="7428" width="11.44140625" style="99"/>
    <col min="7429" max="7429" width="14.109375" style="99" bestFit="1" customWidth="1"/>
    <col min="7430" max="7431" width="11.44140625" style="99"/>
    <col min="7432" max="7432" width="13.44140625" style="99" customWidth="1"/>
    <col min="7433" max="7433" width="11.44140625" style="99"/>
    <col min="7434" max="7434" width="13.44140625" style="99" bestFit="1" customWidth="1"/>
    <col min="7435" max="7680" width="11.44140625" style="99"/>
    <col min="7681" max="7681" width="16.33203125" style="99" customWidth="1"/>
    <col min="7682" max="7684" width="11.44140625" style="99"/>
    <col min="7685" max="7685" width="14.109375" style="99" bestFit="1" customWidth="1"/>
    <col min="7686" max="7687" width="11.44140625" style="99"/>
    <col min="7688" max="7688" width="13.44140625" style="99" customWidth="1"/>
    <col min="7689" max="7689" width="11.44140625" style="99"/>
    <col min="7690" max="7690" width="13.44140625" style="99" bestFit="1" customWidth="1"/>
    <col min="7691" max="7936" width="11.44140625" style="99"/>
    <col min="7937" max="7937" width="16.33203125" style="99" customWidth="1"/>
    <col min="7938" max="7940" width="11.44140625" style="99"/>
    <col min="7941" max="7941" width="14.109375" style="99" bestFit="1" customWidth="1"/>
    <col min="7942" max="7943" width="11.44140625" style="99"/>
    <col min="7944" max="7944" width="13.44140625" style="99" customWidth="1"/>
    <col min="7945" max="7945" width="11.44140625" style="99"/>
    <col min="7946" max="7946" width="13.44140625" style="99" bestFit="1" customWidth="1"/>
    <col min="7947" max="8192" width="11.44140625" style="99"/>
    <col min="8193" max="8193" width="16.33203125" style="99" customWidth="1"/>
    <col min="8194" max="8196" width="11.44140625" style="99"/>
    <col min="8197" max="8197" width="14.109375" style="99" bestFit="1" customWidth="1"/>
    <col min="8198" max="8199" width="11.44140625" style="99"/>
    <col min="8200" max="8200" width="13.44140625" style="99" customWidth="1"/>
    <col min="8201" max="8201" width="11.44140625" style="99"/>
    <col min="8202" max="8202" width="13.44140625" style="99" bestFit="1" customWidth="1"/>
    <col min="8203" max="8448" width="11.44140625" style="99"/>
    <col min="8449" max="8449" width="16.33203125" style="99" customWidth="1"/>
    <col min="8450" max="8452" width="11.44140625" style="99"/>
    <col min="8453" max="8453" width="14.109375" style="99" bestFit="1" customWidth="1"/>
    <col min="8454" max="8455" width="11.44140625" style="99"/>
    <col min="8456" max="8456" width="13.44140625" style="99" customWidth="1"/>
    <col min="8457" max="8457" width="11.44140625" style="99"/>
    <col min="8458" max="8458" width="13.44140625" style="99" bestFit="1" customWidth="1"/>
    <col min="8459" max="8704" width="11.44140625" style="99"/>
    <col min="8705" max="8705" width="16.33203125" style="99" customWidth="1"/>
    <col min="8706" max="8708" width="11.44140625" style="99"/>
    <col min="8709" max="8709" width="14.109375" style="99" bestFit="1" customWidth="1"/>
    <col min="8710" max="8711" width="11.44140625" style="99"/>
    <col min="8712" max="8712" width="13.44140625" style="99" customWidth="1"/>
    <col min="8713" max="8713" width="11.44140625" style="99"/>
    <col min="8714" max="8714" width="13.44140625" style="99" bestFit="1" customWidth="1"/>
    <col min="8715" max="8960" width="11.44140625" style="99"/>
    <col min="8961" max="8961" width="16.33203125" style="99" customWidth="1"/>
    <col min="8962" max="8964" width="11.44140625" style="99"/>
    <col min="8965" max="8965" width="14.109375" style="99" bestFit="1" customWidth="1"/>
    <col min="8966" max="8967" width="11.44140625" style="99"/>
    <col min="8968" max="8968" width="13.44140625" style="99" customWidth="1"/>
    <col min="8969" max="8969" width="11.44140625" style="99"/>
    <col min="8970" max="8970" width="13.44140625" style="99" bestFit="1" customWidth="1"/>
    <col min="8971" max="9216" width="11.44140625" style="99"/>
    <col min="9217" max="9217" width="16.33203125" style="99" customWidth="1"/>
    <col min="9218" max="9220" width="11.44140625" style="99"/>
    <col min="9221" max="9221" width="14.109375" style="99" bestFit="1" customWidth="1"/>
    <col min="9222" max="9223" width="11.44140625" style="99"/>
    <col min="9224" max="9224" width="13.44140625" style="99" customWidth="1"/>
    <col min="9225" max="9225" width="11.44140625" style="99"/>
    <col min="9226" max="9226" width="13.44140625" style="99" bestFit="1" customWidth="1"/>
    <col min="9227" max="9472" width="11.44140625" style="99"/>
    <col min="9473" max="9473" width="16.33203125" style="99" customWidth="1"/>
    <col min="9474" max="9476" width="11.44140625" style="99"/>
    <col min="9477" max="9477" width="14.109375" style="99" bestFit="1" customWidth="1"/>
    <col min="9478" max="9479" width="11.44140625" style="99"/>
    <col min="9480" max="9480" width="13.44140625" style="99" customWidth="1"/>
    <col min="9481" max="9481" width="11.44140625" style="99"/>
    <col min="9482" max="9482" width="13.44140625" style="99" bestFit="1" customWidth="1"/>
    <col min="9483" max="9728" width="11.44140625" style="99"/>
    <col min="9729" max="9729" width="16.33203125" style="99" customWidth="1"/>
    <col min="9730" max="9732" width="11.44140625" style="99"/>
    <col min="9733" max="9733" width="14.109375" style="99" bestFit="1" customWidth="1"/>
    <col min="9734" max="9735" width="11.44140625" style="99"/>
    <col min="9736" max="9736" width="13.44140625" style="99" customWidth="1"/>
    <col min="9737" max="9737" width="11.44140625" style="99"/>
    <col min="9738" max="9738" width="13.44140625" style="99" bestFit="1" customWidth="1"/>
    <col min="9739" max="9984" width="11.44140625" style="99"/>
    <col min="9985" max="9985" width="16.33203125" style="99" customWidth="1"/>
    <col min="9986" max="9988" width="11.44140625" style="99"/>
    <col min="9989" max="9989" width="14.109375" style="99" bestFit="1" customWidth="1"/>
    <col min="9990" max="9991" width="11.44140625" style="99"/>
    <col min="9992" max="9992" width="13.44140625" style="99" customWidth="1"/>
    <col min="9993" max="9993" width="11.44140625" style="99"/>
    <col min="9994" max="9994" width="13.44140625" style="99" bestFit="1" customWidth="1"/>
    <col min="9995" max="10240" width="11.44140625" style="99"/>
    <col min="10241" max="10241" width="16.33203125" style="99" customWidth="1"/>
    <col min="10242" max="10244" width="11.44140625" style="99"/>
    <col min="10245" max="10245" width="14.109375" style="99" bestFit="1" customWidth="1"/>
    <col min="10246" max="10247" width="11.44140625" style="99"/>
    <col min="10248" max="10248" width="13.44140625" style="99" customWidth="1"/>
    <col min="10249" max="10249" width="11.44140625" style="99"/>
    <col min="10250" max="10250" width="13.44140625" style="99" bestFit="1" customWidth="1"/>
    <col min="10251" max="10496" width="11.44140625" style="99"/>
    <col min="10497" max="10497" width="16.33203125" style="99" customWidth="1"/>
    <col min="10498" max="10500" width="11.44140625" style="99"/>
    <col min="10501" max="10501" width="14.109375" style="99" bestFit="1" customWidth="1"/>
    <col min="10502" max="10503" width="11.44140625" style="99"/>
    <col min="10504" max="10504" width="13.44140625" style="99" customWidth="1"/>
    <col min="10505" max="10505" width="11.44140625" style="99"/>
    <col min="10506" max="10506" width="13.44140625" style="99" bestFit="1" customWidth="1"/>
    <col min="10507" max="10752" width="11.44140625" style="99"/>
    <col min="10753" max="10753" width="16.33203125" style="99" customWidth="1"/>
    <col min="10754" max="10756" width="11.44140625" style="99"/>
    <col min="10757" max="10757" width="14.109375" style="99" bestFit="1" customWidth="1"/>
    <col min="10758" max="10759" width="11.44140625" style="99"/>
    <col min="10760" max="10760" width="13.44140625" style="99" customWidth="1"/>
    <col min="10761" max="10761" width="11.44140625" style="99"/>
    <col min="10762" max="10762" width="13.44140625" style="99" bestFit="1" customWidth="1"/>
    <col min="10763" max="11008" width="11.44140625" style="99"/>
    <col min="11009" max="11009" width="16.33203125" style="99" customWidth="1"/>
    <col min="11010" max="11012" width="11.44140625" style="99"/>
    <col min="11013" max="11013" width="14.109375" style="99" bestFit="1" customWidth="1"/>
    <col min="11014" max="11015" width="11.44140625" style="99"/>
    <col min="11016" max="11016" width="13.44140625" style="99" customWidth="1"/>
    <col min="11017" max="11017" width="11.44140625" style="99"/>
    <col min="11018" max="11018" width="13.44140625" style="99" bestFit="1" customWidth="1"/>
    <col min="11019" max="11264" width="11.44140625" style="99"/>
    <col min="11265" max="11265" width="16.33203125" style="99" customWidth="1"/>
    <col min="11266" max="11268" width="11.44140625" style="99"/>
    <col min="11269" max="11269" width="14.109375" style="99" bestFit="1" customWidth="1"/>
    <col min="11270" max="11271" width="11.44140625" style="99"/>
    <col min="11272" max="11272" width="13.44140625" style="99" customWidth="1"/>
    <col min="11273" max="11273" width="11.44140625" style="99"/>
    <col min="11274" max="11274" width="13.44140625" style="99" bestFit="1" customWidth="1"/>
    <col min="11275" max="11520" width="11.44140625" style="99"/>
    <col min="11521" max="11521" width="16.33203125" style="99" customWidth="1"/>
    <col min="11522" max="11524" width="11.44140625" style="99"/>
    <col min="11525" max="11525" width="14.109375" style="99" bestFit="1" customWidth="1"/>
    <col min="11526" max="11527" width="11.44140625" style="99"/>
    <col min="11528" max="11528" width="13.44140625" style="99" customWidth="1"/>
    <col min="11529" max="11529" width="11.44140625" style="99"/>
    <col min="11530" max="11530" width="13.44140625" style="99" bestFit="1" customWidth="1"/>
    <col min="11531" max="11776" width="11.44140625" style="99"/>
    <col min="11777" max="11777" width="16.33203125" style="99" customWidth="1"/>
    <col min="11778" max="11780" width="11.44140625" style="99"/>
    <col min="11781" max="11781" width="14.109375" style="99" bestFit="1" customWidth="1"/>
    <col min="11782" max="11783" width="11.44140625" style="99"/>
    <col min="11784" max="11784" width="13.44140625" style="99" customWidth="1"/>
    <col min="11785" max="11785" width="11.44140625" style="99"/>
    <col min="11786" max="11786" width="13.44140625" style="99" bestFit="1" customWidth="1"/>
    <col min="11787" max="12032" width="11.44140625" style="99"/>
    <col min="12033" max="12033" width="16.33203125" style="99" customWidth="1"/>
    <col min="12034" max="12036" width="11.44140625" style="99"/>
    <col min="12037" max="12037" width="14.109375" style="99" bestFit="1" customWidth="1"/>
    <col min="12038" max="12039" width="11.44140625" style="99"/>
    <col min="12040" max="12040" width="13.44140625" style="99" customWidth="1"/>
    <col min="12041" max="12041" width="11.44140625" style="99"/>
    <col min="12042" max="12042" width="13.44140625" style="99" bestFit="1" customWidth="1"/>
    <col min="12043" max="12288" width="11.44140625" style="99"/>
    <col min="12289" max="12289" width="16.33203125" style="99" customWidth="1"/>
    <col min="12290" max="12292" width="11.44140625" style="99"/>
    <col min="12293" max="12293" width="14.109375" style="99" bestFit="1" customWidth="1"/>
    <col min="12294" max="12295" width="11.44140625" style="99"/>
    <col min="12296" max="12296" width="13.44140625" style="99" customWidth="1"/>
    <col min="12297" max="12297" width="11.44140625" style="99"/>
    <col min="12298" max="12298" width="13.44140625" style="99" bestFit="1" customWidth="1"/>
    <col min="12299" max="12544" width="11.44140625" style="99"/>
    <col min="12545" max="12545" width="16.33203125" style="99" customWidth="1"/>
    <col min="12546" max="12548" width="11.44140625" style="99"/>
    <col min="12549" max="12549" width="14.109375" style="99" bestFit="1" customWidth="1"/>
    <col min="12550" max="12551" width="11.44140625" style="99"/>
    <col min="12552" max="12552" width="13.44140625" style="99" customWidth="1"/>
    <col min="12553" max="12553" width="11.44140625" style="99"/>
    <col min="12554" max="12554" width="13.44140625" style="99" bestFit="1" customWidth="1"/>
    <col min="12555" max="12800" width="11.44140625" style="99"/>
    <col min="12801" max="12801" width="16.33203125" style="99" customWidth="1"/>
    <col min="12802" max="12804" width="11.44140625" style="99"/>
    <col min="12805" max="12805" width="14.109375" style="99" bestFit="1" customWidth="1"/>
    <col min="12806" max="12807" width="11.44140625" style="99"/>
    <col min="12808" max="12808" width="13.44140625" style="99" customWidth="1"/>
    <col min="12809" max="12809" width="11.44140625" style="99"/>
    <col min="12810" max="12810" width="13.44140625" style="99" bestFit="1" customWidth="1"/>
    <col min="12811" max="13056" width="11.44140625" style="99"/>
    <col min="13057" max="13057" width="16.33203125" style="99" customWidth="1"/>
    <col min="13058" max="13060" width="11.44140625" style="99"/>
    <col min="13061" max="13061" width="14.109375" style="99" bestFit="1" customWidth="1"/>
    <col min="13062" max="13063" width="11.44140625" style="99"/>
    <col min="13064" max="13064" width="13.44140625" style="99" customWidth="1"/>
    <col min="13065" max="13065" width="11.44140625" style="99"/>
    <col min="13066" max="13066" width="13.44140625" style="99" bestFit="1" customWidth="1"/>
    <col min="13067" max="13312" width="11.44140625" style="99"/>
    <col min="13313" max="13313" width="16.33203125" style="99" customWidth="1"/>
    <col min="13314" max="13316" width="11.44140625" style="99"/>
    <col min="13317" max="13317" width="14.109375" style="99" bestFit="1" customWidth="1"/>
    <col min="13318" max="13319" width="11.44140625" style="99"/>
    <col min="13320" max="13320" width="13.44140625" style="99" customWidth="1"/>
    <col min="13321" max="13321" width="11.44140625" style="99"/>
    <col min="13322" max="13322" width="13.44140625" style="99" bestFit="1" customWidth="1"/>
    <col min="13323" max="13568" width="11.44140625" style="99"/>
    <col min="13569" max="13569" width="16.33203125" style="99" customWidth="1"/>
    <col min="13570" max="13572" width="11.44140625" style="99"/>
    <col min="13573" max="13573" width="14.109375" style="99" bestFit="1" customWidth="1"/>
    <col min="13574" max="13575" width="11.44140625" style="99"/>
    <col min="13576" max="13576" width="13.44140625" style="99" customWidth="1"/>
    <col min="13577" max="13577" width="11.44140625" style="99"/>
    <col min="13578" max="13578" width="13.44140625" style="99" bestFit="1" customWidth="1"/>
    <col min="13579" max="13824" width="11.44140625" style="99"/>
    <col min="13825" max="13825" width="16.33203125" style="99" customWidth="1"/>
    <col min="13826" max="13828" width="11.44140625" style="99"/>
    <col min="13829" max="13829" width="14.109375" style="99" bestFit="1" customWidth="1"/>
    <col min="13830" max="13831" width="11.44140625" style="99"/>
    <col min="13832" max="13832" width="13.44140625" style="99" customWidth="1"/>
    <col min="13833" max="13833" width="11.44140625" style="99"/>
    <col min="13834" max="13834" width="13.44140625" style="99" bestFit="1" customWidth="1"/>
    <col min="13835" max="14080" width="11.44140625" style="99"/>
    <col min="14081" max="14081" width="16.33203125" style="99" customWidth="1"/>
    <col min="14082" max="14084" width="11.44140625" style="99"/>
    <col min="14085" max="14085" width="14.109375" style="99" bestFit="1" customWidth="1"/>
    <col min="14086" max="14087" width="11.44140625" style="99"/>
    <col min="14088" max="14088" width="13.44140625" style="99" customWidth="1"/>
    <col min="14089" max="14089" width="11.44140625" style="99"/>
    <col min="14090" max="14090" width="13.44140625" style="99" bestFit="1" customWidth="1"/>
    <col min="14091" max="14336" width="11.44140625" style="99"/>
    <col min="14337" max="14337" width="16.33203125" style="99" customWidth="1"/>
    <col min="14338" max="14340" width="11.44140625" style="99"/>
    <col min="14341" max="14341" width="14.109375" style="99" bestFit="1" customWidth="1"/>
    <col min="14342" max="14343" width="11.44140625" style="99"/>
    <col min="14344" max="14344" width="13.44140625" style="99" customWidth="1"/>
    <col min="14345" max="14345" width="11.44140625" style="99"/>
    <col min="14346" max="14346" width="13.44140625" style="99" bestFit="1" customWidth="1"/>
    <col min="14347" max="14592" width="11.44140625" style="99"/>
    <col min="14593" max="14593" width="16.33203125" style="99" customWidth="1"/>
    <col min="14594" max="14596" width="11.44140625" style="99"/>
    <col min="14597" max="14597" width="14.109375" style="99" bestFit="1" customWidth="1"/>
    <col min="14598" max="14599" width="11.44140625" style="99"/>
    <col min="14600" max="14600" width="13.44140625" style="99" customWidth="1"/>
    <col min="14601" max="14601" width="11.44140625" style="99"/>
    <col min="14602" max="14602" width="13.44140625" style="99" bestFit="1" customWidth="1"/>
    <col min="14603" max="14848" width="11.44140625" style="99"/>
    <col min="14849" max="14849" width="16.33203125" style="99" customWidth="1"/>
    <col min="14850" max="14852" width="11.44140625" style="99"/>
    <col min="14853" max="14853" width="14.109375" style="99" bestFit="1" customWidth="1"/>
    <col min="14854" max="14855" width="11.44140625" style="99"/>
    <col min="14856" max="14856" width="13.44140625" style="99" customWidth="1"/>
    <col min="14857" max="14857" width="11.44140625" style="99"/>
    <col min="14858" max="14858" width="13.44140625" style="99" bestFit="1" customWidth="1"/>
    <col min="14859" max="15104" width="11.44140625" style="99"/>
    <col min="15105" max="15105" width="16.33203125" style="99" customWidth="1"/>
    <col min="15106" max="15108" width="11.44140625" style="99"/>
    <col min="15109" max="15109" width="14.109375" style="99" bestFit="1" customWidth="1"/>
    <col min="15110" max="15111" width="11.44140625" style="99"/>
    <col min="15112" max="15112" width="13.44140625" style="99" customWidth="1"/>
    <col min="15113" max="15113" width="11.44140625" style="99"/>
    <col min="15114" max="15114" width="13.44140625" style="99" bestFit="1" customWidth="1"/>
    <col min="15115" max="15360" width="11.44140625" style="99"/>
    <col min="15361" max="15361" width="16.33203125" style="99" customWidth="1"/>
    <col min="15362" max="15364" width="11.44140625" style="99"/>
    <col min="15365" max="15365" width="14.109375" style="99" bestFit="1" customWidth="1"/>
    <col min="15366" max="15367" width="11.44140625" style="99"/>
    <col min="15368" max="15368" width="13.44140625" style="99" customWidth="1"/>
    <col min="15369" max="15369" width="11.44140625" style="99"/>
    <col min="15370" max="15370" width="13.44140625" style="99" bestFit="1" customWidth="1"/>
    <col min="15371" max="15616" width="11.44140625" style="99"/>
    <col min="15617" max="15617" width="16.33203125" style="99" customWidth="1"/>
    <col min="15618" max="15620" width="11.44140625" style="99"/>
    <col min="15621" max="15621" width="14.109375" style="99" bestFit="1" customWidth="1"/>
    <col min="15622" max="15623" width="11.44140625" style="99"/>
    <col min="15624" max="15624" width="13.44140625" style="99" customWidth="1"/>
    <col min="15625" max="15625" width="11.44140625" style="99"/>
    <col min="15626" max="15626" width="13.44140625" style="99" bestFit="1" customWidth="1"/>
    <col min="15627" max="15872" width="11.44140625" style="99"/>
    <col min="15873" max="15873" width="16.33203125" style="99" customWidth="1"/>
    <col min="15874" max="15876" width="11.44140625" style="99"/>
    <col min="15877" max="15877" width="14.109375" style="99" bestFit="1" customWidth="1"/>
    <col min="15878" max="15879" width="11.44140625" style="99"/>
    <col min="15880" max="15880" width="13.44140625" style="99" customWidth="1"/>
    <col min="15881" max="15881" width="11.44140625" style="99"/>
    <col min="15882" max="15882" width="13.44140625" style="99" bestFit="1" customWidth="1"/>
    <col min="15883" max="16128" width="11.44140625" style="99"/>
    <col min="16129" max="16129" width="16.33203125" style="99" customWidth="1"/>
    <col min="16130" max="16132" width="11.44140625" style="99"/>
    <col min="16133" max="16133" width="14.109375" style="99" bestFit="1" customWidth="1"/>
    <col min="16134" max="16135" width="11.44140625" style="99"/>
    <col min="16136" max="16136" width="13.44140625" style="99" customWidth="1"/>
    <col min="16137" max="16137" width="11.44140625" style="99"/>
    <col min="16138" max="16138" width="13.44140625" style="99" bestFit="1" customWidth="1"/>
    <col min="16139" max="16384" width="11.44140625" style="99"/>
  </cols>
  <sheetData>
    <row r="5" spans="2:9" x14ac:dyDescent="0.25">
      <c r="B5" s="98"/>
      <c r="C5" s="98"/>
      <c r="D5" s="98"/>
      <c r="E5" s="98"/>
      <c r="F5" s="98"/>
      <c r="G5" s="98"/>
      <c r="H5" s="98"/>
    </row>
    <row r="6" spans="2:9" ht="22.8" x14ac:dyDescent="0.4">
      <c r="B6" s="100"/>
      <c r="C6" s="98"/>
      <c r="D6" s="98"/>
      <c r="E6" s="98"/>
      <c r="F6" s="98"/>
      <c r="G6" s="98"/>
      <c r="H6" s="98"/>
      <c r="I6" s="101"/>
    </row>
    <row r="7" spans="2:9" x14ac:dyDescent="0.25">
      <c r="B7" s="98"/>
      <c r="C7" s="98"/>
      <c r="D7" s="98"/>
      <c r="E7" s="98"/>
      <c r="F7" s="98"/>
      <c r="G7" s="98"/>
      <c r="H7" s="98"/>
      <c r="I7" s="98"/>
    </row>
    <row r="8" spans="2:9" x14ac:dyDescent="0.25">
      <c r="B8" s="98"/>
      <c r="C8" s="98"/>
      <c r="D8" s="98"/>
      <c r="F8" s="98"/>
      <c r="G8" s="98"/>
      <c r="H8" s="98"/>
    </row>
    <row r="9" spans="2:9" x14ac:dyDescent="0.25">
      <c r="B9" s="98"/>
      <c r="C9" s="98"/>
      <c r="D9" s="98"/>
      <c r="E9" s="98"/>
      <c r="F9" s="98"/>
      <c r="G9" s="98"/>
      <c r="H9" s="98"/>
    </row>
    <row r="10" spans="2:9" ht="22.8" x14ac:dyDescent="0.4">
      <c r="B10" s="98"/>
      <c r="C10" s="98"/>
      <c r="D10" s="98"/>
      <c r="I10" s="101"/>
    </row>
    <row r="11" spans="2:9" x14ac:dyDescent="0.25">
      <c r="B11" s="98"/>
      <c r="C11" s="98"/>
      <c r="D11" s="98"/>
    </row>
    <row r="12" spans="2:9" ht="27" customHeight="1" x14ac:dyDescent="0.4">
      <c r="B12" s="98"/>
      <c r="C12" s="98"/>
      <c r="D12" s="98"/>
      <c r="E12" s="98"/>
      <c r="F12" s="98"/>
      <c r="G12" s="98"/>
      <c r="H12" s="98"/>
      <c r="I12" s="101"/>
    </row>
    <row r="13" spans="2:9" ht="19.5" customHeight="1" x14ac:dyDescent="0.4">
      <c r="B13" s="98"/>
      <c r="C13" s="93"/>
      <c r="D13" s="93"/>
      <c r="E13" s="93"/>
      <c r="F13" s="93"/>
      <c r="G13" s="93"/>
      <c r="H13" s="93"/>
      <c r="I13" s="101"/>
    </row>
    <row r="14" spans="2:9" x14ac:dyDescent="0.25">
      <c r="B14" s="98"/>
      <c r="C14" s="98"/>
      <c r="D14" s="98"/>
      <c r="F14" s="98"/>
      <c r="G14" s="98"/>
      <c r="H14" s="98"/>
    </row>
    <row r="15" spans="2:9" x14ac:dyDescent="0.25">
      <c r="B15" s="98"/>
      <c r="C15" s="98"/>
      <c r="D15" s="98"/>
      <c r="F15" s="98"/>
      <c r="G15" s="98"/>
      <c r="H15" s="98"/>
      <c r="I15" s="98"/>
    </row>
    <row r="16" spans="2:9" ht="34.799999999999997" x14ac:dyDescent="0.55000000000000004">
      <c r="B16" s="98"/>
      <c r="C16" s="98"/>
      <c r="D16" s="98"/>
      <c r="E16" s="102"/>
      <c r="F16" s="98"/>
      <c r="G16" s="98"/>
      <c r="H16" s="98"/>
      <c r="I16" s="98"/>
    </row>
    <row r="17" spans="2:9" ht="32.4" x14ac:dyDescent="0.55000000000000004">
      <c r="B17" s="98"/>
      <c r="C17" s="98"/>
      <c r="D17" s="98"/>
      <c r="E17" s="103"/>
      <c r="F17" s="98"/>
      <c r="G17" s="98"/>
      <c r="H17" s="98"/>
      <c r="I17" s="98"/>
    </row>
    <row r="18" spans="2:9" ht="32.4" x14ac:dyDescent="0.55000000000000004">
      <c r="D18" s="103"/>
    </row>
    <row r="19" spans="2:9" ht="18" x14ac:dyDescent="0.35">
      <c r="E19" s="104"/>
      <c r="I19" s="105"/>
    </row>
    <row r="21" spans="2:9" x14ac:dyDescent="0.25">
      <c r="E21" s="106"/>
    </row>
    <row r="22" spans="2:9" ht="25.8" x14ac:dyDescent="0.5">
      <c r="E22" s="107"/>
    </row>
    <row r="25" spans="2:9" ht="18" x14ac:dyDescent="0.35">
      <c r="E25" s="108"/>
    </row>
    <row r="26" spans="2:9" ht="18" x14ac:dyDescent="0.35">
      <c r="E26" s="109"/>
    </row>
    <row r="28" spans="2:9" x14ac:dyDescent="0.25">
      <c r="D28" s="93"/>
      <c r="E28" s="93"/>
      <c r="F28" s="93"/>
      <c r="G28" s="93"/>
      <c r="H28" s="93"/>
    </row>
    <row r="33" spans="1:9" ht="35.4" x14ac:dyDescent="0.25">
      <c r="A33" s="110"/>
    </row>
    <row r="36" spans="1:9" ht="32.4" x14ac:dyDescent="0.25">
      <c r="B36" s="111"/>
    </row>
    <row r="39" spans="1:9" ht="17.399999999999999" x14ac:dyDescent="0.3">
      <c r="B39" s="112"/>
    </row>
    <row r="41" spans="1:9" ht="18" x14ac:dyDescent="0.35">
      <c r="I41" s="113"/>
    </row>
    <row r="43" spans="1:9" ht="18" x14ac:dyDescent="0.35">
      <c r="B43" s="208"/>
      <c r="C43" s="208"/>
      <c r="D43" s="208"/>
    </row>
    <row r="57" spans="10:10" ht="18" x14ac:dyDescent="0.35">
      <c r="J57" s="114"/>
    </row>
  </sheetData>
  <mergeCells count="1">
    <mergeCell ref="B43:D43"/>
  </mergeCells>
  <pageMargins left="0.78740157480314965" right="0.78740157480314965" top="0.98425196850393704" bottom="0.98425196850393704" header="0.51181102362204722" footer="0.51181102362204722"/>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80" zoomScaleNormal="80" zoomScaleSheetLayoutView="50" workbookViewId="0"/>
  </sheetViews>
  <sheetFormatPr defaultColWidth="11.44140625" defaultRowHeight="12.75" customHeight="1" x14ac:dyDescent="0.25"/>
  <cols>
    <col min="1" max="1" width="11.33203125" style="88" customWidth="1"/>
    <col min="2" max="2" width="27.109375" style="1" customWidth="1"/>
    <col min="3" max="5" width="10.6640625" style="1" customWidth="1"/>
    <col min="6" max="8" width="7.6640625" style="1" customWidth="1"/>
    <col min="9" max="16384" width="11.44140625" style="1"/>
  </cols>
  <sheetData>
    <row r="2" spans="1:8" ht="12.75" customHeight="1" x14ac:dyDescent="0.25">
      <c r="B2" s="2"/>
      <c r="C2" s="2"/>
      <c r="D2" s="2"/>
      <c r="E2" s="2"/>
      <c r="F2" s="2"/>
      <c r="G2" s="2"/>
    </row>
    <row r="3" spans="1:8" ht="12.75" customHeight="1" x14ac:dyDescent="0.25">
      <c r="A3" s="89"/>
      <c r="B3" s="2"/>
      <c r="C3" s="2"/>
      <c r="D3" s="2"/>
      <c r="E3" s="2"/>
      <c r="F3" s="2"/>
      <c r="G3" s="2"/>
    </row>
    <row r="4" spans="1:8" ht="12.75" customHeight="1" x14ac:dyDescent="0.3">
      <c r="A4" s="89"/>
      <c r="C4" s="73"/>
      <c r="D4" s="73" t="s">
        <v>88</v>
      </c>
      <c r="E4" s="73"/>
      <c r="F4" s="73"/>
      <c r="G4" s="73"/>
      <c r="H4" s="73"/>
    </row>
    <row r="5" spans="1:8" ht="12.75" customHeight="1" x14ac:dyDescent="0.3">
      <c r="A5" s="89"/>
      <c r="B5" s="74"/>
      <c r="C5" s="73"/>
      <c r="D5" s="73"/>
      <c r="E5" s="73"/>
      <c r="F5" s="73"/>
      <c r="G5" s="73"/>
      <c r="H5" s="73"/>
    </row>
    <row r="6" spans="1:8" ht="12.75" customHeight="1" x14ac:dyDescent="0.3">
      <c r="A6" s="89"/>
      <c r="B6" s="72"/>
      <c r="C6" s="72"/>
      <c r="D6" s="72"/>
      <c r="E6" s="72"/>
      <c r="F6" s="72"/>
      <c r="G6" s="72"/>
      <c r="H6" s="72"/>
    </row>
    <row r="7" spans="1:8" ht="12.75" customHeight="1" x14ac:dyDescent="0.3">
      <c r="A7" s="89"/>
      <c r="B7" s="72"/>
      <c r="C7" s="72"/>
      <c r="D7" s="72"/>
      <c r="E7" s="72"/>
      <c r="F7" s="72"/>
      <c r="G7" s="72"/>
      <c r="H7" s="72"/>
    </row>
    <row r="8" spans="1:8" ht="12.75" customHeight="1" x14ac:dyDescent="0.3">
      <c r="A8" s="90" t="s">
        <v>114</v>
      </c>
      <c r="B8" s="72" t="s">
        <v>89</v>
      </c>
      <c r="C8" s="72"/>
      <c r="D8" s="72"/>
      <c r="E8" s="72"/>
      <c r="F8" s="72"/>
      <c r="G8" s="72"/>
      <c r="H8" s="75">
        <v>2</v>
      </c>
    </row>
    <row r="9" spans="1:8" ht="12.75" customHeight="1" x14ac:dyDescent="0.3">
      <c r="B9" s="72"/>
      <c r="C9" s="72"/>
      <c r="D9" s="72"/>
      <c r="E9" s="72"/>
      <c r="F9" s="72"/>
      <c r="G9" s="72"/>
      <c r="H9" s="75"/>
    </row>
    <row r="10" spans="1:8" ht="12.75" customHeight="1" x14ac:dyDescent="0.3">
      <c r="B10" s="72" t="s">
        <v>90</v>
      </c>
      <c r="C10" s="72"/>
      <c r="D10" s="72"/>
      <c r="E10" s="72"/>
      <c r="F10" s="72"/>
      <c r="G10" s="72"/>
      <c r="H10" s="75"/>
    </row>
    <row r="11" spans="1:8" ht="12.75" customHeight="1" x14ac:dyDescent="0.3">
      <c r="A11" s="90" t="s">
        <v>115</v>
      </c>
      <c r="B11" s="72" t="str">
        <f>+'Tab2'!A6&amp;" ……………………………………………"</f>
        <v>Figur 1. Antall meldte skader etter bransjer  ……………………………………………</v>
      </c>
      <c r="C11" s="72"/>
      <c r="D11" s="72"/>
      <c r="E11" s="72"/>
      <c r="F11" s="72"/>
      <c r="G11" s="72"/>
      <c r="H11" s="75">
        <v>4</v>
      </c>
    </row>
    <row r="12" spans="1:8" ht="12.75" customHeight="1" x14ac:dyDescent="0.3">
      <c r="B12" s="72" t="str">
        <f>+'Tab2'!A32&amp;" ……………………………"</f>
        <v>Figur 2. Antall meldte skader etter bransjer  ……………………………</v>
      </c>
      <c r="C12" s="72"/>
      <c r="D12" s="72"/>
      <c r="E12" s="72"/>
      <c r="F12" s="72"/>
      <c r="G12" s="72"/>
      <c r="H12" s="75">
        <v>4</v>
      </c>
    </row>
    <row r="13" spans="1:8" ht="12.75" customHeight="1" x14ac:dyDescent="0.3">
      <c r="B13" s="72" t="str">
        <f>+'Tab2'!I6&amp;"  ………………………………………………………………………………………………….."</f>
        <v>Figur 3. Anslått erstatning etter bransje, pr.   …………………………………………………………………………………………………..</v>
      </c>
      <c r="C13" s="72"/>
      <c r="D13" s="72"/>
      <c r="E13" s="72"/>
      <c r="F13" s="72"/>
      <c r="G13" s="72"/>
      <c r="H13" s="75">
        <v>5</v>
      </c>
    </row>
    <row r="14" spans="1:8" ht="12.75" customHeight="1" x14ac:dyDescent="0.3">
      <c r="B14" s="72" t="str">
        <f>+'Tab2'!I32&amp;"  ………………………………………………………………………………………………….."</f>
        <v>Figur 4. Vannskader pr. kvartal  …………………………………………………………………………………………………..</v>
      </c>
      <c r="C14" s="72"/>
      <c r="D14" s="72"/>
      <c r="E14" s="72"/>
      <c r="F14" s="72"/>
      <c r="G14" s="72"/>
      <c r="H14" s="75">
        <v>5</v>
      </c>
    </row>
    <row r="15" spans="1:8" ht="12.75" customHeight="1" x14ac:dyDescent="0.3">
      <c r="B15" s="72" t="str">
        <f>+'Tab2'!P6&amp;" ……………………………"</f>
        <v>Figur 5. Antall meldte skader i motorvogn kvartalsvis (i 1000) ……………………………</v>
      </c>
      <c r="C15" s="72"/>
      <c r="D15" s="72"/>
      <c r="E15" s="72"/>
      <c r="F15" s="72"/>
      <c r="G15" s="72"/>
      <c r="H15" s="75">
        <v>6</v>
      </c>
    </row>
    <row r="16" spans="1:8" ht="12.75" customHeight="1" x14ac:dyDescent="0.3">
      <c r="B16" s="72" t="str">
        <f>+'Tab2'!P32&amp;" ……………………………"</f>
        <v>Figur 6. Anslått erstatning etter skadetype, motorvogn  2018 ……………………………</v>
      </c>
      <c r="C16" s="72"/>
      <c r="D16" s="72"/>
      <c r="E16" s="72"/>
      <c r="F16" s="72"/>
      <c r="G16" s="72"/>
      <c r="H16" s="75">
        <v>6</v>
      </c>
    </row>
    <row r="17" spans="1:14" ht="12.75" customHeight="1" x14ac:dyDescent="0.3">
      <c r="B17" s="72" t="str">
        <f>+'Tab2'!W6&amp;" ……………………………………………………………"</f>
        <v>Figur 7. Antall meldte skader i de Brann-kombinerte bransjer etter skadetype  ……………………………………………………………</v>
      </c>
      <c r="C17" s="72"/>
      <c r="D17" s="72"/>
      <c r="E17" s="72"/>
      <c r="F17" s="72"/>
      <c r="G17" s="72"/>
      <c r="H17" s="75">
        <v>7</v>
      </c>
    </row>
    <row r="18" spans="1:14" ht="12.75" customHeight="1" x14ac:dyDescent="0.3">
      <c r="B18" s="72" t="str">
        <f>+'Tab2'!W32&amp;" ……………………………………………………………"</f>
        <v>Figur 8. Anslått erstatning i de Brann-kombinerte bransjer etter skadetype  ……………………………………………………………</v>
      </c>
      <c r="C18" s="72"/>
      <c r="D18" s="72"/>
      <c r="E18" s="72"/>
      <c r="F18" s="72"/>
      <c r="G18" s="72"/>
      <c r="H18" s="75">
        <v>7</v>
      </c>
    </row>
    <row r="19" spans="1:14" ht="12.75" customHeight="1" x14ac:dyDescent="0.3">
      <c r="B19" s="72" t="str">
        <f>+'Tab2'!AD6&amp;"  ………………………………………………………………………………………………….."</f>
        <v>Figur 9. Brannskader pr. kvartal  …………………………………………………………………………………………………..</v>
      </c>
      <c r="C19" s="72"/>
      <c r="D19" s="72"/>
      <c r="E19" s="72"/>
      <c r="F19" s="72"/>
      <c r="G19" s="72"/>
      <c r="H19" s="75">
        <v>8</v>
      </c>
    </row>
    <row r="20" spans="1:14" ht="12.75" customHeight="1" x14ac:dyDescent="0.3">
      <c r="B20" s="72" t="str">
        <f>+'Tab2'!AD32&amp;"  ………………………………………………………………………………………………….."</f>
        <v>Figur 10. Innbrudd, tyverier og ran pr. kvartal  …………………………………………………………………………………………………..</v>
      </c>
      <c r="C20" s="72"/>
      <c r="D20" s="72"/>
      <c r="E20" s="72"/>
      <c r="F20" s="72"/>
      <c r="G20" s="72"/>
      <c r="H20" s="75">
        <v>8</v>
      </c>
    </row>
    <row r="22" spans="1:14" ht="12.75" customHeight="1" x14ac:dyDescent="0.3">
      <c r="B22" s="72" t="s">
        <v>91</v>
      </c>
      <c r="C22" s="72"/>
      <c r="D22" s="72"/>
      <c r="E22" s="72"/>
      <c r="F22" s="72"/>
      <c r="G22" s="72"/>
      <c r="H22" s="75"/>
    </row>
    <row r="23" spans="1:14" ht="12.75" customHeight="1" x14ac:dyDescent="0.3">
      <c r="A23" s="90" t="s">
        <v>116</v>
      </c>
      <c r="B23" s="72" t="s">
        <v>132</v>
      </c>
      <c r="C23" s="72"/>
      <c r="D23" s="72"/>
      <c r="E23" s="72"/>
      <c r="F23" s="72"/>
      <c r="G23" s="72"/>
      <c r="H23" s="75">
        <v>9</v>
      </c>
    </row>
    <row r="24" spans="1:14" ht="12.75" customHeight="1" x14ac:dyDescent="0.3">
      <c r="A24" s="90" t="s">
        <v>117</v>
      </c>
      <c r="B24" s="72" t="s">
        <v>93</v>
      </c>
      <c r="C24" s="72"/>
      <c r="D24" s="72"/>
      <c r="E24" s="72"/>
      <c r="F24" s="72"/>
      <c r="G24" s="72"/>
      <c r="H24" s="75">
        <f>H23+1</f>
        <v>10</v>
      </c>
    </row>
    <row r="25" spans="1:14" ht="12.75" customHeight="1" x14ac:dyDescent="0.3">
      <c r="B25" s="72"/>
      <c r="C25" s="72"/>
      <c r="D25" s="72"/>
      <c r="E25" s="72"/>
      <c r="F25" s="72"/>
      <c r="G25" s="72"/>
      <c r="H25" s="75"/>
    </row>
    <row r="26" spans="1:14" ht="12.75" customHeight="1" x14ac:dyDescent="0.3">
      <c r="A26" s="90" t="s">
        <v>118</v>
      </c>
      <c r="B26" s="72" t="s">
        <v>133</v>
      </c>
      <c r="C26" s="72"/>
      <c r="D26" s="72"/>
      <c r="E26" s="72"/>
      <c r="F26" s="72"/>
      <c r="G26" s="72"/>
      <c r="H26" s="75">
        <f>+H24+1</f>
        <v>11</v>
      </c>
    </row>
    <row r="27" spans="1:14" ht="12.75" customHeight="1" x14ac:dyDescent="0.3">
      <c r="B27" s="72" t="s">
        <v>94</v>
      </c>
      <c r="C27" s="72"/>
      <c r="D27" s="72"/>
      <c r="E27" s="72"/>
      <c r="F27" s="72"/>
      <c r="G27" s="72"/>
      <c r="H27" s="75">
        <f>+H26</f>
        <v>11</v>
      </c>
      <c r="N27" s="76"/>
    </row>
    <row r="28" spans="1:14" ht="12.75" customHeight="1" x14ac:dyDescent="0.3">
      <c r="A28" s="90" t="s">
        <v>119</v>
      </c>
      <c r="B28" s="72" t="s">
        <v>134</v>
      </c>
      <c r="C28" s="72"/>
      <c r="D28" s="72"/>
      <c r="E28" s="72"/>
      <c r="F28" s="72"/>
      <c r="G28" s="72"/>
      <c r="H28" s="75">
        <f>+H26+1</f>
        <v>12</v>
      </c>
      <c r="N28" s="76"/>
    </row>
    <row r="29" spans="1:14" ht="12.75" customHeight="1" x14ac:dyDescent="0.3">
      <c r="B29" s="72" t="s">
        <v>95</v>
      </c>
      <c r="C29" s="72"/>
      <c r="D29" s="72"/>
      <c r="E29" s="72"/>
      <c r="F29" s="72"/>
      <c r="G29" s="72"/>
      <c r="H29" s="75">
        <f>+H28</f>
        <v>12</v>
      </c>
      <c r="N29" s="76"/>
    </row>
    <row r="30" spans="1:14" ht="12.75" customHeight="1" x14ac:dyDescent="0.3">
      <c r="B30" s="72"/>
      <c r="C30" s="72"/>
      <c r="D30" s="72"/>
      <c r="E30" s="72"/>
      <c r="F30" s="72"/>
      <c r="G30" s="72"/>
      <c r="H30" s="75"/>
      <c r="N30" s="76"/>
    </row>
    <row r="31" spans="1:14" ht="12.75" customHeight="1" x14ac:dyDescent="0.3">
      <c r="A31" s="90" t="s">
        <v>120</v>
      </c>
      <c r="B31" s="72" t="s">
        <v>135</v>
      </c>
      <c r="C31" s="72"/>
      <c r="D31" s="72"/>
      <c r="E31" s="72"/>
      <c r="F31" s="72"/>
      <c r="G31" s="72"/>
      <c r="H31" s="75">
        <f>+H29+1</f>
        <v>13</v>
      </c>
      <c r="N31" s="76"/>
    </row>
    <row r="32" spans="1:14" ht="12.75" customHeight="1" x14ac:dyDescent="0.3">
      <c r="B32" s="72" t="s">
        <v>96</v>
      </c>
      <c r="C32" s="72"/>
      <c r="D32" s="72"/>
      <c r="E32" s="72"/>
      <c r="F32" s="72"/>
      <c r="G32" s="72"/>
      <c r="H32" s="75">
        <f>+H31</f>
        <v>13</v>
      </c>
      <c r="N32" s="76"/>
    </row>
    <row r="33" spans="1:14" ht="12.75" customHeight="1" x14ac:dyDescent="0.3">
      <c r="A33" s="90" t="s">
        <v>121</v>
      </c>
      <c r="B33" s="72" t="s">
        <v>136</v>
      </c>
      <c r="C33" s="72"/>
      <c r="D33" s="72"/>
      <c r="E33" s="72"/>
      <c r="F33" s="72"/>
      <c r="G33" s="72"/>
      <c r="H33" s="75">
        <f>+H31+1</f>
        <v>14</v>
      </c>
      <c r="N33" s="76"/>
    </row>
    <row r="34" spans="1:14" ht="12.75" customHeight="1" x14ac:dyDescent="0.3">
      <c r="B34" s="72" t="s">
        <v>97</v>
      </c>
      <c r="C34" s="72"/>
      <c r="D34" s="72"/>
      <c r="E34" s="72"/>
      <c r="F34" s="72"/>
      <c r="G34" s="72"/>
      <c r="H34" s="75">
        <f>+H33</f>
        <v>14</v>
      </c>
      <c r="N34" s="76"/>
    </row>
    <row r="35" spans="1:14" ht="12.75" customHeight="1" x14ac:dyDescent="0.3">
      <c r="A35" s="90" t="s">
        <v>122</v>
      </c>
      <c r="B35" s="72" t="s">
        <v>137</v>
      </c>
      <c r="C35" s="72"/>
      <c r="D35" s="72"/>
      <c r="E35" s="72"/>
      <c r="F35" s="72"/>
      <c r="G35" s="72"/>
      <c r="H35" s="75">
        <f>+H34+1</f>
        <v>15</v>
      </c>
      <c r="N35" s="76"/>
    </row>
    <row r="36" spans="1:14" ht="12.75" customHeight="1" x14ac:dyDescent="0.3">
      <c r="B36" s="72" t="s">
        <v>100</v>
      </c>
      <c r="C36" s="72"/>
      <c r="D36" s="72"/>
      <c r="E36" s="72"/>
      <c r="F36" s="72"/>
      <c r="G36" s="72"/>
      <c r="H36" s="75">
        <f>+H35</f>
        <v>15</v>
      </c>
      <c r="N36" s="76"/>
    </row>
    <row r="37" spans="1:14" ht="12.75" customHeight="1" x14ac:dyDescent="0.3">
      <c r="A37" s="90" t="s">
        <v>123</v>
      </c>
      <c r="B37" s="72" t="s">
        <v>138</v>
      </c>
      <c r="C37" s="72"/>
      <c r="D37" s="72"/>
      <c r="E37" s="72"/>
      <c r="F37" s="72"/>
      <c r="G37" s="72"/>
      <c r="H37" s="75">
        <f>+H36+1</f>
        <v>16</v>
      </c>
      <c r="N37" s="76"/>
    </row>
    <row r="38" spans="1:14" ht="12.75" customHeight="1" x14ac:dyDescent="0.3">
      <c r="B38" s="72" t="s">
        <v>101</v>
      </c>
      <c r="C38" s="72"/>
      <c r="D38" s="72"/>
      <c r="E38" s="72"/>
      <c r="F38" s="72"/>
      <c r="G38" s="72"/>
      <c r="H38" s="75">
        <f>+H37</f>
        <v>16</v>
      </c>
      <c r="N38" s="76"/>
    </row>
    <row r="39" spans="1:14" ht="12.75" customHeight="1" x14ac:dyDescent="0.3">
      <c r="B39" s="72"/>
      <c r="C39" s="72"/>
      <c r="D39" s="72"/>
      <c r="E39" s="72"/>
      <c r="F39" s="72"/>
      <c r="G39" s="72"/>
      <c r="H39" s="75"/>
      <c r="N39" s="76"/>
    </row>
    <row r="40" spans="1:14" ht="12.75" customHeight="1" x14ac:dyDescent="0.3">
      <c r="A40" s="90" t="s">
        <v>124</v>
      </c>
      <c r="B40" s="72" t="s">
        <v>167</v>
      </c>
      <c r="C40" s="72"/>
      <c r="D40" s="72"/>
      <c r="E40" s="72"/>
      <c r="F40" s="72"/>
      <c r="G40" s="72"/>
      <c r="H40" s="75">
        <f>+H38+1</f>
        <v>17</v>
      </c>
      <c r="N40" s="76"/>
    </row>
    <row r="41" spans="1:14" ht="12.75" customHeight="1" x14ac:dyDescent="0.3">
      <c r="B41" s="72" t="s">
        <v>168</v>
      </c>
      <c r="C41" s="72"/>
      <c r="D41" s="72"/>
      <c r="E41" s="72"/>
      <c r="F41" s="72"/>
      <c r="G41" s="72"/>
      <c r="H41" s="75">
        <f>+H40</f>
        <v>17</v>
      </c>
      <c r="N41" s="76"/>
    </row>
    <row r="42" spans="1:14" ht="12.75" customHeight="1" x14ac:dyDescent="0.3">
      <c r="B42" s="72"/>
      <c r="C42" s="72"/>
      <c r="D42" s="72"/>
      <c r="E42" s="72"/>
      <c r="F42" s="72"/>
      <c r="G42" s="72"/>
      <c r="H42" s="75"/>
      <c r="N42" s="76"/>
    </row>
    <row r="43" spans="1:14" ht="12.75" customHeight="1" x14ac:dyDescent="0.3">
      <c r="A43" s="90" t="s">
        <v>173</v>
      </c>
      <c r="B43" s="72" t="s">
        <v>139</v>
      </c>
      <c r="H43" s="75">
        <f>+H40+1</f>
        <v>18</v>
      </c>
      <c r="N43" s="76"/>
    </row>
    <row r="44" spans="1:14" ht="12.75" customHeight="1" x14ac:dyDescent="0.3">
      <c r="B44" s="72" t="s">
        <v>104</v>
      </c>
      <c r="H44" s="75">
        <f>+H43</f>
        <v>18</v>
      </c>
      <c r="N44" s="76"/>
    </row>
    <row r="45" spans="1:14" ht="12.75" customHeight="1" x14ac:dyDescent="0.3">
      <c r="A45" s="90" t="s">
        <v>125</v>
      </c>
      <c r="B45" s="72" t="s">
        <v>140</v>
      </c>
      <c r="H45" s="75">
        <f>+H43+1</f>
        <v>19</v>
      </c>
      <c r="N45" s="76"/>
    </row>
    <row r="46" spans="1:14" ht="12.75" customHeight="1" x14ac:dyDescent="0.3">
      <c r="B46" s="72" t="s">
        <v>102</v>
      </c>
      <c r="H46" s="75">
        <f>+H45</f>
        <v>19</v>
      </c>
      <c r="N46" s="76"/>
    </row>
    <row r="47" spans="1:14" ht="12.75" customHeight="1" x14ac:dyDescent="0.3">
      <c r="A47" s="90" t="s">
        <v>126</v>
      </c>
      <c r="B47" s="72" t="s">
        <v>141</v>
      </c>
      <c r="H47" s="75">
        <f>+H46+1</f>
        <v>20</v>
      </c>
      <c r="N47" s="76"/>
    </row>
    <row r="48" spans="1:14" ht="12.75" customHeight="1" x14ac:dyDescent="0.3">
      <c r="B48" s="72" t="s">
        <v>103</v>
      </c>
      <c r="H48" s="75">
        <f>H47</f>
        <v>20</v>
      </c>
      <c r="N48" s="76"/>
    </row>
    <row r="49" spans="1:14" ht="12.75" customHeight="1" x14ac:dyDescent="0.3">
      <c r="A49" s="90"/>
      <c r="B49" s="72"/>
      <c r="C49" s="72"/>
      <c r="D49" s="72"/>
      <c r="E49" s="72"/>
      <c r="F49" s="72"/>
      <c r="G49" s="72"/>
      <c r="H49" s="75"/>
      <c r="N49" s="76"/>
    </row>
    <row r="50" spans="1:14" ht="12.75" customHeight="1" x14ac:dyDescent="0.3">
      <c r="A50" s="90"/>
      <c r="B50" s="72"/>
      <c r="C50" s="72"/>
      <c r="D50" s="72"/>
      <c r="E50" s="72"/>
      <c r="F50" s="72"/>
      <c r="G50" s="72"/>
      <c r="H50" s="75"/>
      <c r="N50" s="76"/>
    </row>
    <row r="51" spans="1:14" ht="12.75" customHeight="1" x14ac:dyDescent="0.3">
      <c r="A51" s="90"/>
      <c r="B51" s="72"/>
      <c r="C51" s="72"/>
      <c r="D51" s="72"/>
      <c r="E51" s="72"/>
      <c r="F51" s="72"/>
      <c r="G51" s="72"/>
      <c r="H51" s="75"/>
      <c r="N51" s="76"/>
    </row>
    <row r="52" spans="1:14" ht="12.75" customHeight="1" x14ac:dyDescent="0.3">
      <c r="A52" s="90"/>
      <c r="B52" s="72"/>
      <c r="C52" s="72"/>
      <c r="D52" s="72"/>
      <c r="E52" s="72"/>
      <c r="F52" s="72"/>
      <c r="G52" s="72"/>
      <c r="H52" s="75"/>
      <c r="N52" s="76"/>
    </row>
    <row r="53" spans="1:14" ht="12.75" customHeight="1" x14ac:dyDescent="0.3">
      <c r="A53" s="90"/>
      <c r="B53" s="72"/>
      <c r="C53" s="72"/>
      <c r="D53" s="72"/>
      <c r="E53" s="72"/>
      <c r="F53" s="72"/>
      <c r="G53" s="72"/>
      <c r="H53" s="75"/>
      <c r="N53" s="76"/>
    </row>
    <row r="54" spans="1:14" ht="12.75" customHeight="1" x14ac:dyDescent="0.3">
      <c r="A54" s="90"/>
      <c r="B54" s="72"/>
      <c r="C54" s="72"/>
      <c r="D54" s="72"/>
      <c r="E54" s="72"/>
      <c r="F54" s="72"/>
      <c r="G54" s="72"/>
      <c r="H54" s="75"/>
      <c r="N54" s="76"/>
    </row>
    <row r="55" spans="1:14" ht="12.75" customHeight="1" x14ac:dyDescent="0.3">
      <c r="A55" s="90"/>
      <c r="B55" s="72"/>
      <c r="C55" s="72"/>
      <c r="D55" s="72"/>
      <c r="E55" s="72"/>
      <c r="F55" s="72"/>
      <c r="G55" s="72"/>
      <c r="H55" s="75"/>
      <c r="N55" s="76"/>
    </row>
    <row r="56" spans="1:14" ht="12.75" customHeight="1" x14ac:dyDescent="0.3">
      <c r="A56" s="90"/>
      <c r="B56" s="72"/>
      <c r="C56" s="72"/>
      <c r="D56" s="72"/>
      <c r="E56" s="72"/>
      <c r="F56" s="72"/>
      <c r="G56" s="72"/>
      <c r="H56" s="75"/>
      <c r="N56" s="76"/>
    </row>
    <row r="57" spans="1:14" ht="12.75" customHeight="1" x14ac:dyDescent="0.3">
      <c r="A57" s="90"/>
      <c r="B57" s="72"/>
      <c r="C57" s="72"/>
      <c r="D57" s="72"/>
      <c r="E57" s="72"/>
      <c r="F57" s="72"/>
      <c r="G57" s="72"/>
      <c r="H57" s="75"/>
      <c r="N57" s="76"/>
    </row>
    <row r="58" spans="1:14" ht="12.75" customHeight="1" x14ac:dyDescent="0.3">
      <c r="B58" s="72"/>
      <c r="C58" s="72"/>
      <c r="D58" s="72"/>
      <c r="E58" s="72"/>
      <c r="F58" s="72"/>
      <c r="G58" s="72"/>
      <c r="H58" s="75"/>
      <c r="N58" s="76"/>
    </row>
    <row r="59" spans="1:14" ht="12.75" customHeight="1" x14ac:dyDescent="0.25">
      <c r="B59" s="48"/>
      <c r="C59" s="49"/>
      <c r="D59" s="49"/>
      <c r="E59" s="97"/>
      <c r="F59" s="49"/>
      <c r="G59" s="50"/>
      <c r="H59" s="51"/>
      <c r="N59" s="76"/>
    </row>
    <row r="60" spans="1:14" ht="12.75" customHeight="1" x14ac:dyDescent="0.25">
      <c r="B60" s="52"/>
      <c r="C60" s="52"/>
      <c r="D60" s="52"/>
      <c r="E60" s="52"/>
      <c r="F60" s="52"/>
      <c r="G60" s="52"/>
      <c r="H60" s="52"/>
      <c r="I60" s="76"/>
    </row>
    <row r="61" spans="1:14" ht="12.75" customHeight="1" x14ac:dyDescent="0.25">
      <c r="B61" s="54" t="str">
        <f>+B123</f>
        <v>Finans Norge / Skadestatistikk</v>
      </c>
      <c r="H61" s="209">
        <v>1</v>
      </c>
      <c r="I61" s="76"/>
    </row>
    <row r="62" spans="1:14" ht="12.75" customHeight="1" x14ac:dyDescent="0.25">
      <c r="B62" s="54" t="str">
        <f>+B124</f>
        <v>Skadestatistikk for landbasert forsikring 1. kvartal 2017</v>
      </c>
      <c r="H62" s="210"/>
      <c r="I62" s="76"/>
    </row>
    <row r="63" spans="1:14" ht="12.75" customHeight="1" x14ac:dyDescent="0.25">
      <c r="I63" s="76"/>
    </row>
    <row r="64" spans="1:14" ht="12.75" customHeight="1" x14ac:dyDescent="0.25">
      <c r="I64" s="76"/>
    </row>
    <row r="66" spans="1:13" ht="12.75" customHeight="1" x14ac:dyDescent="0.3">
      <c r="A66" s="90" t="s">
        <v>127</v>
      </c>
      <c r="B66" s="72" t="s">
        <v>222</v>
      </c>
      <c r="H66" s="75">
        <f>H48+1</f>
        <v>21</v>
      </c>
    </row>
    <row r="67" spans="1:13" ht="12.75" customHeight="1" x14ac:dyDescent="0.3">
      <c r="B67" s="72" t="s">
        <v>223</v>
      </c>
      <c r="H67" s="75">
        <f>H66</f>
        <v>21</v>
      </c>
    </row>
    <row r="68" spans="1:13" ht="12.75" customHeight="1" x14ac:dyDescent="0.3">
      <c r="A68" s="90" t="s">
        <v>128</v>
      </c>
      <c r="B68" s="72" t="s">
        <v>224</v>
      </c>
      <c r="H68" s="75">
        <f>H67+1</f>
        <v>22</v>
      </c>
    </row>
    <row r="69" spans="1:13" ht="12.75" customHeight="1" x14ac:dyDescent="0.3">
      <c r="B69" s="72" t="s">
        <v>225</v>
      </c>
      <c r="H69" s="75">
        <f>H68</f>
        <v>22</v>
      </c>
    </row>
    <row r="70" spans="1:13" ht="12.75" customHeight="1" x14ac:dyDescent="0.3">
      <c r="A70" s="90" t="s">
        <v>129</v>
      </c>
      <c r="B70" s="72" t="s">
        <v>226</v>
      </c>
      <c r="H70" s="75">
        <f>H69+1</f>
        <v>23</v>
      </c>
      <c r="J70"/>
      <c r="K70"/>
      <c r="L70"/>
      <c r="M70"/>
    </row>
    <row r="71" spans="1:13" ht="12.75" customHeight="1" x14ac:dyDescent="0.3">
      <c r="B71" s="72" t="s">
        <v>227</v>
      </c>
      <c r="H71" s="75">
        <f>H70</f>
        <v>23</v>
      </c>
      <c r="J71"/>
      <c r="K71" s="70"/>
      <c r="L71" s="71"/>
      <c r="M71" s="71"/>
    </row>
    <row r="72" spans="1:13" ht="12.75" customHeight="1" x14ac:dyDescent="0.25">
      <c r="J72"/>
      <c r="K72" s="69"/>
      <c r="L72"/>
      <c r="M72"/>
    </row>
    <row r="73" spans="1:13" ht="12.75" customHeight="1" x14ac:dyDescent="0.3">
      <c r="A73" s="90" t="s">
        <v>130</v>
      </c>
      <c r="B73" s="72" t="s">
        <v>142</v>
      </c>
      <c r="C73" s="72"/>
      <c r="D73" s="72"/>
      <c r="E73" s="72"/>
      <c r="F73" s="72"/>
      <c r="G73" s="72"/>
      <c r="H73" s="75">
        <f>+H71+1</f>
        <v>24</v>
      </c>
      <c r="J73"/>
      <c r="K73" s="68"/>
      <c r="L73" s="68"/>
      <c r="M73" s="68"/>
    </row>
    <row r="74" spans="1:13" ht="12.75" customHeight="1" x14ac:dyDescent="0.3">
      <c r="B74" s="72" t="s">
        <v>107</v>
      </c>
      <c r="C74" s="72"/>
      <c r="D74" s="72"/>
      <c r="E74" s="72"/>
      <c r="F74" s="72"/>
      <c r="G74" s="72"/>
      <c r="H74" s="75">
        <f>+H73</f>
        <v>24</v>
      </c>
      <c r="J74"/>
      <c r="K74" s="68"/>
      <c r="L74" s="68"/>
      <c r="M74" s="68"/>
    </row>
    <row r="75" spans="1:13" ht="12.75" customHeight="1" x14ac:dyDescent="0.3">
      <c r="A75" s="90" t="s">
        <v>228</v>
      </c>
      <c r="B75" s="72" t="s">
        <v>143</v>
      </c>
      <c r="C75" s="72"/>
      <c r="D75" s="72"/>
      <c r="E75" s="72"/>
      <c r="F75" s="72"/>
      <c r="G75" s="72"/>
      <c r="H75" s="75">
        <f>+H74+1</f>
        <v>25</v>
      </c>
      <c r="J75"/>
      <c r="K75" s="68"/>
      <c r="L75" s="68"/>
      <c r="M75" s="68"/>
    </row>
    <row r="76" spans="1:13" ht="12.75" customHeight="1" x14ac:dyDescent="0.3">
      <c r="B76" s="72" t="s">
        <v>105</v>
      </c>
      <c r="C76" s="72"/>
      <c r="D76" s="72"/>
      <c r="E76" s="72"/>
      <c r="F76" s="72"/>
      <c r="G76" s="72"/>
      <c r="H76" s="75">
        <f>+H75</f>
        <v>25</v>
      </c>
      <c r="J76"/>
      <c r="K76" s="68"/>
      <c r="L76" s="68"/>
      <c r="M76" s="68"/>
    </row>
    <row r="77" spans="1:13" ht="12.75" customHeight="1" x14ac:dyDescent="0.3">
      <c r="A77" s="90" t="s">
        <v>229</v>
      </c>
      <c r="B77" s="72" t="s">
        <v>144</v>
      </c>
      <c r="C77" s="72"/>
      <c r="D77" s="72"/>
      <c r="E77" s="72"/>
      <c r="F77" s="72"/>
      <c r="G77" s="72"/>
      <c r="H77" s="75">
        <f>+H76+1</f>
        <v>26</v>
      </c>
      <c r="J77"/>
      <c r="K77"/>
      <c r="L77"/>
      <c r="M77"/>
    </row>
    <row r="78" spans="1:13" ht="12.75" customHeight="1" x14ac:dyDescent="0.3">
      <c r="B78" s="72" t="s">
        <v>106</v>
      </c>
      <c r="C78" s="72"/>
      <c r="D78" s="72"/>
      <c r="E78" s="72"/>
      <c r="F78" s="72"/>
      <c r="G78" s="72"/>
      <c r="H78" s="75">
        <f>+H77</f>
        <v>26</v>
      </c>
      <c r="J78"/>
      <c r="K78"/>
      <c r="L78"/>
      <c r="M78"/>
    </row>
    <row r="79" spans="1:13" ht="12.75" customHeight="1" x14ac:dyDescent="0.25">
      <c r="B79"/>
      <c r="C79"/>
      <c r="D79"/>
      <c r="E79"/>
      <c r="F79"/>
      <c r="G79"/>
      <c r="I79"/>
      <c r="J79"/>
      <c r="K79"/>
      <c r="L79"/>
      <c r="M79"/>
    </row>
    <row r="80" spans="1:13" ht="12.75" customHeight="1" x14ac:dyDescent="0.3">
      <c r="A80" s="90" t="s">
        <v>230</v>
      </c>
      <c r="B80" s="72" t="s">
        <v>92</v>
      </c>
      <c r="C80" s="72"/>
      <c r="D80" s="72"/>
      <c r="E80" s="72"/>
      <c r="F80" s="72"/>
      <c r="G80" s="72"/>
      <c r="H80" s="75">
        <f>+H78+1</f>
        <v>27</v>
      </c>
      <c r="I80"/>
      <c r="J80"/>
      <c r="K80"/>
      <c r="L80"/>
      <c r="M80"/>
    </row>
    <row r="81" spans="2:13" ht="12.75" customHeight="1" x14ac:dyDescent="0.25">
      <c r="C81"/>
      <c r="D81"/>
      <c r="E81"/>
      <c r="F81"/>
      <c r="G81"/>
      <c r="I81" s="67"/>
      <c r="J81"/>
      <c r="K81"/>
      <c r="L81"/>
      <c r="M81"/>
    </row>
    <row r="82" spans="2:13" ht="12.75" customHeight="1" x14ac:dyDescent="0.25">
      <c r="C82"/>
      <c r="D82"/>
      <c r="E82"/>
      <c r="F82"/>
      <c r="G82"/>
      <c r="I82" s="67"/>
      <c r="J82"/>
      <c r="K82"/>
      <c r="L82"/>
      <c r="M82"/>
    </row>
    <row r="83" spans="2:13" ht="12.75" customHeight="1" x14ac:dyDescent="0.25">
      <c r="C83"/>
      <c r="D83"/>
      <c r="E83"/>
      <c r="F83"/>
      <c r="G83"/>
      <c r="I83" s="67"/>
      <c r="J83"/>
      <c r="K83"/>
      <c r="L83"/>
      <c r="M83"/>
    </row>
    <row r="84" spans="2:13" ht="12.75" customHeight="1" x14ac:dyDescent="0.25">
      <c r="C84"/>
      <c r="D84"/>
      <c r="E84"/>
      <c r="F84"/>
      <c r="G84"/>
      <c r="I84" s="67"/>
      <c r="J84"/>
      <c r="K84"/>
      <c r="L84"/>
      <c r="M84"/>
    </row>
    <row r="85" spans="2:13" ht="12.75" customHeight="1" x14ac:dyDescent="0.25">
      <c r="C85"/>
      <c r="D85"/>
      <c r="E85"/>
      <c r="F85"/>
      <c r="G85"/>
      <c r="I85" s="67"/>
      <c r="J85"/>
      <c r="K85"/>
      <c r="L85"/>
      <c r="M85"/>
    </row>
    <row r="86" spans="2:13" ht="12.75" customHeight="1" x14ac:dyDescent="0.25">
      <c r="C86"/>
      <c r="D86"/>
      <c r="E86"/>
      <c r="F86"/>
      <c r="G86"/>
      <c r="I86" s="67"/>
      <c r="J86"/>
      <c r="K86"/>
      <c r="L86"/>
      <c r="M86"/>
    </row>
    <row r="87" spans="2:13" ht="12.75" customHeight="1" x14ac:dyDescent="0.25">
      <c r="C87"/>
      <c r="D87"/>
      <c r="E87"/>
      <c r="F87"/>
      <c r="G87"/>
      <c r="I87" s="67"/>
      <c r="J87"/>
      <c r="K87"/>
      <c r="L87"/>
      <c r="M87"/>
    </row>
    <row r="88" spans="2:13" ht="12.75" customHeight="1" x14ac:dyDescent="0.25">
      <c r="C88"/>
      <c r="D88"/>
      <c r="E88"/>
      <c r="F88"/>
      <c r="G88"/>
      <c r="I88" s="67"/>
      <c r="J88"/>
      <c r="K88"/>
      <c r="L88"/>
      <c r="M88"/>
    </row>
    <row r="89" spans="2:13" ht="12.75" customHeight="1" x14ac:dyDescent="0.25">
      <c r="C89"/>
      <c r="D89"/>
      <c r="E89"/>
      <c r="F89"/>
      <c r="G89"/>
      <c r="I89"/>
      <c r="J89"/>
      <c r="K89"/>
      <c r="L89"/>
      <c r="M89"/>
    </row>
    <row r="90" spans="2:13" ht="12.75" customHeight="1" x14ac:dyDescent="0.25">
      <c r="C90"/>
      <c r="D90"/>
      <c r="E90"/>
      <c r="F90"/>
      <c r="G90"/>
      <c r="I90"/>
      <c r="J90"/>
      <c r="K90"/>
      <c r="L90"/>
      <c r="M90"/>
    </row>
    <row r="91" spans="2:13" ht="12.75" customHeight="1" x14ac:dyDescent="0.3">
      <c r="B91" s="87"/>
      <c r="C91"/>
      <c r="D91"/>
      <c r="E91"/>
      <c r="F91"/>
      <c r="G91"/>
      <c r="I91"/>
      <c r="J91"/>
      <c r="K91"/>
      <c r="L91"/>
      <c r="M91"/>
    </row>
    <row r="92" spans="2:13" ht="12.75" customHeight="1" x14ac:dyDescent="0.25">
      <c r="C92"/>
      <c r="D92"/>
      <c r="E92"/>
      <c r="F92"/>
      <c r="G92"/>
      <c r="I92"/>
      <c r="J92"/>
      <c r="K92"/>
      <c r="L92"/>
      <c r="M92"/>
    </row>
    <row r="93" spans="2:13" ht="12.75" customHeight="1" x14ac:dyDescent="0.25">
      <c r="C93"/>
      <c r="D93"/>
      <c r="E93"/>
      <c r="F93"/>
      <c r="G93"/>
      <c r="I93"/>
      <c r="J93"/>
      <c r="K93"/>
      <c r="L93"/>
      <c r="M93"/>
    </row>
    <row r="94" spans="2:13" ht="12.75" customHeight="1" x14ac:dyDescent="0.25">
      <c r="B94"/>
      <c r="C94"/>
      <c r="D94"/>
      <c r="E94"/>
      <c r="F94"/>
      <c r="G94"/>
      <c r="I94"/>
      <c r="J94"/>
      <c r="K94"/>
      <c r="L94"/>
      <c r="M94"/>
    </row>
    <row r="95" spans="2:13" ht="12.75" customHeight="1" x14ac:dyDescent="0.25">
      <c r="B95"/>
      <c r="C95"/>
      <c r="D95"/>
      <c r="E95"/>
      <c r="F95"/>
      <c r="G95"/>
      <c r="I95"/>
      <c r="J95"/>
      <c r="K95"/>
      <c r="L95"/>
      <c r="M95"/>
    </row>
    <row r="96" spans="2:13" ht="12.75" customHeight="1" x14ac:dyDescent="0.25">
      <c r="C96"/>
      <c r="D96"/>
      <c r="E96"/>
      <c r="F96"/>
      <c r="G96"/>
      <c r="I96"/>
      <c r="J96"/>
      <c r="K96"/>
      <c r="L96"/>
      <c r="M96"/>
    </row>
    <row r="97" spans="2:13" ht="12.75" customHeight="1" x14ac:dyDescent="0.25">
      <c r="C97"/>
      <c r="D97"/>
      <c r="E97"/>
      <c r="F97"/>
      <c r="G97"/>
      <c r="I97"/>
      <c r="J97"/>
      <c r="K97"/>
      <c r="L97"/>
      <c r="M97"/>
    </row>
    <row r="98" spans="2:13" ht="12.75" customHeight="1" x14ac:dyDescent="0.25">
      <c r="B98"/>
      <c r="C98"/>
      <c r="D98"/>
      <c r="E98"/>
      <c r="F98"/>
      <c r="G98"/>
      <c r="I98"/>
      <c r="J98"/>
      <c r="K98"/>
      <c r="L98"/>
      <c r="M98"/>
    </row>
    <row r="99" spans="2:13" ht="12.75" customHeight="1" x14ac:dyDescent="0.25">
      <c r="C99"/>
      <c r="D99"/>
      <c r="E99"/>
      <c r="F99"/>
      <c r="G99"/>
      <c r="I99"/>
      <c r="J99"/>
      <c r="K99"/>
      <c r="L99"/>
      <c r="M99"/>
    </row>
    <row r="100" spans="2:13" ht="12.75" customHeight="1" x14ac:dyDescent="0.25">
      <c r="C100"/>
      <c r="D100"/>
      <c r="E100"/>
      <c r="F100"/>
      <c r="G100"/>
      <c r="I100"/>
      <c r="J100"/>
      <c r="K100"/>
      <c r="L100"/>
      <c r="M100"/>
    </row>
    <row r="101" spans="2:13" ht="12.75" customHeight="1" x14ac:dyDescent="0.25">
      <c r="B101"/>
      <c r="C101"/>
      <c r="D101"/>
      <c r="E101"/>
      <c r="F101"/>
      <c r="G101"/>
      <c r="I101"/>
      <c r="J101"/>
      <c r="K101"/>
      <c r="L101"/>
      <c r="M101"/>
    </row>
    <row r="102" spans="2:13" ht="12.75" customHeight="1" x14ac:dyDescent="0.25">
      <c r="B102"/>
      <c r="C102"/>
      <c r="D102"/>
      <c r="E102"/>
      <c r="F102"/>
      <c r="G102"/>
      <c r="I102"/>
      <c r="J102"/>
      <c r="K102"/>
      <c r="L102"/>
      <c r="M102"/>
    </row>
    <row r="103" spans="2:13" ht="12.75" customHeight="1" x14ac:dyDescent="0.25">
      <c r="B103"/>
      <c r="C103"/>
      <c r="D103"/>
      <c r="E103"/>
      <c r="F103"/>
      <c r="G103"/>
      <c r="I103"/>
      <c r="J103"/>
      <c r="K103"/>
      <c r="L103"/>
      <c r="M103"/>
    </row>
    <row r="104" spans="2:13" ht="12.75" customHeight="1" x14ac:dyDescent="0.25">
      <c r="B104"/>
      <c r="C104"/>
      <c r="D104"/>
      <c r="E104"/>
      <c r="F104"/>
      <c r="G104"/>
      <c r="I104"/>
      <c r="J104"/>
      <c r="K104"/>
      <c r="L104"/>
      <c r="M104"/>
    </row>
    <row r="105" spans="2:13" ht="12.75" customHeight="1" x14ac:dyDescent="0.25">
      <c r="B105"/>
      <c r="C105"/>
      <c r="D105"/>
      <c r="E105"/>
      <c r="F105"/>
      <c r="G105"/>
      <c r="I105"/>
      <c r="J105"/>
      <c r="K105"/>
      <c r="L105"/>
      <c r="M105"/>
    </row>
    <row r="106" spans="2:13" ht="12.75" customHeight="1" x14ac:dyDescent="0.25">
      <c r="B106"/>
      <c r="C106"/>
      <c r="D106"/>
      <c r="E106"/>
      <c r="F106"/>
      <c r="G106"/>
      <c r="I106"/>
      <c r="J106"/>
      <c r="K106"/>
      <c r="L106"/>
      <c r="M106"/>
    </row>
    <row r="107" spans="2:13" ht="12.75" customHeight="1" x14ac:dyDescent="0.25">
      <c r="B107"/>
      <c r="C107"/>
      <c r="D107"/>
      <c r="E107"/>
      <c r="F107"/>
      <c r="G107"/>
      <c r="I107"/>
      <c r="J107"/>
      <c r="K107"/>
      <c r="L107"/>
      <c r="M107"/>
    </row>
    <row r="108" spans="2:13" ht="12.75" customHeight="1" x14ac:dyDescent="0.25">
      <c r="B108"/>
      <c r="C108"/>
      <c r="D108"/>
      <c r="E108"/>
      <c r="F108"/>
      <c r="G108"/>
      <c r="I108"/>
      <c r="J108"/>
      <c r="K108"/>
      <c r="L108"/>
      <c r="M108"/>
    </row>
    <row r="109" spans="2:13" ht="12.75" customHeight="1" x14ac:dyDescent="0.25">
      <c r="B109"/>
      <c r="C109"/>
      <c r="D109"/>
      <c r="E109"/>
      <c r="F109"/>
      <c r="G109"/>
      <c r="I109"/>
      <c r="J109"/>
      <c r="K109"/>
      <c r="L109"/>
      <c r="M109"/>
    </row>
    <row r="110" spans="2:13" ht="12.75" customHeight="1" x14ac:dyDescent="0.25">
      <c r="B110"/>
      <c r="C110"/>
      <c r="D110"/>
      <c r="E110"/>
      <c r="F110"/>
      <c r="G110"/>
      <c r="I110"/>
      <c r="J110"/>
      <c r="K110"/>
      <c r="L110"/>
      <c r="M110"/>
    </row>
    <row r="111" spans="2:13" ht="12.75" customHeight="1" x14ac:dyDescent="0.25">
      <c r="B111"/>
      <c r="C111"/>
      <c r="D111"/>
      <c r="E111"/>
      <c r="F111"/>
      <c r="G111"/>
      <c r="I111"/>
      <c r="J111"/>
      <c r="K111"/>
      <c r="L111"/>
      <c r="M111"/>
    </row>
    <row r="112" spans="2:13" ht="12.75" customHeight="1" x14ac:dyDescent="0.25">
      <c r="B112"/>
      <c r="C112"/>
      <c r="D112"/>
      <c r="E112"/>
      <c r="F112"/>
      <c r="G112"/>
      <c r="I112"/>
      <c r="J112"/>
      <c r="K112"/>
      <c r="L112"/>
      <c r="M112"/>
    </row>
    <row r="113" spans="2:13" ht="12.75" customHeight="1" x14ac:dyDescent="0.25">
      <c r="B113"/>
      <c r="C113"/>
      <c r="D113"/>
      <c r="E113"/>
      <c r="F113"/>
      <c r="G113"/>
      <c r="I113"/>
      <c r="J113"/>
      <c r="K113"/>
      <c r="L113"/>
      <c r="M113"/>
    </row>
    <row r="114" spans="2:13" ht="12.75" customHeight="1" x14ac:dyDescent="0.25">
      <c r="B114"/>
      <c r="C114"/>
      <c r="D114"/>
      <c r="E114"/>
      <c r="F114"/>
      <c r="G114"/>
      <c r="I114"/>
      <c r="J114"/>
      <c r="K114"/>
      <c r="L114"/>
      <c r="M114"/>
    </row>
    <row r="115" spans="2:13" ht="12.75" customHeight="1" x14ac:dyDescent="0.25">
      <c r="B115"/>
      <c r="C115"/>
      <c r="D115"/>
      <c r="E115"/>
      <c r="F115"/>
      <c r="G115"/>
      <c r="L115"/>
    </row>
    <row r="116" spans="2:13" ht="12.75" customHeight="1" x14ac:dyDescent="0.25">
      <c r="B116"/>
      <c r="C116"/>
      <c r="D116"/>
      <c r="E116"/>
      <c r="F116"/>
      <c r="G116"/>
      <c r="L116"/>
    </row>
    <row r="117" spans="2:13" ht="12.75" customHeight="1" x14ac:dyDescent="0.25">
      <c r="B117"/>
      <c r="C117"/>
      <c r="D117"/>
      <c r="E117"/>
      <c r="F117"/>
      <c r="G117"/>
      <c r="I117"/>
      <c r="J117"/>
      <c r="K117"/>
      <c r="L117"/>
    </row>
    <row r="118" spans="2:13" ht="12.75" customHeight="1" x14ac:dyDescent="0.25">
      <c r="B118"/>
      <c r="C118"/>
      <c r="D118"/>
      <c r="E118"/>
      <c r="F118"/>
      <c r="G118"/>
      <c r="I118"/>
      <c r="J118"/>
      <c r="K118"/>
      <c r="L118"/>
    </row>
    <row r="119" spans="2:13" ht="12.75" customHeight="1" x14ac:dyDescent="0.25">
      <c r="B119"/>
      <c r="C119"/>
      <c r="D119"/>
      <c r="E119"/>
      <c r="F119"/>
      <c r="G119"/>
      <c r="I119"/>
      <c r="J119"/>
      <c r="K119"/>
      <c r="L119"/>
    </row>
    <row r="120" spans="2:13" ht="12.75" customHeight="1" x14ac:dyDescent="0.25">
      <c r="B120"/>
      <c r="C120"/>
      <c r="D120"/>
      <c r="E120"/>
      <c r="F120"/>
      <c r="G120"/>
      <c r="I120"/>
      <c r="J120"/>
      <c r="K120"/>
      <c r="L120"/>
    </row>
    <row r="121" spans="2:13" ht="12.75" customHeight="1" x14ac:dyDescent="0.25">
      <c r="B121"/>
      <c r="C121"/>
      <c r="D121"/>
      <c r="E121"/>
      <c r="F121"/>
      <c r="G121"/>
      <c r="I121"/>
      <c r="J121"/>
      <c r="K121"/>
      <c r="L121"/>
    </row>
    <row r="122" spans="2:13" ht="12.75" customHeight="1" x14ac:dyDescent="0.25">
      <c r="B122" s="52"/>
      <c r="C122" s="52"/>
      <c r="D122" s="52"/>
      <c r="E122" s="52"/>
      <c r="F122" s="52"/>
      <c r="G122" s="52"/>
      <c r="H122" s="52"/>
      <c r="I122"/>
      <c r="J122" s="68"/>
      <c r="K122" s="68"/>
      <c r="L122" s="68"/>
    </row>
    <row r="123" spans="2:13" ht="12.75" customHeight="1" x14ac:dyDescent="0.25">
      <c r="B123" s="54" t="str">
        <f>"Finans Norge / Skadestatistikk"</f>
        <v>Finans Norge / Skadestatistikk</v>
      </c>
      <c r="H123" s="209">
        <v>2</v>
      </c>
      <c r="I123"/>
      <c r="J123" s="68"/>
      <c r="K123" s="68"/>
      <c r="L123" s="68"/>
    </row>
    <row r="124" spans="2:13" ht="12.75" customHeight="1" x14ac:dyDescent="0.25">
      <c r="B124" s="54" t="str">
        <f>"Skadestatistikk for landbasert forsikring 1. kvartal 2017"</f>
        <v>Skadestatistikk for landbasert forsikring 1. kvartal 2017</v>
      </c>
      <c r="H124" s="210"/>
      <c r="I124"/>
      <c r="J124"/>
      <c r="K124"/>
      <c r="L124"/>
    </row>
    <row r="125" spans="2:13" ht="12.75" customHeight="1" x14ac:dyDescent="0.25">
      <c r="B125" s="77"/>
      <c r="C125"/>
      <c r="D125"/>
      <c r="E125"/>
      <c r="F125"/>
      <c r="G125"/>
      <c r="I125"/>
      <c r="J125"/>
      <c r="K125"/>
      <c r="L125"/>
    </row>
    <row r="126" spans="2:13" ht="12.75" customHeight="1" x14ac:dyDescent="0.25">
      <c r="B126"/>
      <c r="C126"/>
      <c r="D126"/>
      <c r="E126"/>
      <c r="F126"/>
      <c r="G126"/>
      <c r="I126"/>
      <c r="J126"/>
      <c r="K126"/>
      <c r="L126"/>
    </row>
    <row r="127" spans="2:13" ht="12.75" customHeight="1" x14ac:dyDescent="0.25">
      <c r="B127"/>
      <c r="C127"/>
      <c r="D127"/>
      <c r="E127"/>
      <c r="F127"/>
      <c r="G127"/>
      <c r="L127"/>
    </row>
    <row r="128" spans="2:13" ht="12.75" customHeight="1" x14ac:dyDescent="0.25">
      <c r="B128"/>
      <c r="C128"/>
      <c r="D128"/>
      <c r="E128"/>
      <c r="F128"/>
      <c r="G128"/>
      <c r="L128"/>
    </row>
    <row r="129" spans="2:12" ht="12.75" customHeight="1" x14ac:dyDescent="0.25">
      <c r="B129"/>
      <c r="C129"/>
      <c r="D129"/>
      <c r="E129"/>
      <c r="F129"/>
      <c r="G129"/>
      <c r="I129" s="67"/>
      <c r="J129"/>
      <c r="K129"/>
      <c r="L129"/>
    </row>
    <row r="130" spans="2:12" ht="12.75" customHeight="1" x14ac:dyDescent="0.25">
      <c r="B130"/>
      <c r="C130"/>
      <c r="D130"/>
      <c r="E130"/>
      <c r="F130"/>
      <c r="G130"/>
      <c r="I130"/>
      <c r="J130"/>
      <c r="K130"/>
      <c r="L130"/>
    </row>
    <row r="131" spans="2:12" ht="12.75" customHeight="1" x14ac:dyDescent="0.25">
      <c r="B131"/>
      <c r="C131"/>
      <c r="D131"/>
      <c r="E131"/>
      <c r="F131"/>
      <c r="G131"/>
      <c r="I131"/>
      <c r="J131"/>
      <c r="K131"/>
      <c r="L131"/>
    </row>
    <row r="132" spans="2:12" ht="12.75" customHeight="1" x14ac:dyDescent="0.25">
      <c r="B132"/>
      <c r="C132"/>
      <c r="D132"/>
      <c r="E132"/>
      <c r="F132"/>
      <c r="G132"/>
      <c r="I132"/>
      <c r="J132"/>
      <c r="K132" s="68"/>
      <c r="L132" s="68"/>
    </row>
    <row r="133" spans="2:12" ht="12.75" customHeight="1" x14ac:dyDescent="0.25">
      <c r="B133"/>
      <c r="C133"/>
      <c r="D133"/>
      <c r="E133"/>
      <c r="F133"/>
      <c r="G133"/>
      <c r="I133"/>
      <c r="J133"/>
      <c r="K133" s="68"/>
      <c r="L133" s="68"/>
    </row>
    <row r="134" spans="2:12" ht="12.75" customHeight="1" x14ac:dyDescent="0.25">
      <c r="B134"/>
      <c r="C134"/>
      <c r="D134"/>
      <c r="E134"/>
      <c r="F134"/>
      <c r="G134"/>
      <c r="I134"/>
      <c r="J134"/>
      <c r="K134" s="68"/>
      <c r="L134" s="68"/>
    </row>
    <row r="135" spans="2:12" ht="12.75" customHeight="1" x14ac:dyDescent="0.25">
      <c r="B135"/>
      <c r="C135"/>
      <c r="D135"/>
      <c r="E135"/>
      <c r="F135"/>
      <c r="G135"/>
      <c r="I135"/>
      <c r="J135"/>
      <c r="K135"/>
      <c r="L135"/>
    </row>
    <row r="136" spans="2:12" ht="12.75" customHeight="1" x14ac:dyDescent="0.25">
      <c r="B136"/>
      <c r="C136"/>
      <c r="D136"/>
      <c r="E136"/>
      <c r="F136"/>
      <c r="G136"/>
      <c r="I136"/>
      <c r="J136"/>
      <c r="K136"/>
      <c r="L136"/>
    </row>
    <row r="137" spans="2:12" ht="12.75" customHeight="1" x14ac:dyDescent="0.25">
      <c r="B137"/>
      <c r="C137"/>
      <c r="D137"/>
      <c r="E137"/>
      <c r="F137"/>
      <c r="G137"/>
      <c r="I137"/>
      <c r="J137"/>
      <c r="K137"/>
      <c r="L137"/>
    </row>
    <row r="138" spans="2:12" ht="12.75" customHeight="1" x14ac:dyDescent="0.25">
      <c r="B138"/>
      <c r="C138"/>
      <c r="D138"/>
      <c r="E138"/>
      <c r="F138"/>
      <c r="G138"/>
    </row>
    <row r="139" spans="2:12" ht="12.75" customHeight="1" x14ac:dyDescent="0.25">
      <c r="B139"/>
      <c r="C139"/>
      <c r="D139"/>
      <c r="E139"/>
      <c r="F139"/>
      <c r="G139"/>
    </row>
    <row r="140" spans="2:12" ht="12.75" customHeight="1" x14ac:dyDescent="0.25">
      <c r="B140"/>
      <c r="C140"/>
      <c r="D140"/>
      <c r="E140"/>
      <c r="F140"/>
      <c r="G140"/>
      <c r="I140" s="67"/>
      <c r="J140"/>
      <c r="K140"/>
      <c r="L140"/>
    </row>
    <row r="141" spans="2:12" ht="12.75" customHeight="1" x14ac:dyDescent="0.25">
      <c r="B141"/>
      <c r="C141"/>
      <c r="D141"/>
      <c r="E141"/>
      <c r="F141"/>
      <c r="G141"/>
      <c r="I141"/>
      <c r="J141"/>
      <c r="K141"/>
      <c r="L141"/>
    </row>
    <row r="142" spans="2:12" ht="12.75" customHeight="1" x14ac:dyDescent="0.25">
      <c r="B142"/>
      <c r="C142"/>
      <c r="D142"/>
      <c r="E142"/>
      <c r="F142"/>
      <c r="G142"/>
      <c r="I142"/>
      <c r="J142"/>
      <c r="K142"/>
      <c r="L142"/>
    </row>
    <row r="143" spans="2:12" ht="12.75" customHeight="1" x14ac:dyDescent="0.25">
      <c r="B143"/>
      <c r="C143"/>
      <c r="D143"/>
      <c r="E143"/>
      <c r="F143"/>
      <c r="G143"/>
      <c r="I143"/>
      <c r="J143"/>
      <c r="K143" s="68"/>
      <c r="L143" s="68"/>
    </row>
    <row r="144" spans="2:12" ht="12.75" customHeight="1" x14ac:dyDescent="0.25">
      <c r="B144"/>
      <c r="C144"/>
      <c r="D144"/>
      <c r="E144"/>
      <c r="F144"/>
      <c r="G144"/>
      <c r="I144"/>
      <c r="J144"/>
      <c r="K144" s="68"/>
      <c r="L144" s="68"/>
    </row>
    <row r="145" spans="2:12" ht="12.75" customHeight="1" x14ac:dyDescent="0.25">
      <c r="B145"/>
      <c r="C145"/>
      <c r="D145"/>
      <c r="E145"/>
      <c r="F145"/>
      <c r="G145"/>
      <c r="I145"/>
      <c r="J145"/>
      <c r="K145" s="68"/>
      <c r="L145" s="68"/>
    </row>
    <row r="146" spans="2:12" ht="12.75" customHeight="1" x14ac:dyDescent="0.25">
      <c r="B146"/>
      <c r="C146"/>
      <c r="D146"/>
      <c r="E146"/>
      <c r="F146"/>
      <c r="G146"/>
      <c r="I146"/>
      <c r="J146"/>
      <c r="K146"/>
      <c r="L146"/>
    </row>
    <row r="147" spans="2:12" ht="12.75" customHeight="1" x14ac:dyDescent="0.25">
      <c r="B147"/>
      <c r="C147"/>
      <c r="D147"/>
      <c r="E147"/>
      <c r="F147"/>
      <c r="G147"/>
      <c r="H147"/>
      <c r="I147"/>
      <c r="J147"/>
      <c r="K147"/>
      <c r="L147"/>
    </row>
    <row r="148" spans="2:12" ht="12.75" customHeight="1" x14ac:dyDescent="0.25">
      <c r="B148"/>
      <c r="C148"/>
      <c r="D148"/>
      <c r="E148"/>
      <c r="F148"/>
      <c r="G148"/>
      <c r="H148"/>
      <c r="I148"/>
      <c r="J148"/>
      <c r="K148"/>
      <c r="L148"/>
    </row>
    <row r="149" spans="2:12" ht="12.75" customHeight="1" x14ac:dyDescent="0.25">
      <c r="B149"/>
      <c r="C149"/>
      <c r="D149"/>
      <c r="E149"/>
      <c r="F149"/>
      <c r="G149"/>
      <c r="H149"/>
      <c r="I149"/>
      <c r="J149" s="68"/>
      <c r="K149" s="68"/>
    </row>
    <row r="150" spans="2:12" ht="12.75" customHeight="1" x14ac:dyDescent="0.25">
      <c r="B150"/>
      <c r="C150" s="68"/>
      <c r="D150" s="68"/>
      <c r="E150"/>
      <c r="F150"/>
      <c r="G150"/>
      <c r="H150"/>
      <c r="I150"/>
      <c r="J150" s="68"/>
      <c r="K150" s="68"/>
    </row>
    <row r="151" spans="2:12" ht="12.75" customHeight="1" x14ac:dyDescent="0.25">
      <c r="B151"/>
      <c r="C151"/>
      <c r="D151"/>
      <c r="E151"/>
      <c r="G151"/>
      <c r="H151"/>
      <c r="I151"/>
      <c r="J151"/>
      <c r="K151"/>
    </row>
    <row r="152" spans="2:12" ht="12.75" customHeight="1" x14ac:dyDescent="0.25">
      <c r="B152"/>
      <c r="C152"/>
      <c r="D152"/>
      <c r="E152"/>
      <c r="G152"/>
      <c r="H152"/>
      <c r="I152"/>
      <c r="J152"/>
      <c r="K152"/>
    </row>
    <row r="153" spans="2:12" ht="12.75" customHeight="1" x14ac:dyDescent="0.25">
      <c r="B153"/>
      <c r="C153"/>
      <c r="D153"/>
      <c r="E153"/>
      <c r="G153"/>
      <c r="H153"/>
      <c r="I153"/>
      <c r="J153"/>
      <c r="K153"/>
    </row>
    <row r="154" spans="2:12" ht="12.75" customHeight="1" x14ac:dyDescent="0.25">
      <c r="B154"/>
      <c r="C154" s="68"/>
      <c r="D154" s="68"/>
      <c r="E154"/>
      <c r="G154"/>
      <c r="H154"/>
      <c r="I154"/>
      <c r="J154"/>
      <c r="K154"/>
    </row>
    <row r="155" spans="2:12" ht="12.75" customHeight="1" x14ac:dyDescent="0.25">
      <c r="B155"/>
      <c r="C155" s="68"/>
      <c r="D155" s="68"/>
      <c r="E155"/>
      <c r="G155"/>
      <c r="H155"/>
      <c r="I155"/>
      <c r="J155"/>
      <c r="K155"/>
    </row>
    <row r="156" spans="2:12" ht="12.75" customHeight="1" x14ac:dyDescent="0.25">
      <c r="B156"/>
      <c r="C156" s="68"/>
      <c r="D156" s="68"/>
      <c r="E156"/>
      <c r="G156"/>
    </row>
    <row r="157" spans="2:12" ht="12.75" customHeight="1" x14ac:dyDescent="0.25">
      <c r="B157"/>
      <c r="C157"/>
      <c r="D157"/>
      <c r="E157"/>
      <c r="G157"/>
    </row>
    <row r="158" spans="2:12" ht="12.75" customHeight="1" x14ac:dyDescent="0.25">
      <c r="B158"/>
      <c r="C158" s="68"/>
      <c r="D158" s="68"/>
      <c r="E158"/>
      <c r="G158"/>
    </row>
    <row r="159" spans="2:12" ht="12.75" customHeight="1" x14ac:dyDescent="0.25">
      <c r="B159"/>
      <c r="C159" s="68"/>
      <c r="D159" s="68"/>
      <c r="E159"/>
      <c r="G159"/>
    </row>
    <row r="160" spans="2:12" ht="12.75" customHeight="1" x14ac:dyDescent="0.25">
      <c r="B160"/>
      <c r="C160" s="68"/>
      <c r="D160" s="68"/>
      <c r="E160"/>
      <c r="G160"/>
    </row>
    <row r="161" spans="2:7" ht="12.75" customHeight="1" x14ac:dyDescent="0.25">
      <c r="B161"/>
      <c r="C161"/>
      <c r="D161"/>
      <c r="E161"/>
      <c r="G161"/>
    </row>
    <row r="162" spans="2:7" ht="12.75" customHeight="1" x14ac:dyDescent="0.25">
      <c r="B162"/>
      <c r="C162" s="68"/>
      <c r="D162" s="68"/>
      <c r="E162"/>
      <c r="G162"/>
    </row>
    <row r="163" spans="2:7" ht="12.75" customHeight="1" x14ac:dyDescent="0.25">
      <c r="B163"/>
      <c r="C163" s="68"/>
      <c r="D163" s="68"/>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80" zoomScaleNormal="80" zoomScaleSheetLayoutView="50" workbookViewId="0"/>
  </sheetViews>
  <sheetFormatPr defaultColWidth="11.44140625" defaultRowHeight="15.6" customHeight="1" x14ac:dyDescent="0.25"/>
  <cols>
    <col min="1" max="1" width="27.109375" style="1" customWidth="1"/>
    <col min="2" max="4" width="10.6640625" style="1" customWidth="1"/>
    <col min="5" max="7" width="7.6640625" style="1" customWidth="1"/>
    <col min="8" max="16384" width="11.44140625" style="1"/>
  </cols>
  <sheetData>
    <row r="1" spans="1:7" ht="6" customHeight="1" x14ac:dyDescent="0.25"/>
    <row r="2" spans="1:7" ht="15.6" customHeight="1" x14ac:dyDescent="0.25">
      <c r="A2" s="91" t="s">
        <v>0</v>
      </c>
      <c r="B2" s="2"/>
      <c r="C2" s="2"/>
      <c r="D2" s="2"/>
      <c r="E2" s="2"/>
      <c r="F2" s="2"/>
    </row>
    <row r="3" spans="1:7" ht="6" customHeight="1" x14ac:dyDescent="0.25"/>
    <row r="4" spans="1:7" ht="15.6" customHeight="1" x14ac:dyDescent="0.25">
      <c r="A4" s="2"/>
      <c r="B4" s="2"/>
      <c r="C4" s="2"/>
      <c r="D4" s="2"/>
      <c r="E4" s="2"/>
      <c r="F4" s="2"/>
    </row>
    <row r="5" spans="1:7" ht="15.6" customHeight="1" x14ac:dyDescent="0.3">
      <c r="A5" s="87"/>
      <c r="B5" s="73"/>
      <c r="C5" s="73"/>
      <c r="D5" s="73"/>
      <c r="E5" s="73"/>
      <c r="F5" s="73"/>
      <c r="G5" s="73"/>
    </row>
    <row r="6" spans="1:7" ht="15.6" customHeight="1" x14ac:dyDescent="0.3">
      <c r="A6" s="87"/>
      <c r="B6" s="73"/>
      <c r="C6" s="73"/>
      <c r="D6" s="73"/>
      <c r="E6" s="73"/>
      <c r="F6" s="73"/>
      <c r="G6" s="73"/>
    </row>
    <row r="7" spans="1:7" ht="15.6" customHeight="1" x14ac:dyDescent="0.3">
      <c r="A7" s="72"/>
      <c r="B7" s="72"/>
      <c r="C7" s="72"/>
      <c r="D7" s="72"/>
      <c r="E7" s="72"/>
      <c r="F7" s="72"/>
      <c r="G7" s="72"/>
    </row>
    <row r="8" spans="1:7" ht="15.6" customHeight="1" x14ac:dyDescent="0.3">
      <c r="A8" s="72"/>
      <c r="B8" s="72"/>
      <c r="C8" s="72"/>
      <c r="D8" s="72"/>
      <c r="E8" s="72"/>
      <c r="F8" s="72"/>
      <c r="G8" s="72"/>
    </row>
    <row r="9" spans="1:7" ht="15.6" customHeight="1" x14ac:dyDescent="0.3">
      <c r="A9" s="72"/>
      <c r="B9" s="72"/>
      <c r="C9" s="72"/>
      <c r="D9" s="72"/>
      <c r="E9" s="72"/>
      <c r="F9" s="72"/>
      <c r="G9" s="72"/>
    </row>
    <row r="10" spans="1:7" ht="15.6" customHeight="1" x14ac:dyDescent="0.3">
      <c r="A10" s="72"/>
      <c r="B10" s="72"/>
      <c r="C10" s="72"/>
      <c r="D10" s="72"/>
      <c r="E10" s="72"/>
      <c r="F10" s="72"/>
      <c r="G10" s="72"/>
    </row>
    <row r="11" spans="1:7" ht="15.6" customHeight="1" x14ac:dyDescent="0.3">
      <c r="A11" s="72"/>
      <c r="B11" s="72"/>
      <c r="C11" s="72"/>
      <c r="D11" s="72"/>
      <c r="E11" s="72"/>
      <c r="F11" s="72"/>
      <c r="G11" s="72"/>
    </row>
    <row r="12" spans="1:7" ht="15.6" customHeight="1" x14ac:dyDescent="0.3">
      <c r="A12" s="72"/>
      <c r="B12" s="72"/>
      <c r="C12" s="72"/>
      <c r="D12" s="72"/>
      <c r="E12" s="72"/>
      <c r="F12" s="72"/>
      <c r="G12" s="72"/>
    </row>
    <row r="13" spans="1:7" ht="15.6" customHeight="1" x14ac:dyDescent="0.3">
      <c r="A13" s="72"/>
      <c r="B13" s="72"/>
      <c r="C13" s="72"/>
      <c r="D13" s="72"/>
      <c r="E13" s="72"/>
      <c r="F13" s="72"/>
      <c r="G13" s="72"/>
    </row>
    <row r="14" spans="1:7" ht="15.6" customHeight="1" x14ac:dyDescent="0.3">
      <c r="A14" s="72"/>
      <c r="B14" s="72"/>
      <c r="C14" s="72"/>
      <c r="D14" s="72"/>
      <c r="E14" s="72"/>
      <c r="F14" s="72"/>
      <c r="G14" s="72"/>
    </row>
    <row r="15" spans="1:7" ht="15.6" customHeight="1" x14ac:dyDescent="0.3">
      <c r="A15" s="72"/>
      <c r="B15" s="72"/>
      <c r="C15" s="72"/>
      <c r="D15" s="72"/>
      <c r="E15" s="72"/>
      <c r="F15" s="72"/>
      <c r="G15" s="72"/>
    </row>
    <row r="16" spans="1:7" ht="15.6" customHeight="1" x14ac:dyDescent="0.3">
      <c r="A16" s="72"/>
      <c r="B16" s="72"/>
      <c r="C16" s="72"/>
      <c r="D16" s="72"/>
      <c r="E16" s="72"/>
      <c r="F16" s="72"/>
      <c r="G16" s="72"/>
    </row>
    <row r="17" spans="1:13" ht="15.6" customHeight="1" x14ac:dyDescent="0.3">
      <c r="A17" s="72"/>
      <c r="B17" s="72"/>
      <c r="C17" s="72"/>
      <c r="D17" s="72"/>
      <c r="E17" s="72"/>
      <c r="F17" s="72"/>
      <c r="G17" s="72"/>
    </row>
    <row r="18" spans="1:13" ht="15.6" customHeight="1" x14ac:dyDescent="0.3">
      <c r="A18" s="72"/>
      <c r="B18" s="72"/>
      <c r="C18" s="72"/>
      <c r="D18" s="72"/>
      <c r="E18" s="72"/>
      <c r="F18" s="72"/>
      <c r="G18" s="72"/>
    </row>
    <row r="19" spans="1:13" ht="15.6" customHeight="1" x14ac:dyDescent="0.3">
      <c r="A19" s="72"/>
      <c r="B19" s="72"/>
      <c r="C19" s="72"/>
      <c r="D19" s="72"/>
      <c r="E19" s="72"/>
      <c r="F19" s="72"/>
      <c r="G19" s="72"/>
    </row>
    <row r="20" spans="1:13" ht="15.6" customHeight="1" x14ac:dyDescent="0.3">
      <c r="A20" s="72"/>
      <c r="B20" s="72"/>
      <c r="C20" s="72"/>
      <c r="D20" s="72"/>
      <c r="E20" s="72"/>
      <c r="F20" s="72"/>
      <c r="G20" s="72"/>
    </row>
    <row r="21" spans="1:13" ht="15.6" customHeight="1" x14ac:dyDescent="0.3">
      <c r="A21" s="72"/>
      <c r="B21" s="72"/>
      <c r="C21" s="72"/>
      <c r="D21" s="72"/>
      <c r="E21" s="72"/>
      <c r="F21" s="72"/>
      <c r="G21" s="72"/>
    </row>
    <row r="22" spans="1:13" ht="15.6" customHeight="1" x14ac:dyDescent="0.3">
      <c r="A22" s="72"/>
      <c r="B22" s="72"/>
      <c r="C22" s="72"/>
      <c r="D22" s="72"/>
      <c r="E22" s="72"/>
      <c r="F22" s="72"/>
      <c r="G22" s="72"/>
    </row>
    <row r="23" spans="1:13" ht="15.6" customHeight="1" x14ac:dyDescent="0.3">
      <c r="A23" s="72"/>
      <c r="B23" s="72"/>
      <c r="C23" s="72"/>
      <c r="D23" s="72"/>
      <c r="E23" s="72"/>
      <c r="F23" s="72"/>
      <c r="G23" s="72"/>
    </row>
    <row r="24" spans="1:13" ht="15.6" customHeight="1" x14ac:dyDescent="0.3">
      <c r="A24" s="72"/>
      <c r="B24" s="72"/>
      <c r="C24" s="72"/>
      <c r="D24" s="72"/>
      <c r="E24" s="72"/>
      <c r="F24" s="72"/>
      <c r="G24" s="72"/>
    </row>
    <row r="25" spans="1:13" ht="15.6" customHeight="1" x14ac:dyDescent="0.3">
      <c r="A25" s="72"/>
      <c r="B25" s="72"/>
      <c r="C25" s="72"/>
      <c r="D25" s="72"/>
      <c r="E25" s="72"/>
      <c r="F25" s="72"/>
      <c r="G25" s="72"/>
    </row>
    <row r="26" spans="1:13" ht="15.6" customHeight="1" x14ac:dyDescent="0.3">
      <c r="A26" s="72"/>
      <c r="B26" s="72"/>
      <c r="C26" s="72"/>
      <c r="D26" s="72"/>
      <c r="E26" s="72"/>
      <c r="F26" s="72"/>
      <c r="G26" s="72"/>
    </row>
    <row r="27" spans="1:13" ht="15.6" customHeight="1" x14ac:dyDescent="0.3">
      <c r="A27" s="72"/>
      <c r="B27" s="72"/>
      <c r="C27" s="72"/>
      <c r="D27" s="72"/>
      <c r="E27" s="72"/>
      <c r="F27" s="72"/>
      <c r="G27" s="72"/>
    </row>
    <row r="28" spans="1:13" ht="15.6" customHeight="1" x14ac:dyDescent="0.3">
      <c r="A28" s="72"/>
      <c r="B28" s="72"/>
      <c r="C28" s="72"/>
      <c r="D28" s="72"/>
      <c r="E28" s="72"/>
      <c r="F28" s="72"/>
      <c r="G28" s="72"/>
      <c r="M28" s="76"/>
    </row>
    <row r="29" spans="1:13" ht="15.6" customHeight="1" x14ac:dyDescent="0.3">
      <c r="A29" s="72"/>
      <c r="B29" s="72"/>
      <c r="C29" s="72"/>
      <c r="D29" s="72"/>
      <c r="E29" s="72"/>
      <c r="F29" s="72"/>
      <c r="G29" s="72"/>
      <c r="M29" s="76"/>
    </row>
    <row r="30" spans="1:13" ht="15.6" customHeight="1" x14ac:dyDescent="0.3">
      <c r="A30" s="72"/>
      <c r="B30" s="72"/>
      <c r="C30" s="72"/>
      <c r="D30" s="72"/>
      <c r="E30" s="72"/>
      <c r="F30" s="72"/>
      <c r="G30" s="72"/>
      <c r="M30" s="76"/>
    </row>
    <row r="31" spans="1:13" ht="15.6" customHeight="1" x14ac:dyDescent="0.3">
      <c r="A31" s="72"/>
      <c r="B31" s="72"/>
      <c r="C31" s="72"/>
      <c r="D31" s="72"/>
      <c r="E31" s="72"/>
      <c r="F31" s="72"/>
      <c r="G31" s="72"/>
      <c r="M31" s="76"/>
    </row>
    <row r="32" spans="1:13" ht="15.6" customHeight="1" x14ac:dyDescent="0.3">
      <c r="A32" s="72"/>
      <c r="B32" s="72"/>
      <c r="C32" s="72"/>
      <c r="D32" s="72"/>
      <c r="E32" s="72"/>
      <c r="F32" s="72"/>
      <c r="G32" s="72"/>
      <c r="M32" s="76"/>
    </row>
    <row r="33" spans="1:13" ht="15.6" customHeight="1" x14ac:dyDescent="0.3">
      <c r="A33" s="72"/>
      <c r="B33" s="72"/>
      <c r="C33" s="72"/>
      <c r="D33" s="72"/>
      <c r="E33" s="72"/>
      <c r="F33" s="72"/>
      <c r="G33" s="72"/>
      <c r="M33" s="76"/>
    </row>
    <row r="34" spans="1:13" ht="15.6" customHeight="1" x14ac:dyDescent="0.3">
      <c r="A34" s="72"/>
      <c r="B34" s="72"/>
      <c r="C34" s="72"/>
      <c r="D34" s="72"/>
      <c r="E34" s="72"/>
      <c r="F34" s="72"/>
      <c r="G34" s="72"/>
      <c r="M34" s="76"/>
    </row>
    <row r="35" spans="1:13" ht="15.6" customHeight="1" x14ac:dyDescent="0.3">
      <c r="A35" s="72"/>
      <c r="B35" s="72"/>
      <c r="C35" s="72"/>
      <c r="D35" s="72"/>
      <c r="E35" s="72"/>
      <c r="F35" s="72"/>
      <c r="G35" s="72"/>
      <c r="M35" s="76"/>
    </row>
    <row r="36" spans="1:13" ht="15.6" customHeight="1" x14ac:dyDescent="0.3">
      <c r="A36" s="72"/>
      <c r="B36" s="72"/>
      <c r="C36" s="72"/>
      <c r="D36" s="72"/>
      <c r="E36" s="72"/>
      <c r="F36" s="72"/>
      <c r="G36" s="72"/>
      <c r="M36" s="76"/>
    </row>
    <row r="37" spans="1:13" ht="15.6" customHeight="1" x14ac:dyDescent="0.3">
      <c r="A37" s="72"/>
      <c r="B37" s="72"/>
      <c r="C37" s="72"/>
      <c r="D37" s="72"/>
      <c r="E37" s="72"/>
      <c r="F37" s="72"/>
      <c r="G37" s="72"/>
      <c r="M37" s="76"/>
    </row>
    <row r="38" spans="1:13" ht="15.6" customHeight="1" x14ac:dyDescent="0.3">
      <c r="A38" s="72"/>
      <c r="B38" s="72"/>
      <c r="C38" s="72"/>
      <c r="D38" s="72"/>
      <c r="E38" s="72"/>
      <c r="F38" s="72"/>
      <c r="G38" s="72"/>
      <c r="M38" s="76"/>
    </row>
    <row r="39" spans="1:13" ht="15.6" customHeight="1" x14ac:dyDescent="0.3">
      <c r="A39" s="72"/>
      <c r="B39" s="72"/>
      <c r="C39" s="72"/>
      <c r="D39" s="72"/>
      <c r="E39" s="72"/>
      <c r="F39" s="72"/>
      <c r="G39" s="72"/>
      <c r="M39" s="76"/>
    </row>
    <row r="40" spans="1:13" ht="15.6" customHeight="1" x14ac:dyDescent="0.3">
      <c r="A40" s="72"/>
      <c r="B40" s="72"/>
      <c r="C40" s="72"/>
      <c r="D40" s="72"/>
      <c r="E40" s="72"/>
      <c r="F40" s="72"/>
      <c r="G40" s="72"/>
      <c r="M40" s="76"/>
    </row>
    <row r="41" spans="1:13" ht="15.6" customHeight="1" x14ac:dyDescent="0.3">
      <c r="A41" s="72"/>
      <c r="B41" s="72"/>
      <c r="C41" s="72"/>
      <c r="D41" s="72"/>
      <c r="E41" s="72"/>
      <c r="F41" s="72"/>
      <c r="G41" s="72"/>
      <c r="M41" s="76"/>
    </row>
    <row r="42" spans="1:13" ht="15.6" customHeight="1" x14ac:dyDescent="0.3">
      <c r="A42" s="72"/>
      <c r="B42" s="72"/>
      <c r="C42" s="72"/>
      <c r="D42" s="72"/>
      <c r="E42" s="72"/>
      <c r="F42" s="72"/>
      <c r="G42" s="72"/>
      <c r="M42" s="76"/>
    </row>
    <row r="43" spans="1:13" ht="15.6" customHeight="1" x14ac:dyDescent="0.3">
      <c r="A43" s="72"/>
      <c r="B43" s="72"/>
      <c r="C43" s="72"/>
      <c r="D43" s="72"/>
      <c r="E43" s="72"/>
      <c r="F43" s="72"/>
      <c r="G43" s="72"/>
      <c r="M43" s="76"/>
    </row>
    <row r="44" spans="1:13" ht="15.6" customHeight="1" x14ac:dyDescent="0.3">
      <c r="A44" s="72"/>
      <c r="B44" s="72"/>
      <c r="C44" s="72"/>
      <c r="D44" s="72"/>
      <c r="E44" s="72"/>
      <c r="F44" s="72"/>
      <c r="G44" s="72"/>
      <c r="M44" s="76"/>
    </row>
    <row r="45" spans="1:13" ht="15.6" customHeight="1" x14ac:dyDescent="0.3">
      <c r="A45" s="72"/>
      <c r="B45" s="72"/>
      <c r="C45" s="72"/>
      <c r="D45" s="72"/>
      <c r="E45" s="72"/>
      <c r="F45" s="72"/>
      <c r="G45" s="72"/>
      <c r="M45" s="76"/>
    </row>
    <row r="46" spans="1:13" ht="15.6" customHeight="1" x14ac:dyDescent="0.3">
      <c r="A46" s="92" t="s">
        <v>191</v>
      </c>
      <c r="B46" s="72"/>
      <c r="C46" s="72"/>
      <c r="D46" s="72"/>
      <c r="E46" s="72"/>
      <c r="F46" s="72"/>
      <c r="G46" s="72"/>
      <c r="M46" s="76"/>
    </row>
    <row r="47" spans="1:13" ht="15.6" customHeight="1" x14ac:dyDescent="0.3">
      <c r="A47" s="92" t="s">
        <v>192</v>
      </c>
      <c r="B47" s="72"/>
      <c r="C47" s="72"/>
      <c r="D47" s="72"/>
      <c r="E47" s="72"/>
      <c r="F47" s="72"/>
      <c r="G47" s="72"/>
      <c r="M47" s="76"/>
    </row>
    <row r="48" spans="1:13" ht="15.6" customHeight="1" x14ac:dyDescent="0.3">
      <c r="A48" s="92" t="s">
        <v>131</v>
      </c>
      <c r="B48" s="72"/>
      <c r="C48" s="72"/>
      <c r="D48" s="72"/>
      <c r="E48" s="72"/>
      <c r="F48" s="72"/>
      <c r="G48" s="72"/>
      <c r="M48" s="76"/>
    </row>
    <row r="49" spans="1:13" ht="15.6" customHeight="1" x14ac:dyDescent="0.3">
      <c r="A49" s="92" t="s">
        <v>244</v>
      </c>
      <c r="B49" s="72"/>
      <c r="C49" s="72"/>
      <c r="D49" s="72"/>
      <c r="E49" s="72"/>
      <c r="F49" s="72"/>
      <c r="G49" s="72"/>
      <c r="M49" s="76"/>
    </row>
    <row r="50" spans="1:13" ht="15.6" customHeight="1" x14ac:dyDescent="0.25">
      <c r="A50" s="52"/>
      <c r="B50" s="52"/>
      <c r="C50" s="52"/>
      <c r="D50" s="52"/>
      <c r="E50" s="52"/>
      <c r="F50" s="52"/>
      <c r="G50" s="52"/>
      <c r="H50" s="76"/>
    </row>
    <row r="51" spans="1:13" ht="15.6" customHeight="1" x14ac:dyDescent="0.25">
      <c r="A51" s="54" t="str">
        <f>+Innhold!B123</f>
        <v>Finans Norge / Skadestatistikk</v>
      </c>
      <c r="G51" s="209">
        <v>3</v>
      </c>
      <c r="H51" s="76"/>
    </row>
    <row r="52" spans="1:13" ht="15.6" customHeight="1" x14ac:dyDescent="0.25">
      <c r="A52" s="54" t="str">
        <f>+Innhold!B124</f>
        <v>Skadestatistikk for landbasert forsikring 1. kvartal 2017</v>
      </c>
      <c r="G52" s="210"/>
      <c r="H52" s="76"/>
    </row>
    <row r="53" spans="1:13" ht="15.6" customHeight="1" x14ac:dyDescent="0.25">
      <c r="H53" s="76"/>
    </row>
    <row r="59" spans="1:13" ht="15.6" customHeight="1" x14ac:dyDescent="0.25">
      <c r="J59"/>
      <c r="K59"/>
      <c r="L59"/>
    </row>
    <row r="60" spans="1:13" ht="15.6" customHeight="1" x14ac:dyDescent="0.25">
      <c r="J60" s="70"/>
      <c r="K60" s="71"/>
      <c r="L60" s="71"/>
    </row>
    <row r="61" spans="1:13" ht="15.6" customHeight="1" x14ac:dyDescent="0.25">
      <c r="J61" s="69"/>
      <c r="K61"/>
      <c r="L61"/>
    </row>
    <row r="62" spans="1:13" ht="15.6" customHeight="1" x14ac:dyDescent="0.25">
      <c r="J62" s="68"/>
      <c r="K62" s="68"/>
      <c r="L62" s="68"/>
    </row>
    <row r="63" spans="1:13" ht="15.6" customHeight="1" x14ac:dyDescent="0.25">
      <c r="J63" s="68"/>
      <c r="K63" s="68"/>
      <c r="L63" s="68"/>
    </row>
    <row r="64" spans="1:13" ht="15.6" customHeight="1" x14ac:dyDescent="0.25">
      <c r="J64" s="68"/>
      <c r="K64" s="68"/>
      <c r="L64" s="68"/>
    </row>
    <row r="65" spans="1:12" ht="15.6" customHeight="1" x14ac:dyDescent="0.25">
      <c r="J65" s="68"/>
      <c r="K65" s="68"/>
      <c r="L65" s="68"/>
    </row>
    <row r="66" spans="1:12" ht="15.6" customHeight="1" x14ac:dyDescent="0.25">
      <c r="J66" s="68"/>
      <c r="K66" s="68"/>
      <c r="L66" s="68"/>
    </row>
    <row r="67" spans="1:12" ht="15.6" customHeight="1" x14ac:dyDescent="0.25">
      <c r="J67" s="68"/>
      <c r="K67" s="68"/>
      <c r="L67" s="68"/>
    </row>
    <row r="68" spans="1:12" ht="15.6" customHeight="1" x14ac:dyDescent="0.25">
      <c r="J68" s="68"/>
      <c r="K68" s="68"/>
      <c r="L68" s="68"/>
    </row>
    <row r="69" spans="1:12" ht="15.6" customHeight="1" x14ac:dyDescent="0.25">
      <c r="J69"/>
      <c r="K69"/>
      <c r="L69"/>
    </row>
    <row r="70" spans="1:12" ht="15.6" customHeight="1" x14ac:dyDescent="0.25">
      <c r="J70"/>
      <c r="K70"/>
      <c r="L70"/>
    </row>
    <row r="71" spans="1:12" ht="15.6" customHeight="1" x14ac:dyDescent="0.25">
      <c r="J71"/>
      <c r="K71"/>
      <c r="L71"/>
    </row>
    <row r="72" spans="1:12" ht="15.6" customHeight="1" x14ac:dyDescent="0.25">
      <c r="A72"/>
      <c r="B72"/>
      <c r="C72"/>
      <c r="D72"/>
      <c r="E72"/>
      <c r="F72"/>
      <c r="H72"/>
      <c r="I72"/>
      <c r="J72"/>
      <c r="K72"/>
      <c r="L72"/>
    </row>
    <row r="73" spans="1:12" ht="15.6" customHeight="1" x14ac:dyDescent="0.25">
      <c r="A73"/>
      <c r="B73"/>
      <c r="C73"/>
      <c r="D73"/>
      <c r="E73"/>
      <c r="F73"/>
      <c r="H73"/>
      <c r="I73"/>
      <c r="J73"/>
      <c r="K73"/>
      <c r="L73"/>
    </row>
    <row r="74" spans="1:12" ht="15.6" customHeight="1" x14ac:dyDescent="0.25">
      <c r="A74"/>
      <c r="B74"/>
      <c r="C74"/>
      <c r="D74"/>
      <c r="E74"/>
      <c r="F74"/>
      <c r="H74"/>
      <c r="I74"/>
      <c r="J74"/>
      <c r="K74"/>
      <c r="L74"/>
    </row>
    <row r="75" spans="1:12" ht="15.6" customHeight="1" x14ac:dyDescent="0.25">
      <c r="A75"/>
      <c r="B75"/>
      <c r="C75"/>
      <c r="D75"/>
      <c r="E75"/>
      <c r="F75"/>
      <c r="H75"/>
      <c r="I75"/>
      <c r="J75"/>
      <c r="K75"/>
      <c r="L75"/>
    </row>
    <row r="76" spans="1:12" ht="15.6" customHeight="1" x14ac:dyDescent="0.25">
      <c r="A76"/>
      <c r="B76"/>
      <c r="C76"/>
      <c r="D76"/>
      <c r="E76"/>
      <c r="F76"/>
      <c r="H76"/>
      <c r="I76"/>
      <c r="J76"/>
      <c r="K76"/>
      <c r="L76"/>
    </row>
    <row r="77" spans="1:12" ht="15.6" customHeight="1" x14ac:dyDescent="0.25">
      <c r="A77"/>
      <c r="B77"/>
      <c r="C77"/>
      <c r="D77"/>
      <c r="E77"/>
      <c r="F77"/>
      <c r="H77"/>
      <c r="I77"/>
      <c r="J77"/>
      <c r="K77"/>
      <c r="L77"/>
    </row>
    <row r="78" spans="1:12" ht="15.6" customHeight="1" x14ac:dyDescent="0.25">
      <c r="A78"/>
      <c r="B78"/>
      <c r="C78"/>
      <c r="D78"/>
      <c r="E78"/>
      <c r="F78"/>
      <c r="H78"/>
      <c r="I78"/>
      <c r="J78"/>
      <c r="K78"/>
      <c r="L78"/>
    </row>
    <row r="79" spans="1:12" ht="15.6" customHeight="1" x14ac:dyDescent="0.25">
      <c r="A79"/>
      <c r="B79"/>
      <c r="C79"/>
      <c r="D79"/>
      <c r="E79"/>
      <c r="F79"/>
      <c r="H79"/>
      <c r="I79"/>
      <c r="J79"/>
      <c r="K79"/>
      <c r="L79"/>
    </row>
    <row r="80" spans="1:12" ht="15.6" customHeight="1" x14ac:dyDescent="0.25">
      <c r="A80"/>
      <c r="B80"/>
      <c r="C80"/>
      <c r="D80"/>
      <c r="E80"/>
      <c r="F80"/>
      <c r="H80"/>
      <c r="I80"/>
      <c r="J80"/>
      <c r="K80"/>
      <c r="L80"/>
    </row>
    <row r="81" spans="1:12" ht="15.6" customHeight="1" x14ac:dyDescent="0.25">
      <c r="A81"/>
      <c r="B81"/>
      <c r="C81"/>
      <c r="D81"/>
      <c r="E81"/>
      <c r="F81"/>
      <c r="H81"/>
      <c r="I81"/>
      <c r="J81"/>
      <c r="K81"/>
      <c r="L81"/>
    </row>
    <row r="82" spans="1:12" ht="15.6" customHeight="1" x14ac:dyDescent="0.25">
      <c r="A82"/>
      <c r="B82"/>
      <c r="C82"/>
      <c r="D82"/>
      <c r="E82"/>
      <c r="F82"/>
      <c r="H82"/>
      <c r="I82"/>
      <c r="J82"/>
      <c r="K82"/>
      <c r="L82"/>
    </row>
    <row r="83" spans="1:12" ht="15.6" customHeight="1" x14ac:dyDescent="0.25">
      <c r="A83"/>
      <c r="B83"/>
      <c r="C83"/>
      <c r="D83"/>
      <c r="E83"/>
      <c r="F83"/>
      <c r="H83"/>
      <c r="I83"/>
      <c r="J83"/>
      <c r="K83"/>
      <c r="L83"/>
    </row>
    <row r="84" spans="1:12" ht="15.6" customHeight="1" x14ac:dyDescent="0.25">
      <c r="A84"/>
      <c r="B84"/>
      <c r="C84"/>
      <c r="D84"/>
      <c r="E84"/>
      <c r="F84"/>
      <c r="H84"/>
      <c r="I84"/>
      <c r="J84"/>
      <c r="K84"/>
      <c r="L84"/>
    </row>
    <row r="85" spans="1:12" ht="15.6" customHeight="1" x14ac:dyDescent="0.25">
      <c r="A85"/>
      <c r="B85"/>
      <c r="C85"/>
      <c r="D85"/>
      <c r="E85"/>
      <c r="F85"/>
      <c r="H85"/>
      <c r="I85"/>
      <c r="J85"/>
      <c r="K85"/>
      <c r="L85"/>
    </row>
    <row r="86" spans="1:12" ht="15.6" customHeight="1" x14ac:dyDescent="0.25">
      <c r="A86"/>
      <c r="B86"/>
      <c r="C86"/>
      <c r="D86"/>
      <c r="E86"/>
      <c r="F86"/>
      <c r="H86"/>
      <c r="I86"/>
      <c r="J86"/>
      <c r="K86"/>
      <c r="L86"/>
    </row>
    <row r="87" spans="1:12" ht="15.6" customHeight="1" x14ac:dyDescent="0.25">
      <c r="A87"/>
      <c r="B87"/>
      <c r="C87"/>
      <c r="D87"/>
      <c r="E87"/>
      <c r="F87"/>
      <c r="H87"/>
      <c r="I87"/>
      <c r="J87"/>
      <c r="K87"/>
      <c r="L87"/>
    </row>
    <row r="88" spans="1:12" ht="15.6" customHeight="1" x14ac:dyDescent="0.25">
      <c r="A88"/>
      <c r="B88"/>
      <c r="C88"/>
      <c r="D88"/>
      <c r="E88"/>
      <c r="F88"/>
      <c r="H88"/>
      <c r="I88"/>
      <c r="J88"/>
      <c r="K88"/>
      <c r="L88"/>
    </row>
    <row r="89" spans="1:12" ht="15.6" customHeight="1" x14ac:dyDescent="0.25">
      <c r="A89"/>
      <c r="B89"/>
      <c r="C89"/>
      <c r="D89"/>
      <c r="E89"/>
      <c r="F89"/>
      <c r="H89"/>
      <c r="I89"/>
      <c r="J89"/>
      <c r="K89"/>
      <c r="L89"/>
    </row>
    <row r="90" spans="1:12" ht="15.6" customHeight="1" x14ac:dyDescent="0.25">
      <c r="A90"/>
      <c r="B90"/>
      <c r="C90"/>
      <c r="D90"/>
      <c r="E90"/>
      <c r="F90"/>
      <c r="H90"/>
      <c r="I90"/>
      <c r="J90"/>
      <c r="K90"/>
      <c r="L90"/>
    </row>
    <row r="91" spans="1:12" ht="15.6" customHeight="1" x14ac:dyDescent="0.25">
      <c r="A91"/>
      <c r="B91"/>
      <c r="C91"/>
      <c r="D91"/>
      <c r="E91"/>
      <c r="F91"/>
      <c r="H91"/>
      <c r="I91"/>
      <c r="J91"/>
      <c r="K91"/>
      <c r="L91"/>
    </row>
    <row r="92" spans="1:12" ht="15.6" customHeight="1" x14ac:dyDescent="0.25">
      <c r="A92"/>
      <c r="B92"/>
      <c r="C92"/>
      <c r="D92"/>
      <c r="E92"/>
      <c r="F92"/>
      <c r="H92"/>
      <c r="I92"/>
      <c r="J92"/>
      <c r="K92"/>
      <c r="L92"/>
    </row>
    <row r="93" spans="1:12" ht="15.6" customHeight="1" x14ac:dyDescent="0.25">
      <c r="A93"/>
      <c r="B93"/>
      <c r="C93"/>
      <c r="D93"/>
      <c r="E93"/>
      <c r="F93"/>
      <c r="H93"/>
      <c r="I93"/>
      <c r="J93"/>
      <c r="K93"/>
      <c r="L93"/>
    </row>
    <row r="94" spans="1:12" ht="15.6" customHeight="1" x14ac:dyDescent="0.25">
      <c r="A94"/>
      <c r="B94"/>
      <c r="C94"/>
      <c r="D94"/>
      <c r="E94"/>
      <c r="F94"/>
      <c r="H94"/>
      <c r="I94"/>
      <c r="J94"/>
      <c r="K94"/>
      <c r="L94"/>
    </row>
    <row r="95" spans="1:12" ht="15.6" customHeight="1" x14ac:dyDescent="0.25">
      <c r="A95"/>
      <c r="B95"/>
      <c r="C95"/>
      <c r="D95"/>
      <c r="E95"/>
      <c r="F95"/>
      <c r="H95"/>
      <c r="I95"/>
      <c r="J95"/>
      <c r="K95"/>
      <c r="L95"/>
    </row>
    <row r="96" spans="1:12" ht="15.6" customHeight="1" x14ac:dyDescent="0.25">
      <c r="A96"/>
      <c r="B96"/>
      <c r="C96"/>
      <c r="D96"/>
      <c r="E96"/>
      <c r="F96"/>
      <c r="H96"/>
      <c r="I96"/>
      <c r="J96"/>
      <c r="K96"/>
      <c r="L96"/>
    </row>
    <row r="97" spans="1:12" ht="15.6" customHeight="1" x14ac:dyDescent="0.25">
      <c r="A97"/>
      <c r="B97"/>
      <c r="C97"/>
      <c r="D97"/>
      <c r="E97"/>
      <c r="F97"/>
      <c r="H97"/>
      <c r="I97"/>
      <c r="J97"/>
      <c r="K97"/>
      <c r="L97"/>
    </row>
    <row r="98" spans="1:12" ht="15.6" customHeight="1" x14ac:dyDescent="0.25">
      <c r="A98"/>
      <c r="B98"/>
      <c r="C98"/>
      <c r="D98"/>
      <c r="E98"/>
      <c r="F98"/>
      <c r="K98"/>
    </row>
    <row r="99" spans="1:12" ht="15.6" customHeight="1" x14ac:dyDescent="0.25">
      <c r="A99"/>
      <c r="B99"/>
      <c r="C99"/>
      <c r="D99"/>
      <c r="E99"/>
      <c r="F99"/>
      <c r="K99"/>
    </row>
    <row r="100" spans="1:12" ht="15.6" customHeight="1" x14ac:dyDescent="0.25">
      <c r="A100"/>
      <c r="B100"/>
      <c r="C100"/>
      <c r="D100"/>
      <c r="E100"/>
      <c r="F100"/>
      <c r="H100" s="67"/>
      <c r="I100"/>
      <c r="J100"/>
      <c r="K100"/>
    </row>
    <row r="101" spans="1:12" ht="15.6" customHeight="1" x14ac:dyDescent="0.25">
      <c r="A101"/>
      <c r="B101"/>
      <c r="C101"/>
      <c r="D101"/>
      <c r="E101"/>
      <c r="F101"/>
      <c r="H101"/>
      <c r="I101"/>
      <c r="J101"/>
      <c r="K101"/>
    </row>
    <row r="102" spans="1:12" ht="15.6" customHeight="1" x14ac:dyDescent="0.25">
      <c r="A102"/>
      <c r="B102"/>
      <c r="C102"/>
      <c r="D102"/>
      <c r="E102"/>
      <c r="F102"/>
      <c r="H102"/>
      <c r="I102"/>
      <c r="J102"/>
      <c r="K102"/>
    </row>
    <row r="103" spans="1:12" ht="15.6" customHeight="1" x14ac:dyDescent="0.25">
      <c r="A103"/>
      <c r="B103"/>
      <c r="C103"/>
      <c r="D103"/>
      <c r="E103"/>
      <c r="F103"/>
      <c r="H103"/>
      <c r="I103"/>
      <c r="J103"/>
      <c r="K103"/>
    </row>
    <row r="104" spans="1:12" ht="15.6" customHeight="1" x14ac:dyDescent="0.25">
      <c r="A104"/>
      <c r="B104"/>
      <c r="C104"/>
      <c r="D104"/>
      <c r="E104"/>
      <c r="F104"/>
      <c r="H104"/>
      <c r="I104" s="68"/>
      <c r="J104" s="68"/>
      <c r="K104" s="68"/>
    </row>
    <row r="105" spans="1:12" ht="15.6" customHeight="1" x14ac:dyDescent="0.25">
      <c r="A105"/>
      <c r="B105"/>
      <c r="C105"/>
      <c r="D105"/>
      <c r="E105"/>
      <c r="F105"/>
      <c r="H105"/>
      <c r="I105" s="68"/>
      <c r="J105" s="68"/>
      <c r="K105" s="68"/>
    </row>
    <row r="106" spans="1:12" ht="15.6" customHeight="1" x14ac:dyDescent="0.25">
      <c r="D106"/>
      <c r="E106"/>
      <c r="F106"/>
      <c r="H106"/>
      <c r="I106" s="68"/>
      <c r="J106" s="68"/>
      <c r="K106" s="68"/>
    </row>
    <row r="107" spans="1:12" ht="15.6" customHeight="1" x14ac:dyDescent="0.25">
      <c r="D107"/>
      <c r="E107"/>
      <c r="F107"/>
      <c r="H107"/>
      <c r="I107"/>
      <c r="J107"/>
      <c r="K107"/>
    </row>
    <row r="108" spans="1:12" ht="15.6" customHeight="1" x14ac:dyDescent="0.25">
      <c r="A108" s="77"/>
      <c r="B108"/>
      <c r="C108"/>
      <c r="D108"/>
      <c r="E108"/>
      <c r="F108"/>
      <c r="H108"/>
      <c r="I108"/>
      <c r="J108"/>
      <c r="K108"/>
    </row>
    <row r="109" spans="1:12" ht="15.6" customHeight="1" x14ac:dyDescent="0.25">
      <c r="A109"/>
      <c r="B109"/>
      <c r="C109"/>
      <c r="D109"/>
      <c r="E109"/>
      <c r="F109"/>
      <c r="H109"/>
      <c r="I109"/>
      <c r="J109"/>
      <c r="K109"/>
    </row>
    <row r="110" spans="1:12" ht="15.6" customHeight="1" x14ac:dyDescent="0.25">
      <c r="A110"/>
      <c r="B110"/>
      <c r="C110"/>
      <c r="D110"/>
      <c r="E110"/>
      <c r="F110"/>
      <c r="H110"/>
      <c r="I110"/>
      <c r="J110"/>
      <c r="K110"/>
    </row>
    <row r="111" spans="1:12" ht="15.6" customHeight="1" x14ac:dyDescent="0.25">
      <c r="A111"/>
      <c r="B111"/>
      <c r="C111"/>
      <c r="D111"/>
      <c r="E111"/>
      <c r="F111"/>
      <c r="H111"/>
      <c r="I111"/>
      <c r="J111"/>
      <c r="K111"/>
    </row>
    <row r="112" spans="1:12" ht="15.6" customHeight="1" x14ac:dyDescent="0.25">
      <c r="A112"/>
      <c r="B112"/>
      <c r="C112"/>
      <c r="D112"/>
      <c r="E112"/>
      <c r="F112"/>
    </row>
    <row r="113" spans="1:11" ht="15.6" customHeight="1" x14ac:dyDescent="0.25">
      <c r="A113"/>
      <c r="B113"/>
      <c r="C113"/>
      <c r="D113"/>
      <c r="E113"/>
      <c r="F113"/>
    </row>
    <row r="114" spans="1:11" ht="15.6" customHeight="1" x14ac:dyDescent="0.25">
      <c r="A114"/>
      <c r="B114"/>
      <c r="C114"/>
      <c r="D114"/>
      <c r="E114"/>
      <c r="F114"/>
      <c r="H114" s="67"/>
      <c r="I114"/>
      <c r="J114"/>
      <c r="K114"/>
    </row>
    <row r="115" spans="1:11" ht="15.6" customHeight="1" x14ac:dyDescent="0.25">
      <c r="A115"/>
      <c r="B115"/>
      <c r="C115"/>
      <c r="D115"/>
      <c r="E115"/>
      <c r="F115"/>
      <c r="H115"/>
      <c r="I115"/>
      <c r="J115"/>
      <c r="K115"/>
    </row>
    <row r="116" spans="1:11" ht="15.6" customHeight="1" x14ac:dyDescent="0.25">
      <c r="A116"/>
      <c r="B116"/>
      <c r="C116"/>
      <c r="D116"/>
      <c r="E116"/>
      <c r="F116"/>
      <c r="H116"/>
      <c r="I116"/>
      <c r="J116"/>
      <c r="K116"/>
    </row>
    <row r="117" spans="1:11" ht="15.6" customHeight="1" x14ac:dyDescent="0.25">
      <c r="A117"/>
      <c r="B117"/>
      <c r="C117"/>
      <c r="D117"/>
      <c r="E117"/>
      <c r="F117"/>
      <c r="H117"/>
      <c r="I117"/>
      <c r="J117" s="68"/>
      <c r="K117" s="68"/>
    </row>
    <row r="118" spans="1:11" ht="15.6" customHeight="1" x14ac:dyDescent="0.25">
      <c r="A118"/>
      <c r="B118"/>
      <c r="C118"/>
      <c r="D118"/>
      <c r="E118"/>
      <c r="F118"/>
      <c r="H118"/>
      <c r="I118"/>
      <c r="J118" s="68"/>
      <c r="K118" s="68"/>
    </row>
    <row r="119" spans="1:11" ht="15.6" customHeight="1" x14ac:dyDescent="0.25">
      <c r="A119"/>
      <c r="B119"/>
      <c r="C119"/>
      <c r="D119"/>
      <c r="E119"/>
      <c r="F119"/>
      <c r="H119"/>
      <c r="I119"/>
      <c r="J119" s="68"/>
      <c r="K119" s="68"/>
    </row>
    <row r="120" spans="1:11" ht="15.6" customHeight="1" x14ac:dyDescent="0.25">
      <c r="A120"/>
      <c r="B120"/>
      <c r="C120"/>
      <c r="D120"/>
      <c r="E120"/>
      <c r="F120"/>
      <c r="H120"/>
      <c r="I120"/>
      <c r="J120"/>
      <c r="K120"/>
    </row>
    <row r="121" spans="1:11" ht="15.6" customHeight="1" x14ac:dyDescent="0.25">
      <c r="A121"/>
      <c r="B121"/>
      <c r="C121"/>
      <c r="D121"/>
      <c r="E121"/>
      <c r="F121"/>
      <c r="G121"/>
      <c r="H121"/>
      <c r="I121"/>
      <c r="J121"/>
      <c r="K121"/>
    </row>
    <row r="122" spans="1:11" ht="15.6" customHeight="1" x14ac:dyDescent="0.25">
      <c r="A122"/>
      <c r="B122"/>
      <c r="C122"/>
      <c r="D122"/>
      <c r="E122"/>
      <c r="F122"/>
      <c r="G122"/>
      <c r="H122"/>
      <c r="I122"/>
      <c r="J122"/>
      <c r="K122"/>
    </row>
    <row r="123" spans="1:11" ht="15.6" customHeight="1" x14ac:dyDescent="0.25">
      <c r="A123"/>
      <c r="B123"/>
      <c r="C123"/>
      <c r="D123"/>
      <c r="E123"/>
      <c r="F123"/>
      <c r="G123"/>
      <c r="H123"/>
      <c r="I123" s="68"/>
      <c r="J123" s="68"/>
    </row>
    <row r="124" spans="1:11" ht="15.6" customHeight="1" x14ac:dyDescent="0.25">
      <c r="A124"/>
      <c r="B124" s="68"/>
      <c r="C124" s="68"/>
      <c r="D124"/>
      <c r="E124"/>
      <c r="F124"/>
      <c r="G124"/>
      <c r="H124"/>
      <c r="I124" s="68"/>
      <c r="J124" s="68"/>
    </row>
    <row r="125" spans="1:11" ht="15.6" customHeight="1" x14ac:dyDescent="0.25">
      <c r="A125"/>
      <c r="B125"/>
      <c r="C125"/>
      <c r="D125"/>
      <c r="F125"/>
      <c r="G125"/>
      <c r="H125"/>
      <c r="I125"/>
      <c r="J125"/>
    </row>
    <row r="126" spans="1:11" ht="15.6" customHeight="1" x14ac:dyDescent="0.25">
      <c r="A126"/>
      <c r="B126"/>
      <c r="C126"/>
      <c r="D126"/>
      <c r="F126"/>
      <c r="G126"/>
      <c r="H126"/>
      <c r="I126"/>
      <c r="J126"/>
    </row>
    <row r="127" spans="1:11" ht="15.6" customHeight="1" x14ac:dyDescent="0.25">
      <c r="A127"/>
      <c r="B127"/>
      <c r="C127"/>
      <c r="D127"/>
      <c r="F127"/>
      <c r="G127"/>
      <c r="H127"/>
      <c r="I127"/>
      <c r="J127"/>
    </row>
    <row r="128" spans="1:11" ht="15.6" customHeight="1" x14ac:dyDescent="0.25">
      <c r="A128"/>
      <c r="B128" s="68"/>
      <c r="C128" s="68"/>
      <c r="D128"/>
      <c r="F128"/>
      <c r="G128"/>
      <c r="H128"/>
      <c r="I128"/>
      <c r="J128"/>
    </row>
    <row r="129" spans="1:10" ht="15.6" customHeight="1" x14ac:dyDescent="0.25">
      <c r="A129"/>
      <c r="B129" s="68"/>
      <c r="C129" s="68"/>
      <c r="D129"/>
      <c r="F129"/>
      <c r="G129"/>
      <c r="H129"/>
      <c r="I129"/>
      <c r="J129"/>
    </row>
    <row r="130" spans="1:10" ht="15.6" customHeight="1" x14ac:dyDescent="0.25">
      <c r="A130"/>
      <c r="B130" s="68"/>
      <c r="C130" s="68"/>
      <c r="D130"/>
      <c r="F130"/>
    </row>
    <row r="131" spans="1:10" ht="15.6" customHeight="1" x14ac:dyDescent="0.25">
      <c r="A131"/>
      <c r="B131"/>
      <c r="C131"/>
      <c r="D131"/>
      <c r="F131"/>
    </row>
    <row r="132" spans="1:10" ht="15.6" customHeight="1" x14ac:dyDescent="0.25">
      <c r="A132"/>
      <c r="B132" s="68"/>
      <c r="C132" s="68"/>
      <c r="D132"/>
      <c r="F132"/>
    </row>
    <row r="133" spans="1:10" ht="15.6" customHeight="1" x14ac:dyDescent="0.25">
      <c r="A133"/>
      <c r="B133" s="68"/>
      <c r="C133" s="68"/>
      <c r="D133"/>
      <c r="F133"/>
    </row>
    <row r="134" spans="1:10" ht="15.6" customHeight="1" x14ac:dyDescent="0.25">
      <c r="A134"/>
      <c r="B134" s="68"/>
      <c r="C134" s="68"/>
      <c r="D134"/>
      <c r="F134"/>
    </row>
    <row r="135" spans="1:10" ht="15.6" customHeight="1" x14ac:dyDescent="0.25">
      <c r="A135"/>
      <c r="B135"/>
      <c r="C135"/>
      <c r="D135"/>
      <c r="F135"/>
    </row>
    <row r="136" spans="1:10" ht="15.6" customHeight="1" x14ac:dyDescent="0.25">
      <c r="A136"/>
      <c r="B136" s="68"/>
      <c r="C136" s="68"/>
      <c r="D136"/>
      <c r="F136"/>
    </row>
    <row r="137" spans="1:10" ht="15.6" customHeight="1" x14ac:dyDescent="0.25">
      <c r="A137"/>
      <c r="B137" s="68"/>
      <c r="C137" s="68"/>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15"/>
  <sheetViews>
    <sheetView showGridLines="0" showRowColHeaders="0" zoomScale="80" zoomScaleNormal="80" zoomScaleSheetLayoutView="50" workbookViewId="0"/>
  </sheetViews>
  <sheetFormatPr defaultColWidth="11.44140625" defaultRowHeight="13.2" x14ac:dyDescent="0.25"/>
  <cols>
    <col min="1" max="1" width="26.33203125" style="161" customWidth="1"/>
    <col min="2" max="2" width="8.109375" style="161" customWidth="1"/>
    <col min="3" max="4" width="10.5546875" style="161" customWidth="1"/>
    <col min="5" max="5" width="9.88671875" style="161" customWidth="1"/>
    <col min="6" max="6" width="1.6640625" style="161" customWidth="1"/>
    <col min="7" max="7" width="7.6640625" style="161" customWidth="1"/>
    <col min="8" max="8" width="8.88671875" style="161" customWidth="1"/>
    <col min="9" max="21" width="11.44140625" style="161" customWidth="1"/>
    <col min="22" max="22" width="15.44140625" style="161" customWidth="1"/>
    <col min="23" max="16384" width="11.44140625" style="161"/>
  </cols>
  <sheetData>
    <row r="1" spans="1:36" s="189" customFormat="1" ht="5.25" customHeight="1" x14ac:dyDescent="0.25"/>
    <row r="2" spans="1:36" s="189" customFormat="1" x14ac:dyDescent="0.25">
      <c r="A2" s="190" t="s">
        <v>0</v>
      </c>
      <c r="B2" s="191"/>
      <c r="C2" s="191"/>
      <c r="D2" s="191"/>
      <c r="E2" s="191"/>
      <c r="F2" s="191"/>
      <c r="G2" s="191"/>
    </row>
    <row r="3" spans="1:36" s="189" customFormat="1" ht="6" customHeight="1" x14ac:dyDescent="0.25">
      <c r="A3" s="192"/>
      <c r="B3" s="191"/>
      <c r="C3" s="191"/>
      <c r="D3" s="191"/>
      <c r="E3" s="191"/>
      <c r="F3" s="191"/>
      <c r="G3" s="191"/>
    </row>
    <row r="4" spans="1:36" s="189" customFormat="1" ht="12.75" customHeight="1" x14ac:dyDescent="0.25">
      <c r="A4" s="213" t="s">
        <v>90</v>
      </c>
      <c r="B4" s="191"/>
      <c r="C4" s="191"/>
      <c r="D4" s="191"/>
      <c r="E4" s="191"/>
      <c r="F4" s="191"/>
      <c r="G4" s="191"/>
      <c r="H4" s="193"/>
    </row>
    <row r="5" spans="1:36" s="189" customFormat="1" ht="12.75" customHeight="1" x14ac:dyDescent="0.25">
      <c r="A5" s="213"/>
      <c r="B5" s="191"/>
      <c r="C5" s="191"/>
      <c r="D5" s="191"/>
      <c r="E5" s="191"/>
      <c r="F5" s="191"/>
      <c r="G5" s="191"/>
      <c r="H5" s="193"/>
    </row>
    <row r="6" spans="1:36" s="189" customFormat="1" ht="15.6" x14ac:dyDescent="0.3">
      <c r="A6" s="194" t="str">
        <f>"Figur 1. Antall meldte skader etter bransjer "&amp;'Tab3'!H63</f>
        <v xml:space="preserve">Figur 1. Antall meldte skader etter bransjer </v>
      </c>
      <c r="B6" s="191"/>
      <c r="C6" s="191"/>
      <c r="D6" s="191"/>
      <c r="E6" s="191"/>
      <c r="F6" s="191"/>
      <c r="G6" s="191"/>
      <c r="H6" s="193"/>
      <c r="I6" s="194" t="str">
        <f>"Figur 3. Anslått erstatning etter bransje, pr. "&amp;'Tab3'!H63</f>
        <v xml:space="preserve">Figur 3. Anslått erstatning etter bransje, pr. </v>
      </c>
      <c r="P6" s="194" t="s">
        <v>183</v>
      </c>
      <c r="W6" s="194" t="str">
        <f>"Figur 7. Antall meldte skader i de Brann-kombinerte bransjer etter skadetype "&amp;'Tab3'!H63</f>
        <v xml:space="preserve">Figur 7. Antall meldte skader i de Brann-kombinerte bransjer etter skadetype </v>
      </c>
      <c r="X6" s="194"/>
      <c r="AD6" s="194" t="str">
        <f>"Figur 9. Brannskader pr. kvartal"</f>
        <v>Figur 9. Brannskader pr. kvartal</v>
      </c>
    </row>
    <row r="7" spans="1:36" s="189" customFormat="1" ht="15.6" x14ac:dyDescent="0.3">
      <c r="A7" s="192"/>
      <c r="B7" s="191"/>
      <c r="C7" s="191"/>
      <c r="D7" s="191"/>
      <c r="E7" s="191"/>
      <c r="F7" s="191"/>
      <c r="G7" s="191"/>
      <c r="H7" s="193"/>
      <c r="V7" s="195"/>
      <c r="AJ7" s="195"/>
    </row>
    <row r="8" spans="1:36" s="189" customFormat="1" x14ac:dyDescent="0.25">
      <c r="A8" s="192"/>
      <c r="B8" s="191"/>
      <c r="C8" s="191"/>
      <c r="D8" s="191"/>
      <c r="E8" s="191"/>
      <c r="F8" s="191"/>
      <c r="G8" s="191"/>
      <c r="H8" s="193"/>
    </row>
    <row r="9" spans="1:36" s="189" customFormat="1" x14ac:dyDescent="0.25">
      <c r="A9" s="192"/>
      <c r="B9" s="191"/>
      <c r="C9" s="191"/>
      <c r="D9" s="191"/>
      <c r="E9" s="191"/>
      <c r="F9" s="191"/>
      <c r="G9" s="191"/>
      <c r="H9" s="193"/>
    </row>
    <row r="10" spans="1:36" s="189" customFormat="1" x14ac:dyDescent="0.25">
      <c r="A10" s="192"/>
      <c r="B10" s="191"/>
      <c r="C10" s="191"/>
      <c r="D10" s="191"/>
      <c r="E10" s="191"/>
      <c r="F10" s="191"/>
      <c r="G10" s="191"/>
      <c r="H10" s="193"/>
    </row>
    <row r="11" spans="1:36" s="189" customFormat="1" x14ac:dyDescent="0.25">
      <c r="A11" s="192"/>
      <c r="B11" s="191"/>
      <c r="C11" s="191"/>
      <c r="D11" s="191"/>
      <c r="E11" s="191"/>
      <c r="F11" s="191"/>
      <c r="G11" s="191"/>
      <c r="H11" s="193"/>
    </row>
    <row r="12" spans="1:36" s="189" customFormat="1" x14ac:dyDescent="0.25">
      <c r="A12" s="192"/>
      <c r="B12" s="191"/>
      <c r="C12" s="191"/>
      <c r="D12" s="191"/>
      <c r="E12" s="191"/>
      <c r="F12" s="191"/>
      <c r="G12" s="191"/>
      <c r="H12" s="193"/>
    </row>
    <row r="13" spans="1:36" s="189" customFormat="1" x14ac:dyDescent="0.25">
      <c r="A13" s="192"/>
      <c r="B13" s="191"/>
      <c r="C13" s="191"/>
      <c r="D13" s="191"/>
      <c r="E13" s="191"/>
      <c r="F13" s="191"/>
      <c r="G13" s="191"/>
      <c r="H13" s="193"/>
    </row>
    <row r="14" spans="1:36" s="189" customFormat="1" x14ac:dyDescent="0.25">
      <c r="A14" s="192"/>
      <c r="B14" s="191"/>
      <c r="C14" s="191"/>
      <c r="D14" s="191"/>
      <c r="E14" s="191"/>
      <c r="F14" s="191"/>
      <c r="G14" s="191"/>
      <c r="H14" s="193"/>
    </row>
    <row r="15" spans="1:36" s="189" customFormat="1" x14ac:dyDescent="0.25">
      <c r="A15" s="192"/>
      <c r="B15" s="191"/>
      <c r="C15" s="191"/>
      <c r="D15" s="191"/>
      <c r="E15" s="191"/>
      <c r="F15" s="191"/>
      <c r="G15" s="191"/>
      <c r="H15" s="193"/>
    </row>
    <row r="16" spans="1:36" s="189" customFormat="1" x14ac:dyDescent="0.25">
      <c r="A16" s="192"/>
      <c r="B16" s="191"/>
      <c r="C16" s="191"/>
      <c r="D16" s="191"/>
      <c r="E16" s="191"/>
      <c r="F16" s="191"/>
      <c r="G16" s="191"/>
      <c r="H16" s="193"/>
    </row>
    <row r="17" spans="1:30" s="189" customFormat="1" x14ac:dyDescent="0.25">
      <c r="A17" s="192"/>
      <c r="B17" s="191"/>
      <c r="C17" s="191"/>
      <c r="D17" s="191"/>
      <c r="E17" s="191"/>
      <c r="F17" s="191"/>
      <c r="G17" s="191"/>
      <c r="H17" s="193"/>
    </row>
    <row r="18" spans="1:30" s="189" customFormat="1" x14ac:dyDescent="0.25">
      <c r="A18" s="192"/>
      <c r="B18" s="191"/>
      <c r="C18" s="191"/>
      <c r="D18" s="191"/>
      <c r="E18" s="191"/>
      <c r="F18" s="191"/>
      <c r="G18" s="191"/>
      <c r="H18" s="193"/>
    </row>
    <row r="19" spans="1:30" s="189" customFormat="1" x14ac:dyDescent="0.25">
      <c r="A19" s="192"/>
      <c r="B19" s="191"/>
      <c r="C19" s="191"/>
      <c r="D19" s="191"/>
      <c r="E19" s="191"/>
      <c r="F19" s="191"/>
      <c r="G19" s="191"/>
      <c r="H19" s="193"/>
    </row>
    <row r="20" spans="1:30" s="189" customFormat="1" x14ac:dyDescent="0.25">
      <c r="A20" s="192"/>
      <c r="B20" s="191"/>
      <c r="C20" s="191"/>
      <c r="D20" s="191"/>
      <c r="E20" s="191"/>
      <c r="F20" s="191"/>
      <c r="G20" s="191"/>
      <c r="H20" s="193"/>
    </row>
    <row r="21" spans="1:30" s="189" customFormat="1" x14ac:dyDescent="0.25">
      <c r="A21" s="192"/>
      <c r="B21" s="191"/>
      <c r="C21" s="191"/>
      <c r="D21" s="191"/>
      <c r="E21" s="191"/>
      <c r="F21" s="191"/>
      <c r="G21" s="191"/>
      <c r="H21" s="193"/>
    </row>
    <row r="22" spans="1:30" s="189" customFormat="1" x14ac:dyDescent="0.25">
      <c r="A22" s="192"/>
      <c r="B22" s="191"/>
      <c r="C22" s="191"/>
      <c r="D22" s="191"/>
      <c r="E22" s="191"/>
      <c r="F22" s="191"/>
      <c r="G22" s="191"/>
      <c r="H22" s="193"/>
    </row>
    <row r="23" spans="1:30" s="189" customFormat="1" x14ac:dyDescent="0.25">
      <c r="A23" s="192"/>
      <c r="B23" s="191"/>
      <c r="C23" s="191"/>
      <c r="D23" s="191"/>
      <c r="E23" s="191"/>
      <c r="F23" s="191"/>
      <c r="G23" s="191"/>
      <c r="H23" s="193"/>
    </row>
    <row r="24" spans="1:30" s="189" customFormat="1" x14ac:dyDescent="0.25">
      <c r="A24" s="192"/>
      <c r="B24" s="191"/>
      <c r="C24" s="191"/>
      <c r="D24" s="191"/>
      <c r="E24" s="191"/>
      <c r="F24" s="191"/>
      <c r="G24" s="191"/>
      <c r="H24" s="193"/>
    </row>
    <row r="25" spans="1:30" s="189" customFormat="1" x14ac:dyDescent="0.25">
      <c r="A25" s="192"/>
      <c r="B25" s="191"/>
      <c r="C25" s="191"/>
      <c r="D25" s="191"/>
      <c r="E25" s="191"/>
      <c r="F25" s="191"/>
      <c r="G25" s="191"/>
      <c r="H25" s="193"/>
    </row>
    <row r="26" spans="1:30" s="189" customFormat="1" x14ac:dyDescent="0.25">
      <c r="A26" s="192"/>
      <c r="B26" s="191"/>
      <c r="C26" s="191"/>
      <c r="D26" s="191"/>
      <c r="E26" s="191"/>
      <c r="F26" s="191"/>
      <c r="G26" s="191"/>
      <c r="H26" s="193"/>
    </row>
    <row r="27" spans="1:30" s="189" customFormat="1" x14ac:dyDescent="0.25">
      <c r="A27" s="192"/>
      <c r="B27" s="191"/>
      <c r="C27" s="191"/>
      <c r="D27" s="191"/>
      <c r="E27" s="191"/>
      <c r="F27" s="191"/>
      <c r="G27" s="191"/>
      <c r="H27" s="193"/>
    </row>
    <row r="28" spans="1:30" s="189" customFormat="1" x14ac:dyDescent="0.25">
      <c r="A28" s="192"/>
      <c r="B28" s="191"/>
      <c r="C28" s="191"/>
      <c r="D28" s="191"/>
      <c r="E28" s="191"/>
      <c r="F28" s="191"/>
      <c r="G28" s="191"/>
      <c r="H28" s="193"/>
    </row>
    <row r="29" spans="1:30" s="189" customFormat="1" x14ac:dyDescent="0.25">
      <c r="A29" s="192"/>
      <c r="B29" s="191"/>
      <c r="C29" s="191"/>
      <c r="D29" s="191"/>
      <c r="E29" s="191"/>
      <c r="F29" s="191"/>
      <c r="G29" s="191"/>
      <c r="H29" s="193"/>
    </row>
    <row r="30" spans="1:30" s="189" customFormat="1" x14ac:dyDescent="0.25">
      <c r="A30" s="192"/>
      <c r="B30" s="191"/>
      <c r="C30" s="191"/>
      <c r="D30" s="191"/>
      <c r="E30" s="191"/>
      <c r="F30" s="191"/>
      <c r="G30" s="191"/>
      <c r="H30" s="193"/>
    </row>
    <row r="31" spans="1:30" s="189" customFormat="1" x14ac:dyDescent="0.25">
      <c r="A31" s="192"/>
      <c r="B31" s="191"/>
      <c r="C31" s="191"/>
      <c r="D31" s="191"/>
      <c r="E31" s="191"/>
      <c r="F31" s="191"/>
      <c r="G31" s="191"/>
      <c r="H31" s="193"/>
    </row>
    <row r="32" spans="1:30" s="189" customFormat="1" ht="15.6" x14ac:dyDescent="0.3">
      <c r="A32" s="194" t="str">
        <f>"Figur 2. Antall meldte skader etter bransjer "&amp;'Tab3'!H63</f>
        <v xml:space="preserve">Figur 2. Antall meldte skader etter bransjer </v>
      </c>
      <c r="B32" s="191"/>
      <c r="C32" s="191"/>
      <c r="D32" s="191"/>
      <c r="E32" s="191"/>
      <c r="F32" s="191"/>
      <c r="G32" s="191"/>
      <c r="H32" s="193"/>
      <c r="I32" s="194" t="str">
        <f>"Figur 4. Vannskader pr. kvartal"</f>
        <v>Figur 4. Vannskader pr. kvartal</v>
      </c>
      <c r="P32" s="194" t="str">
        <f>"Figur 6. Anslått erstatning etter skadetype, motorvogn "&amp;'Tab3'!H63&amp;" "&amp;'Tab3'!E6</f>
        <v>Figur 6. Anslått erstatning etter skadetype, motorvogn  2018</v>
      </c>
      <c r="W32" s="194" t="str">
        <f>"Figur 8. Anslått erstatning i de Brann-kombinerte bransjer etter skadetype "&amp;'Tab3'!H63</f>
        <v xml:space="preserve">Figur 8. Anslått erstatning i de Brann-kombinerte bransjer etter skadetype </v>
      </c>
      <c r="AD32" s="194" t="str">
        <f>"Figur 10. Innbrudd, tyverier og ran pr. kvartal"</f>
        <v>Figur 10. Innbrudd, tyverier og ran pr. kvartal</v>
      </c>
    </row>
    <row r="33" spans="1:8" s="189" customFormat="1" x14ac:dyDescent="0.25">
      <c r="A33" s="192"/>
      <c r="B33" s="191"/>
      <c r="C33" s="191"/>
      <c r="D33" s="191"/>
      <c r="E33" s="191"/>
      <c r="F33" s="191"/>
      <c r="G33" s="191"/>
      <c r="H33" s="193"/>
    </row>
    <row r="34" spans="1:8" s="189" customFormat="1" x14ac:dyDescent="0.25">
      <c r="A34" s="192"/>
      <c r="B34" s="191"/>
      <c r="C34" s="191"/>
      <c r="D34" s="191"/>
      <c r="E34" s="191"/>
      <c r="F34" s="191"/>
      <c r="G34" s="191"/>
      <c r="H34" s="193"/>
    </row>
    <row r="35" spans="1:8" s="189" customFormat="1" x14ac:dyDescent="0.25">
      <c r="A35" s="192"/>
      <c r="B35" s="191"/>
      <c r="C35" s="191"/>
      <c r="D35" s="191"/>
      <c r="E35" s="191"/>
      <c r="F35" s="191"/>
      <c r="G35" s="191"/>
      <c r="H35" s="193"/>
    </row>
    <row r="36" spans="1:8" s="189" customFormat="1" x14ac:dyDescent="0.25">
      <c r="A36" s="192"/>
      <c r="B36" s="191"/>
      <c r="C36" s="191"/>
      <c r="D36" s="191"/>
      <c r="E36" s="191"/>
      <c r="F36" s="191"/>
      <c r="G36" s="191"/>
      <c r="H36" s="193"/>
    </row>
    <row r="37" spans="1:8" s="189" customFormat="1" x14ac:dyDescent="0.25">
      <c r="A37" s="196"/>
      <c r="B37" s="197"/>
      <c r="C37" s="198"/>
      <c r="D37" s="198"/>
      <c r="E37" s="198"/>
      <c r="F37" s="198"/>
      <c r="G37" s="199"/>
      <c r="H37" s="200"/>
    </row>
    <row r="38" spans="1:8" s="189" customFormat="1" x14ac:dyDescent="0.25">
      <c r="A38" s="196"/>
      <c r="B38" s="197"/>
      <c r="C38" s="198"/>
      <c r="D38" s="198"/>
      <c r="E38" s="198"/>
      <c r="F38" s="198"/>
      <c r="G38" s="199"/>
      <c r="H38" s="200"/>
    </row>
    <row r="39" spans="1:8" s="189" customFormat="1" x14ac:dyDescent="0.25">
      <c r="A39" s="196"/>
      <c r="B39" s="197"/>
      <c r="C39" s="198"/>
      <c r="D39" s="198"/>
      <c r="E39" s="198"/>
      <c r="F39" s="198"/>
      <c r="G39" s="199"/>
      <c r="H39" s="200"/>
    </row>
    <row r="40" spans="1:8" s="189" customFormat="1" x14ac:dyDescent="0.25">
      <c r="A40" s="196"/>
      <c r="B40" s="197"/>
      <c r="C40" s="198"/>
      <c r="D40" s="198"/>
      <c r="E40" s="198"/>
      <c r="F40" s="198"/>
      <c r="G40" s="199"/>
      <c r="H40" s="200"/>
    </row>
    <row r="41" spans="1:8" s="189" customFormat="1" x14ac:dyDescent="0.25">
      <c r="A41" s="196"/>
      <c r="B41" s="197"/>
      <c r="C41" s="198"/>
      <c r="D41" s="198"/>
      <c r="E41" s="198"/>
      <c r="F41" s="198"/>
      <c r="G41" s="199"/>
      <c r="H41" s="200"/>
    </row>
    <row r="42" spans="1:8" s="189" customFormat="1" x14ac:dyDescent="0.25">
      <c r="A42" s="196"/>
      <c r="B42" s="197"/>
      <c r="C42" s="198"/>
      <c r="D42" s="198"/>
      <c r="E42" s="198"/>
      <c r="F42" s="198"/>
      <c r="G42" s="199"/>
      <c r="H42" s="200"/>
    </row>
    <row r="43" spans="1:8" s="189" customFormat="1" x14ac:dyDescent="0.25">
      <c r="A43" s="196"/>
      <c r="B43" s="197"/>
      <c r="C43" s="198"/>
      <c r="D43" s="198"/>
      <c r="E43" s="198"/>
      <c r="F43" s="198"/>
      <c r="G43" s="199"/>
      <c r="H43" s="200"/>
    </row>
    <row r="44" spans="1:8" s="189" customFormat="1" x14ac:dyDescent="0.25">
      <c r="A44" s="196"/>
      <c r="B44" s="197"/>
      <c r="C44" s="198"/>
      <c r="D44" s="198"/>
      <c r="E44" s="198"/>
      <c r="F44" s="198"/>
      <c r="G44" s="199"/>
      <c r="H44" s="200"/>
    </row>
    <row r="45" spans="1:8" s="189" customFormat="1" x14ac:dyDescent="0.25">
      <c r="A45" s="196"/>
      <c r="B45" s="197"/>
      <c r="C45" s="198"/>
      <c r="D45" s="198"/>
      <c r="E45" s="198"/>
      <c r="F45" s="198"/>
      <c r="G45" s="199"/>
      <c r="H45" s="200"/>
    </row>
    <row r="46" spans="1:8" s="189" customFormat="1" x14ac:dyDescent="0.25">
      <c r="A46" s="196"/>
      <c r="B46" s="197"/>
      <c r="C46" s="198"/>
      <c r="D46" s="198"/>
      <c r="E46" s="198"/>
      <c r="F46" s="198"/>
      <c r="G46" s="199"/>
      <c r="H46" s="200"/>
    </row>
    <row r="47" spans="1:8" s="189" customFormat="1" x14ac:dyDescent="0.25">
      <c r="A47" s="196"/>
      <c r="B47" s="197"/>
      <c r="C47" s="198"/>
      <c r="D47" s="198"/>
      <c r="E47" s="198"/>
      <c r="F47" s="198"/>
      <c r="G47" s="199"/>
      <c r="H47" s="200"/>
    </row>
    <row r="48" spans="1:8" s="189" customFormat="1" x14ac:dyDescent="0.25">
      <c r="A48" s="196"/>
      <c r="B48" s="197"/>
      <c r="C48" s="198"/>
      <c r="D48" s="198"/>
      <c r="E48" s="198"/>
      <c r="F48" s="198"/>
      <c r="G48" s="199"/>
      <c r="H48" s="200"/>
    </row>
    <row r="49" spans="1:36" s="189" customFormat="1" x14ac:dyDescent="0.25">
      <c r="A49" s="196"/>
      <c r="B49" s="197"/>
      <c r="C49" s="198"/>
      <c r="D49" s="198"/>
      <c r="E49" s="201"/>
      <c r="F49" s="198"/>
      <c r="G49" s="199"/>
      <c r="H49" s="200"/>
    </row>
    <row r="50" spans="1:36" s="189" customFormat="1" x14ac:dyDescent="0.25">
      <c r="A50" s="196"/>
      <c r="B50" s="197"/>
      <c r="C50" s="198"/>
      <c r="D50" s="198"/>
      <c r="E50" s="198"/>
      <c r="F50" s="198"/>
      <c r="G50" s="199"/>
      <c r="H50" s="200"/>
    </row>
    <row r="51" spans="1:36" s="189" customFormat="1" x14ac:dyDescent="0.25">
      <c r="A51" s="196"/>
      <c r="B51" s="197"/>
      <c r="C51" s="198"/>
      <c r="D51" s="198"/>
      <c r="E51" s="198"/>
      <c r="F51" s="198"/>
      <c r="G51" s="199"/>
      <c r="H51" s="200"/>
    </row>
    <row r="52" spans="1:36" s="189" customFormat="1" x14ac:dyDescent="0.25">
      <c r="A52" s="196"/>
      <c r="B52" s="197"/>
      <c r="C52" s="198"/>
      <c r="D52" s="198"/>
      <c r="E52" s="198"/>
      <c r="F52" s="198"/>
      <c r="G52" s="199"/>
      <c r="H52" s="200"/>
    </row>
    <row r="53" spans="1:36" s="189" customFormat="1" x14ac:dyDescent="0.25">
      <c r="A53" s="196"/>
      <c r="B53" s="197"/>
      <c r="C53" s="198"/>
      <c r="D53" s="198"/>
      <c r="E53" s="198"/>
      <c r="F53" s="198"/>
      <c r="G53" s="199"/>
      <c r="H53" s="200"/>
    </row>
    <row r="54" spans="1:36" s="189" customFormat="1" x14ac:dyDescent="0.25">
      <c r="A54" s="196"/>
      <c r="B54" s="197"/>
      <c r="C54" s="198"/>
      <c r="D54" s="198"/>
      <c r="E54" s="198"/>
      <c r="F54" s="198"/>
      <c r="G54" s="199"/>
      <c r="H54" s="200"/>
    </row>
    <row r="55" spans="1:36" s="189" customFormat="1" x14ac:dyDescent="0.25">
      <c r="A55" s="196"/>
      <c r="B55" s="197"/>
      <c r="C55" s="198"/>
      <c r="D55" s="198"/>
      <c r="E55" s="198"/>
      <c r="F55" s="198"/>
      <c r="G55" s="199"/>
      <c r="H55" s="200"/>
    </row>
    <row r="56" spans="1:36" s="189" customFormat="1" x14ac:dyDescent="0.25">
      <c r="A56" s="196"/>
      <c r="B56" s="197"/>
      <c r="C56" s="198"/>
      <c r="D56" s="198"/>
      <c r="E56" s="198"/>
      <c r="F56" s="198"/>
      <c r="G56" s="199"/>
      <c r="H56" s="200"/>
    </row>
    <row r="57" spans="1:36" s="189" customFormat="1" x14ac:dyDescent="0.25">
      <c r="A57" s="196"/>
      <c r="B57" s="197"/>
      <c r="C57" s="198"/>
      <c r="D57" s="198"/>
      <c r="E57" s="198"/>
      <c r="F57" s="198"/>
      <c r="G57" s="199"/>
      <c r="H57" s="200"/>
    </row>
    <row r="58" spans="1:36" s="189" customFormat="1" x14ac:dyDescent="0.25">
      <c r="A58" s="196"/>
      <c r="B58" s="197"/>
      <c r="C58" s="198"/>
      <c r="D58" s="198"/>
      <c r="E58" s="198"/>
      <c r="F58" s="198"/>
      <c r="G58" s="199"/>
      <c r="H58" s="200"/>
    </row>
    <row r="59" spans="1:36" s="189" customFormat="1" x14ac:dyDescent="0.25">
      <c r="A59" s="196"/>
      <c r="B59" s="197"/>
      <c r="C59" s="198"/>
      <c r="D59" s="198"/>
      <c r="E59" s="198"/>
      <c r="F59" s="198"/>
      <c r="G59" s="199"/>
      <c r="H59" s="200"/>
    </row>
    <row r="60" spans="1:36" s="189" customFormat="1" x14ac:dyDescent="0.25">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row>
    <row r="61" spans="1:36" s="189" customFormat="1" x14ac:dyDescent="0.25">
      <c r="A61" s="203" t="str">
        <f>+Innhold!B123</f>
        <v>Finans Norge / Skadestatistikk</v>
      </c>
      <c r="H61" s="211">
        <v>4</v>
      </c>
      <c r="I61" s="203" t="str">
        <f>+Innhold!B123</f>
        <v>Finans Norge / Skadestatistikk</v>
      </c>
      <c r="O61" s="211">
        <v>5</v>
      </c>
      <c r="P61" s="203" t="str">
        <f>+Innhold!B123</f>
        <v>Finans Norge / Skadestatistikk</v>
      </c>
      <c r="V61" s="211">
        <v>6</v>
      </c>
      <c r="W61" s="203" t="str">
        <f>+Innhold!B123</f>
        <v>Finans Norge / Skadestatistikk</v>
      </c>
      <c r="AC61" s="211">
        <v>7</v>
      </c>
      <c r="AD61" s="203" t="str">
        <f>+Innhold!B123</f>
        <v>Finans Norge / Skadestatistikk</v>
      </c>
      <c r="AJ61" s="211">
        <v>8</v>
      </c>
    </row>
    <row r="62" spans="1:36" s="189" customFormat="1" x14ac:dyDescent="0.25">
      <c r="A62" s="203" t="str">
        <f>+Innhold!B124</f>
        <v>Skadestatistikk for landbasert forsikring 1. kvartal 2017</v>
      </c>
      <c r="H62" s="212"/>
      <c r="I62" s="203" t="str">
        <f>+Innhold!B124</f>
        <v>Skadestatistikk for landbasert forsikring 1. kvartal 2017</v>
      </c>
      <c r="O62" s="212"/>
      <c r="P62" s="203" t="str">
        <f>+Innhold!B124</f>
        <v>Skadestatistikk for landbasert forsikring 1. kvartal 2017</v>
      </c>
      <c r="V62" s="212"/>
      <c r="W62" s="203" t="str">
        <f>+Innhold!B124</f>
        <v>Skadestatistikk for landbasert forsikring 1. kvartal 2017</v>
      </c>
      <c r="AC62" s="212"/>
      <c r="AD62" s="203" t="str">
        <f>+Innhold!B124</f>
        <v>Skadestatistikk for landbasert forsikring 1. kvartal 2017</v>
      </c>
      <c r="AJ62" s="212"/>
    </row>
    <row r="63" spans="1:36" s="189" customFormat="1" x14ac:dyDescent="0.25"/>
    <row r="64" spans="1:36" s="189" customFormat="1" x14ac:dyDescent="0.25"/>
    <row r="65" spans="1:26" s="189" customFormat="1" x14ac:dyDescent="0.25"/>
    <row r="66" spans="1:26" s="189" customFormat="1" x14ac:dyDescent="0.25"/>
    <row r="67" spans="1:26" s="189" customFormat="1" ht="12.75" customHeight="1" x14ac:dyDescent="0.25"/>
    <row r="68" spans="1:26" ht="12.75" customHeight="1" x14ac:dyDescent="0.25">
      <c r="M68" s="162" t="s">
        <v>178</v>
      </c>
      <c r="P68" s="162" t="s">
        <v>180</v>
      </c>
      <c r="S68" s="162" t="s">
        <v>179</v>
      </c>
    </row>
    <row r="69" spans="1:26" x14ac:dyDescent="0.25">
      <c r="A69" s="163" t="s">
        <v>184</v>
      </c>
      <c r="B69" s="164"/>
      <c r="C69" s="164"/>
      <c r="D69" s="164" t="s">
        <v>74</v>
      </c>
      <c r="E69" s="164"/>
      <c r="F69" s="164"/>
      <c r="G69" s="164"/>
      <c r="H69" s="163"/>
      <c r="I69" s="165">
        <v>147.6</v>
      </c>
      <c r="J69" s="166" t="s">
        <v>234</v>
      </c>
      <c r="M69" s="162" t="s">
        <v>162</v>
      </c>
      <c r="P69" s="162" t="s">
        <v>176</v>
      </c>
      <c r="S69" s="162" t="s">
        <v>177</v>
      </c>
      <c r="V69" s="163" t="s">
        <v>185</v>
      </c>
      <c r="W69" s="164"/>
      <c r="X69" s="164"/>
      <c r="Y69" s="164"/>
      <c r="Z69" s="164"/>
    </row>
    <row r="70" spans="1:26" x14ac:dyDescent="0.25">
      <c r="A70" s="164" t="s">
        <v>75</v>
      </c>
      <c r="B70" s="164" t="s">
        <v>76</v>
      </c>
      <c r="C70" s="164" t="s">
        <v>26</v>
      </c>
      <c r="D70" s="164" t="s">
        <v>77</v>
      </c>
      <c r="E70" s="164"/>
      <c r="F70" s="164"/>
      <c r="G70" s="164"/>
      <c r="I70" s="167" t="s">
        <v>160</v>
      </c>
      <c r="J70" s="161" t="s">
        <v>233</v>
      </c>
      <c r="K70" s="167" t="s">
        <v>76</v>
      </c>
      <c r="L70" s="167" t="s">
        <v>108</v>
      </c>
      <c r="M70" s="167" t="s">
        <v>158</v>
      </c>
      <c r="N70" s="167" t="s">
        <v>159</v>
      </c>
      <c r="O70" s="167" t="s">
        <v>108</v>
      </c>
      <c r="P70" s="167" t="s">
        <v>158</v>
      </c>
      <c r="Q70" s="167" t="s">
        <v>159</v>
      </c>
      <c r="R70" s="167" t="s">
        <v>108</v>
      </c>
      <c r="S70" s="167" t="s">
        <v>158</v>
      </c>
      <c r="T70" s="167" t="s">
        <v>159</v>
      </c>
      <c r="V70" s="164" t="s">
        <v>81</v>
      </c>
      <c r="W70" s="164"/>
      <c r="X70" s="168" t="str">
        <f>+'Tab3'!C6</f>
        <v>2016</v>
      </c>
      <c r="Y70" s="168" t="str">
        <f>+'Tab3'!D6</f>
        <v>2017</v>
      </c>
      <c r="Z70" s="168" t="str">
        <f>+'Tab3'!E6</f>
        <v>2018</v>
      </c>
    </row>
    <row r="71" spans="1:26" x14ac:dyDescent="0.25">
      <c r="A71" s="164">
        <v>1</v>
      </c>
      <c r="B71" s="164">
        <v>1983</v>
      </c>
      <c r="C71" s="164">
        <v>97</v>
      </c>
      <c r="D71" s="164">
        <v>78.3</v>
      </c>
      <c r="E71" s="164"/>
      <c r="F71" s="164"/>
      <c r="G71" s="164"/>
      <c r="I71" s="169">
        <v>53.8</v>
      </c>
      <c r="J71" s="161">
        <v>1</v>
      </c>
      <c r="K71" s="161">
        <v>1983</v>
      </c>
      <c r="L71" s="170">
        <v>11621</v>
      </c>
      <c r="M71" s="169">
        <v>80.900000000000006</v>
      </c>
      <c r="N71" s="169">
        <f t="shared" ref="N71:N102" si="0">M71/I71*$I$69</f>
        <v>221.94869888475839</v>
      </c>
      <c r="V71" s="164"/>
      <c r="W71" s="164"/>
      <c r="X71" s="164"/>
      <c r="Y71" s="164"/>
      <c r="Z71" s="164"/>
    </row>
    <row r="72" spans="1:26" x14ac:dyDescent="0.25">
      <c r="A72" s="164">
        <v>2</v>
      </c>
      <c r="B72" s="164"/>
      <c r="C72" s="164">
        <v>78.8</v>
      </c>
      <c r="D72" s="164">
        <v>61.3</v>
      </c>
      <c r="E72" s="164"/>
      <c r="F72" s="164"/>
      <c r="G72" s="164"/>
      <c r="I72" s="169">
        <v>54.7</v>
      </c>
      <c r="J72" s="161">
        <v>2</v>
      </c>
      <c r="L72" s="170">
        <v>11120</v>
      </c>
      <c r="M72" s="169">
        <v>68.900000000000006</v>
      </c>
      <c r="N72" s="169">
        <f t="shared" si="0"/>
        <v>185.9166361974406</v>
      </c>
      <c r="V72" s="164" t="s">
        <v>26</v>
      </c>
      <c r="W72" s="164"/>
      <c r="X72" s="171">
        <f>IF('Tab6'!C36="",'Tab6'!C35,'Tab6'!C36)</f>
        <v>6855.4397291160003</v>
      </c>
      <c r="Y72" s="171">
        <f>IF('Tab6'!D36="",'Tab6'!D35,'Tab6'!D36)</f>
        <v>7089.2407625659998</v>
      </c>
      <c r="Z72" s="171">
        <f>IF('Tab6'!E36="",'Tab6'!E35,'Tab6'!E36)</f>
        <v>7698.8709484339997</v>
      </c>
    </row>
    <row r="73" spans="1:26" x14ac:dyDescent="0.25">
      <c r="A73" s="164">
        <v>3</v>
      </c>
      <c r="B73" s="164"/>
      <c r="C73" s="164">
        <v>84.8</v>
      </c>
      <c r="D73" s="164">
        <v>63</v>
      </c>
      <c r="E73" s="164"/>
      <c r="F73" s="164"/>
      <c r="G73" s="164"/>
      <c r="I73" s="169">
        <v>55.3</v>
      </c>
      <c r="J73" s="161">
        <v>3</v>
      </c>
      <c r="L73" s="170">
        <v>11918</v>
      </c>
      <c r="M73" s="169">
        <v>63.7</v>
      </c>
      <c r="N73" s="169">
        <f t="shared" si="0"/>
        <v>170.02025316455698</v>
      </c>
      <c r="V73" s="164"/>
      <c r="W73" s="164"/>
      <c r="X73" s="171"/>
      <c r="Y73" s="171"/>
      <c r="Z73" s="171"/>
    </row>
    <row r="74" spans="1:26" x14ac:dyDescent="0.25">
      <c r="A74" s="164">
        <v>4</v>
      </c>
      <c r="B74" s="164"/>
      <c r="C74" s="164">
        <v>91.2</v>
      </c>
      <c r="D74" s="164">
        <v>70.8</v>
      </c>
      <c r="E74" s="164"/>
      <c r="F74" s="164"/>
      <c r="G74" s="164"/>
      <c r="I74" s="169">
        <v>56.2</v>
      </c>
      <c r="J74" s="161">
        <v>4</v>
      </c>
      <c r="L74" s="170">
        <v>11905</v>
      </c>
      <c r="M74" s="169">
        <v>79.3</v>
      </c>
      <c r="N74" s="169">
        <f t="shared" si="0"/>
        <v>208.26832740213521</v>
      </c>
      <c r="V74" s="164" t="s">
        <v>63</v>
      </c>
      <c r="W74" s="164"/>
      <c r="X74" s="171">
        <f>IF('Tab6'!C36="",'Tab6'!C45+'Tab6'!C47,'Tab6'!C46+'Tab6'!C48)</f>
        <v>95.491190571000004</v>
      </c>
      <c r="Y74" s="171">
        <f>IF('Tab6'!D36="",'Tab6'!D45+'Tab6'!D47,'Tab6'!D46+'Tab6'!D48)</f>
        <v>92.777836121000007</v>
      </c>
      <c r="Z74" s="171">
        <f>IF('Tab6'!E36="",'Tab6'!E45+'Tab6'!E47,'Tab6'!E46+'Tab6'!E48)</f>
        <v>93.279085987000002</v>
      </c>
    </row>
    <row r="75" spans="1:26" x14ac:dyDescent="0.25">
      <c r="A75" s="164">
        <v>1</v>
      </c>
      <c r="B75" s="164">
        <v>1984</v>
      </c>
      <c r="C75" s="164">
        <v>112.2</v>
      </c>
      <c r="D75" s="164">
        <v>90.4</v>
      </c>
      <c r="E75" s="164"/>
      <c r="F75" s="164"/>
      <c r="G75" s="164"/>
      <c r="I75" s="169">
        <v>57.3</v>
      </c>
      <c r="J75" s="161">
        <v>1</v>
      </c>
      <c r="K75" s="161">
        <v>1984</v>
      </c>
      <c r="L75" s="170">
        <v>13205</v>
      </c>
      <c r="M75" s="169">
        <v>86.7</v>
      </c>
      <c r="N75" s="169">
        <f t="shared" si="0"/>
        <v>223.3319371727749</v>
      </c>
      <c r="V75" s="164" t="s">
        <v>39</v>
      </c>
      <c r="W75" s="164"/>
      <c r="X75" s="171">
        <f>IF('Tab6'!C36="",'Tab6'!C49,'Tab6'!C50)</f>
        <v>800.29901959899996</v>
      </c>
      <c r="Y75" s="171">
        <f>IF('Tab6'!D36="",'Tab6'!D49,'Tab6'!D50)</f>
        <v>835.24716621200002</v>
      </c>
      <c r="Z75" s="171">
        <f>IF('Tab6'!E36="",'Tab6'!E49,'Tab6'!E50)</f>
        <v>812.75420314799999</v>
      </c>
    </row>
    <row r="76" spans="1:26" x14ac:dyDescent="0.25">
      <c r="A76" s="164">
        <v>2</v>
      </c>
      <c r="B76" s="164"/>
      <c r="C76" s="164">
        <v>81.8</v>
      </c>
      <c r="D76" s="164">
        <v>64.400000000000006</v>
      </c>
      <c r="E76" s="164"/>
      <c r="F76" s="164"/>
      <c r="G76" s="164"/>
      <c r="I76" s="169">
        <v>58.2</v>
      </c>
      <c r="J76" s="161">
        <v>2</v>
      </c>
      <c r="L76" s="170">
        <v>12453</v>
      </c>
      <c r="M76" s="169">
        <v>83.3</v>
      </c>
      <c r="N76" s="169">
        <f t="shared" si="0"/>
        <v>211.25567010309274</v>
      </c>
      <c r="V76" s="164" t="s">
        <v>18</v>
      </c>
      <c r="W76" s="164"/>
      <c r="X76" s="171">
        <f>IF('Tab6'!C36="",'Tab6'!C43,'Tab6'!C44)</f>
        <v>100.954190002</v>
      </c>
      <c r="Y76" s="171">
        <f>IF('Tab6'!D36="",'Tab6'!D43,'Tab6'!D44)</f>
        <v>121.011253078</v>
      </c>
      <c r="Z76" s="171">
        <f>IF('Tab6'!E36="",'Tab6'!E43,'Tab6'!E44)</f>
        <v>139.06257217300001</v>
      </c>
    </row>
    <row r="77" spans="1:26" x14ac:dyDescent="0.25">
      <c r="A77" s="164">
        <v>3</v>
      </c>
      <c r="B77" s="164"/>
      <c r="C77" s="164">
        <v>90.4</v>
      </c>
      <c r="D77" s="164">
        <v>71.099999999999994</v>
      </c>
      <c r="E77" s="164"/>
      <c r="F77" s="164"/>
      <c r="G77" s="164"/>
      <c r="I77" s="169">
        <v>58.7</v>
      </c>
      <c r="J77" s="161">
        <v>3</v>
      </c>
      <c r="L77" s="170">
        <v>12278</v>
      </c>
      <c r="M77" s="169">
        <v>83.3</v>
      </c>
      <c r="N77" s="169">
        <f t="shared" si="0"/>
        <v>209.4562180579216</v>
      </c>
      <c r="V77" s="164" t="s">
        <v>82</v>
      </c>
      <c r="W77" s="164"/>
      <c r="X77" s="171">
        <f>IF('Tab6'!C36="",'Tab6'!C37+'Tab6'!C39,'Tab6'!C38+'Tab6'!C40)</f>
        <v>817.20408244999999</v>
      </c>
      <c r="Y77" s="171">
        <f>IF('Tab6'!D36="",'Tab6'!D37+'Tab6'!D39,'Tab6'!D38+'Tab6'!D40)</f>
        <v>749.95290982799997</v>
      </c>
      <c r="Z77" s="171">
        <f>IF('Tab6'!E36="",'Tab6'!E37+'Tab6'!E39,'Tab6'!E38+'Tab6'!E40)</f>
        <v>654.66372392799997</v>
      </c>
    </row>
    <row r="78" spans="1:26" x14ac:dyDescent="0.25">
      <c r="A78" s="164">
        <v>4</v>
      </c>
      <c r="B78" s="164"/>
      <c r="C78" s="164">
        <v>92.9</v>
      </c>
      <c r="D78" s="164">
        <v>73.900000000000006</v>
      </c>
      <c r="E78" s="164"/>
      <c r="F78" s="164"/>
      <c r="G78" s="164"/>
      <c r="I78" s="169">
        <v>59.6</v>
      </c>
      <c r="J78" s="161">
        <v>4</v>
      </c>
      <c r="L78" s="170">
        <v>11449</v>
      </c>
      <c r="M78" s="169">
        <v>94.6</v>
      </c>
      <c r="N78" s="169">
        <f t="shared" si="0"/>
        <v>234.27785234899324</v>
      </c>
      <c r="V78" s="164" t="s">
        <v>83</v>
      </c>
      <c r="W78" s="164"/>
      <c r="X78" s="172">
        <f>X72-X77-X76-X75-X74</f>
        <v>5041.4912464940007</v>
      </c>
      <c r="Y78" s="172">
        <f>Y72-Y77-Y76-Y75-Y74</f>
        <v>5290.2515973270001</v>
      </c>
      <c r="Z78" s="172">
        <f>Z72-Z77-Z76-Z75-Z74</f>
        <v>5999.1113631979997</v>
      </c>
    </row>
    <row r="79" spans="1:26" x14ac:dyDescent="0.25">
      <c r="A79" s="164">
        <v>1</v>
      </c>
      <c r="B79" s="164">
        <v>1985</v>
      </c>
      <c r="C79" s="164">
        <v>123.4</v>
      </c>
      <c r="D79" s="164">
        <v>100.8</v>
      </c>
      <c r="E79" s="164"/>
      <c r="F79" s="164"/>
      <c r="G79" s="164"/>
      <c r="I79" s="169">
        <v>60.4</v>
      </c>
      <c r="J79" s="161">
        <v>1</v>
      </c>
      <c r="K79" s="161">
        <v>1985</v>
      </c>
      <c r="L79" s="170">
        <v>16918</v>
      </c>
      <c r="M79" s="169">
        <v>103.6</v>
      </c>
      <c r="N79" s="169">
        <f t="shared" si="0"/>
        <v>253.16821192052979</v>
      </c>
      <c r="V79" s="164"/>
      <c r="W79" s="164"/>
      <c r="X79" s="164"/>
      <c r="Y79" s="164"/>
      <c r="Z79" s="164"/>
    </row>
    <row r="80" spans="1:26" x14ac:dyDescent="0.25">
      <c r="A80" s="164">
        <v>2</v>
      </c>
      <c r="B80" s="164"/>
      <c r="C80" s="164">
        <v>102</v>
      </c>
      <c r="D80" s="164">
        <v>81.099999999999994</v>
      </c>
      <c r="E80" s="164"/>
      <c r="F80" s="164"/>
      <c r="G80" s="164"/>
      <c r="I80" s="169">
        <v>61.5</v>
      </c>
      <c r="J80" s="161">
        <v>2</v>
      </c>
      <c r="L80" s="170">
        <v>14237</v>
      </c>
      <c r="M80" s="169">
        <v>115.3</v>
      </c>
      <c r="N80" s="169">
        <f t="shared" si="0"/>
        <v>276.71999999999997</v>
      </c>
      <c r="V80" s="163" t="s">
        <v>163</v>
      </c>
      <c r="W80" s="164"/>
      <c r="X80" s="164"/>
      <c r="Y80" s="164"/>
    </row>
    <row r="81" spans="1:25" x14ac:dyDescent="0.25">
      <c r="A81" s="164">
        <v>3</v>
      </c>
      <c r="B81" s="164"/>
      <c r="C81" s="164">
        <v>108.4</v>
      </c>
      <c r="D81" s="164">
        <v>86</v>
      </c>
      <c r="E81" s="164"/>
      <c r="F81" s="164"/>
      <c r="G81" s="164"/>
      <c r="I81" s="169">
        <v>62</v>
      </c>
      <c r="J81" s="161">
        <v>3</v>
      </c>
      <c r="L81" s="170">
        <v>14329</v>
      </c>
      <c r="M81" s="169">
        <v>103</v>
      </c>
      <c r="N81" s="169">
        <f t="shared" si="0"/>
        <v>245.20645161290324</v>
      </c>
      <c r="V81" s="164"/>
      <c r="W81" s="164"/>
      <c r="X81" s="164"/>
      <c r="Y81" s="164"/>
    </row>
    <row r="82" spans="1:25" x14ac:dyDescent="0.25">
      <c r="A82" s="164">
        <v>4</v>
      </c>
      <c r="B82" s="164"/>
      <c r="C82" s="164">
        <v>109.6</v>
      </c>
      <c r="D82" s="164">
        <v>87.1</v>
      </c>
      <c r="E82" s="164"/>
      <c r="F82" s="164"/>
      <c r="G82" s="164"/>
      <c r="I82" s="169">
        <v>63</v>
      </c>
      <c r="J82" s="161">
        <v>4</v>
      </c>
      <c r="L82" s="170">
        <v>13060</v>
      </c>
      <c r="M82" s="169">
        <v>118.7</v>
      </c>
      <c r="N82" s="169">
        <f t="shared" si="0"/>
        <v>278.09714285714284</v>
      </c>
      <c r="V82" s="164"/>
      <c r="W82" s="168" t="str">
        <f>+'Tab4'!C6</f>
        <v>2016</v>
      </c>
      <c r="X82" s="168" t="str">
        <f>+'Tab4'!D6</f>
        <v>2017</v>
      </c>
      <c r="Y82" s="168" t="str">
        <f>+'Tab4'!E6</f>
        <v>2018</v>
      </c>
    </row>
    <row r="83" spans="1:25" x14ac:dyDescent="0.25">
      <c r="A83" s="164">
        <v>1</v>
      </c>
      <c r="B83" s="164">
        <v>1986</v>
      </c>
      <c r="C83" s="164">
        <v>141</v>
      </c>
      <c r="D83" s="164">
        <v>115.2</v>
      </c>
      <c r="E83" s="164"/>
      <c r="F83" s="164"/>
      <c r="G83" s="164"/>
      <c r="I83" s="169">
        <v>64</v>
      </c>
      <c r="J83" s="161">
        <v>1</v>
      </c>
      <c r="K83" s="161">
        <v>1986</v>
      </c>
      <c r="L83" s="170">
        <v>14314</v>
      </c>
      <c r="M83" s="169">
        <v>111.8</v>
      </c>
      <c r="N83" s="169">
        <f t="shared" si="0"/>
        <v>257.83875</v>
      </c>
      <c r="V83" s="164" t="s">
        <v>84</v>
      </c>
      <c r="W83" s="171">
        <f>IF('Tab4'!C14="",'Tab4'!C13,'Tab4'!C14)</f>
        <v>3395.008061944</v>
      </c>
      <c r="X83" s="171">
        <f>IF('Tab4'!D14="",'Tab4'!D13,'Tab4'!D14)</f>
        <v>3523.3386332619998</v>
      </c>
      <c r="Y83" s="171">
        <f>IF('Tab4'!E14="",'Tab4'!E13,'Tab4'!E14)</f>
        <v>4388.2652719300004</v>
      </c>
    </row>
    <row r="84" spans="1:25" x14ac:dyDescent="0.25">
      <c r="A84" s="164">
        <v>2</v>
      </c>
      <c r="B84" s="164"/>
      <c r="C84" s="164">
        <v>120.5</v>
      </c>
      <c r="D84" s="164">
        <v>93.2</v>
      </c>
      <c r="E84" s="164"/>
      <c r="F84" s="164"/>
      <c r="G84" s="164"/>
      <c r="I84" s="169">
        <v>65</v>
      </c>
      <c r="J84" s="161">
        <v>2</v>
      </c>
      <c r="L84" s="170">
        <v>13505</v>
      </c>
      <c r="M84" s="169">
        <v>121.5</v>
      </c>
      <c r="N84" s="169">
        <f t="shared" si="0"/>
        <v>275.8984615384615</v>
      </c>
      <c r="V84" s="164" t="s">
        <v>170</v>
      </c>
      <c r="W84" s="171">
        <f>IF('Tab4'!C16="",'Tab4'!C15,'Tab4'!C16)</f>
        <v>2460.811699936</v>
      </c>
      <c r="X84" s="171">
        <f>IF('Tab4'!D16="",'Tab4'!D15,'Tab4'!D16)</f>
        <v>2985.487429965</v>
      </c>
      <c r="Y84" s="171">
        <f>IF('Tab4'!E16="",'Tab4'!E15,'Tab4'!E16)</f>
        <v>2968.4968054679998</v>
      </c>
    </row>
    <row r="85" spans="1:25" x14ac:dyDescent="0.25">
      <c r="A85" s="164">
        <v>3</v>
      </c>
      <c r="B85" s="164"/>
      <c r="C85" s="164">
        <v>115.7</v>
      </c>
      <c r="D85" s="164">
        <v>91.1</v>
      </c>
      <c r="E85" s="164"/>
      <c r="F85" s="164"/>
      <c r="G85" s="164"/>
      <c r="I85" s="169">
        <v>67</v>
      </c>
      <c r="J85" s="161">
        <v>3</v>
      </c>
      <c r="L85" s="170">
        <v>12132</v>
      </c>
      <c r="M85" s="169">
        <v>100.8</v>
      </c>
      <c r="N85" s="169">
        <f t="shared" si="0"/>
        <v>222.06089552238805</v>
      </c>
      <c r="V85" s="164" t="s">
        <v>7</v>
      </c>
      <c r="W85" s="171">
        <f>IF('Tab4'!C18="",'Tab4'!C17,'Tab4'!C18)</f>
        <v>1005.193879384</v>
      </c>
      <c r="X85" s="171">
        <f>IF('Tab4'!D18="",'Tab4'!D17,'Tab4'!D18)</f>
        <v>1025.8261380930001</v>
      </c>
      <c r="Y85" s="171">
        <f>IF('Tab4'!E18="",'Tab4'!E17,'Tab4'!E18)</f>
        <v>928.78469140599998</v>
      </c>
    </row>
    <row r="86" spans="1:25" x14ac:dyDescent="0.25">
      <c r="A86" s="164">
        <v>4</v>
      </c>
      <c r="B86" s="164"/>
      <c r="C86" s="164">
        <v>114.4</v>
      </c>
      <c r="D86" s="164">
        <v>90.8</v>
      </c>
      <c r="E86" s="164"/>
      <c r="F86" s="164"/>
      <c r="G86" s="164"/>
      <c r="I86" s="169">
        <v>68.5</v>
      </c>
      <c r="J86" s="161">
        <v>4</v>
      </c>
      <c r="L86" s="170">
        <v>11763</v>
      </c>
      <c r="M86" s="169">
        <v>120.6</v>
      </c>
      <c r="N86" s="169">
        <f t="shared" si="0"/>
        <v>259.86218978102187</v>
      </c>
      <c r="V86" s="161" t="s">
        <v>8</v>
      </c>
      <c r="W86" s="171">
        <f>IF('Tab4'!C20="",'Tab4'!C19,'Tab4'!C20)</f>
        <v>1159.859386956</v>
      </c>
      <c r="X86" s="171">
        <f>IF('Tab4'!D20="",'Tab4'!D19,'Tab4'!D20)</f>
        <v>908.11823416300001</v>
      </c>
      <c r="Y86" s="171">
        <f>IF('Tab4'!E20="",'Tab4'!E19,'Tab4'!E20)</f>
        <v>908.02671589399995</v>
      </c>
    </row>
    <row r="87" spans="1:25" x14ac:dyDescent="0.25">
      <c r="A87" s="164">
        <v>1</v>
      </c>
      <c r="B87" s="164">
        <v>1987</v>
      </c>
      <c r="C87" s="164">
        <v>152.19999999999999</v>
      </c>
      <c r="D87" s="164">
        <v>121.3</v>
      </c>
      <c r="E87" s="164"/>
      <c r="F87" s="164"/>
      <c r="G87" s="164"/>
      <c r="I87" s="169">
        <v>70.5</v>
      </c>
      <c r="J87" s="161">
        <v>1</v>
      </c>
      <c r="K87" s="161">
        <v>1987</v>
      </c>
      <c r="L87" s="170">
        <v>17280</v>
      </c>
      <c r="M87" s="169">
        <v>135.6</v>
      </c>
      <c r="N87" s="169">
        <f t="shared" si="0"/>
        <v>283.89446808510638</v>
      </c>
      <c r="V87" s="164" t="s">
        <v>9</v>
      </c>
      <c r="W87" s="171">
        <f>IF('Tab4'!C20="",'Tab4'!C21,'Tab4'!C22)</f>
        <v>289.64428472700001</v>
      </c>
      <c r="X87" s="171">
        <f>IF('Tab4'!D20="",'Tab4'!D21,'Tab4'!D22)</f>
        <v>259.13745973699997</v>
      </c>
      <c r="Y87" s="171">
        <f>IF('Tab4'!E20="",'Tab4'!E21,'Tab4'!E22)</f>
        <v>288.48809882500001</v>
      </c>
    </row>
    <row r="88" spans="1:25" x14ac:dyDescent="0.25">
      <c r="A88" s="164">
        <v>2</v>
      </c>
      <c r="B88" s="164"/>
      <c r="C88" s="164">
        <v>109.2</v>
      </c>
      <c r="D88" s="164">
        <v>86.1</v>
      </c>
      <c r="E88" s="164"/>
      <c r="F88" s="164"/>
      <c r="G88" s="164"/>
      <c r="I88" s="169">
        <v>71.599999999999994</v>
      </c>
      <c r="J88" s="161">
        <v>2</v>
      </c>
      <c r="L88" s="170">
        <v>12241</v>
      </c>
      <c r="M88" s="169">
        <v>135.9</v>
      </c>
      <c r="N88" s="169">
        <f t="shared" si="0"/>
        <v>280.15139664804474</v>
      </c>
      <c r="V88" s="164" t="s">
        <v>10</v>
      </c>
      <c r="W88" s="171">
        <f>IF('Tab4'!C22="",'Tab4'!C29,'Tab4'!C30)</f>
        <v>1054.3515800069999</v>
      </c>
      <c r="X88" s="171">
        <f>IF('Tab4'!D22="",'Tab4'!D29,'Tab4'!D30)</f>
        <v>1010.191873648</v>
      </c>
      <c r="Y88" s="171">
        <f>IF('Tab4'!E22="",'Tab4'!E29,'Tab4'!E30)</f>
        <v>1085.1063746960001</v>
      </c>
    </row>
    <row r="89" spans="1:25" x14ac:dyDescent="0.25">
      <c r="A89" s="164">
        <v>3</v>
      </c>
      <c r="B89" s="164"/>
      <c r="C89" s="164">
        <v>110.1</v>
      </c>
      <c r="D89" s="164">
        <v>87.3</v>
      </c>
      <c r="E89" s="164"/>
      <c r="F89" s="164"/>
      <c r="G89" s="164"/>
      <c r="I89" s="169">
        <v>72.3</v>
      </c>
      <c r="J89" s="161">
        <v>3</v>
      </c>
      <c r="L89" s="170">
        <v>11506</v>
      </c>
      <c r="M89" s="169">
        <v>112.3</v>
      </c>
      <c r="N89" s="169">
        <f t="shared" si="0"/>
        <v>229.25975103734439</v>
      </c>
      <c r="V89" s="164" t="s">
        <v>11</v>
      </c>
      <c r="W89" s="171">
        <f>IF('Tab4'!C30="",'Tab4'!C31,'Tab4'!C32)</f>
        <v>182.68802268300001</v>
      </c>
      <c r="X89" s="171">
        <f>IF('Tab4'!D30="",'Tab4'!D31,'Tab4'!D32)</f>
        <v>194.09698577200001</v>
      </c>
      <c r="Y89" s="171">
        <f>IF('Tab4'!E30="",'Tab4'!E31,'Tab4'!E32)</f>
        <v>211.626502254</v>
      </c>
    </row>
    <row r="90" spans="1:25" x14ac:dyDescent="0.25">
      <c r="A90" s="164">
        <v>4</v>
      </c>
      <c r="B90" s="164"/>
      <c r="C90" s="164">
        <v>112</v>
      </c>
      <c r="D90" s="164">
        <v>89.8</v>
      </c>
      <c r="E90" s="164"/>
      <c r="F90" s="164"/>
      <c r="G90" s="164"/>
      <c r="I90" s="169">
        <v>73.599999999999994</v>
      </c>
      <c r="J90" s="161">
        <v>4</v>
      </c>
      <c r="L90" s="170">
        <v>12860</v>
      </c>
      <c r="M90" s="169">
        <v>134.5</v>
      </c>
      <c r="N90" s="169">
        <f t="shared" si="0"/>
        <v>269.73097826086956</v>
      </c>
      <c r="V90" s="164" t="s">
        <v>12</v>
      </c>
      <c r="W90" s="171">
        <f>IF('Tab4'!C32="",'Tab4'!C33,'Tab4'!C34)</f>
        <v>523.92029056199999</v>
      </c>
      <c r="X90" s="171">
        <f>IF('Tab4'!D32="",'Tab4'!D33,'Tab4'!D34)</f>
        <v>461.43342745899997</v>
      </c>
      <c r="Y90" s="171">
        <f>IF('Tab4'!E32="",'Tab4'!E33,'Tab4'!E34)</f>
        <v>509.75726957000001</v>
      </c>
    </row>
    <row r="91" spans="1:25" x14ac:dyDescent="0.25">
      <c r="A91" s="164">
        <v>1</v>
      </c>
      <c r="B91" s="164">
        <v>1988</v>
      </c>
      <c r="C91" s="164">
        <v>134.1</v>
      </c>
      <c r="D91" s="164">
        <v>107.5</v>
      </c>
      <c r="E91" s="164"/>
      <c r="F91" s="164"/>
      <c r="G91" s="164"/>
      <c r="I91" s="169">
        <v>75.2</v>
      </c>
      <c r="J91" s="161">
        <v>1</v>
      </c>
      <c r="K91" s="161">
        <v>1988</v>
      </c>
      <c r="L91" s="170">
        <v>10180</v>
      </c>
      <c r="M91" s="169">
        <v>130.80000000000001</v>
      </c>
      <c r="N91" s="169">
        <f t="shared" si="0"/>
        <v>256.72978723404259</v>
      </c>
      <c r="V91" s="164" t="s">
        <v>13</v>
      </c>
      <c r="W91" s="171">
        <f>IF('Tab4'!C34="",'Tab4'!C35,'Tab4'!C36)</f>
        <v>72.478043400999994</v>
      </c>
      <c r="X91" s="171">
        <f>IF('Tab4'!D34="",'Tab4'!D35,'Tab4'!D36)</f>
        <v>46.489193006000001</v>
      </c>
      <c r="Y91" s="171">
        <f>IF('Tab4'!E34="",'Tab4'!E35,'Tab4'!E36)</f>
        <v>116.932610199</v>
      </c>
    </row>
    <row r="92" spans="1:25" x14ac:dyDescent="0.25">
      <c r="A92" s="164">
        <v>2</v>
      </c>
      <c r="B92" s="164"/>
      <c r="C92" s="164">
        <v>113.7</v>
      </c>
      <c r="D92" s="164">
        <v>90</v>
      </c>
      <c r="E92" s="164"/>
      <c r="F92" s="164"/>
      <c r="G92" s="164"/>
      <c r="I92" s="169">
        <v>76.7</v>
      </c>
      <c r="J92" s="161">
        <v>2</v>
      </c>
      <c r="L92" s="170">
        <v>11081</v>
      </c>
      <c r="M92" s="169">
        <v>95.1</v>
      </c>
      <c r="N92" s="169">
        <f t="shared" si="0"/>
        <v>183.00860495436766</v>
      </c>
      <c r="V92" s="164" t="s">
        <v>14</v>
      </c>
      <c r="W92" s="171">
        <f>IF('Tab4'!C38="",'Tab4'!C37,'Tab4'!C38)</f>
        <v>366.61415975100005</v>
      </c>
      <c r="X92" s="171">
        <f>IF('Tab4'!D38="",'Tab4'!D37,'Tab4'!D38)</f>
        <v>363.98026173099998</v>
      </c>
      <c r="Y92" s="171">
        <f>IF('Tab4'!E38="",'Tab4'!E37,'Tab4'!E38)</f>
        <v>407.53106160599998</v>
      </c>
    </row>
    <row r="93" spans="1:25" x14ac:dyDescent="0.25">
      <c r="A93" s="164">
        <v>3</v>
      </c>
      <c r="B93" s="164"/>
      <c r="C93" s="164">
        <v>116.3</v>
      </c>
      <c r="D93" s="164">
        <v>93.1</v>
      </c>
      <c r="E93" s="164"/>
      <c r="F93" s="164"/>
      <c r="G93" s="164"/>
      <c r="I93" s="169">
        <v>77</v>
      </c>
      <c r="J93" s="161">
        <v>3</v>
      </c>
      <c r="L93" s="170">
        <v>15987</v>
      </c>
      <c r="M93" s="169">
        <v>148.69999999999999</v>
      </c>
      <c r="N93" s="169">
        <f t="shared" si="0"/>
        <v>285.04051948051944</v>
      </c>
      <c r="V93" s="164" t="s">
        <v>85</v>
      </c>
      <c r="W93" s="172">
        <f>SUM(W83:W92)</f>
        <v>10510.569409351001</v>
      </c>
      <c r="X93" s="172">
        <f>SUM(X83:X92)</f>
        <v>10778.099636835997</v>
      </c>
      <c r="Y93" s="172">
        <f>SUM(Y83:Y92)</f>
        <v>11813.015401847999</v>
      </c>
    </row>
    <row r="94" spans="1:25" x14ac:dyDescent="0.25">
      <c r="A94" s="164">
        <v>4</v>
      </c>
      <c r="B94" s="164"/>
      <c r="C94" s="164">
        <v>115.2</v>
      </c>
      <c r="D94" s="164">
        <v>93.4</v>
      </c>
      <c r="E94" s="164"/>
      <c r="F94" s="164"/>
      <c r="G94" s="164"/>
      <c r="I94" s="169">
        <v>78.099999999999994</v>
      </c>
      <c r="J94" s="161">
        <v>4</v>
      </c>
      <c r="L94" s="170">
        <v>12493</v>
      </c>
      <c r="M94" s="169">
        <v>199.8</v>
      </c>
      <c r="N94" s="169">
        <f t="shared" si="0"/>
        <v>377.59897567221515</v>
      </c>
      <c r="V94" s="164"/>
      <c r="W94" s="164"/>
      <c r="X94" s="164"/>
      <c r="Y94" s="164"/>
    </row>
    <row r="95" spans="1:25" x14ac:dyDescent="0.25">
      <c r="A95" s="164">
        <v>1</v>
      </c>
      <c r="B95" s="164">
        <v>1989</v>
      </c>
      <c r="C95" s="164">
        <v>106.6</v>
      </c>
      <c r="D95" s="164">
        <v>86.4</v>
      </c>
      <c r="E95" s="164"/>
      <c r="F95" s="164"/>
      <c r="G95" s="164"/>
      <c r="I95" s="169">
        <v>78.900000000000006</v>
      </c>
      <c r="J95" s="161">
        <v>1</v>
      </c>
      <c r="K95" s="161">
        <v>1989</v>
      </c>
      <c r="L95" s="170">
        <v>10988</v>
      </c>
      <c r="M95" s="169">
        <v>142.6</v>
      </c>
      <c r="N95" s="169">
        <f t="shared" si="0"/>
        <v>266.76501901140682</v>
      </c>
      <c r="V95" s="164" t="s">
        <v>171</v>
      </c>
      <c r="W95" s="173">
        <f>+W93+X72</f>
        <v>17366.009138467001</v>
      </c>
      <c r="X95" s="173">
        <f>+X93+Y72</f>
        <v>17867.340399401997</v>
      </c>
      <c r="Y95" s="173">
        <f>+Y93+Z72</f>
        <v>19511.886350281999</v>
      </c>
    </row>
    <row r="96" spans="1:25" x14ac:dyDescent="0.25">
      <c r="A96" s="164">
        <v>2</v>
      </c>
      <c r="B96" s="164"/>
      <c r="C96" s="164">
        <v>98</v>
      </c>
      <c r="D96" s="164">
        <v>79.599999999999994</v>
      </c>
      <c r="E96" s="164"/>
      <c r="F96" s="164"/>
      <c r="G96" s="164"/>
      <c r="I96" s="169">
        <v>80.3</v>
      </c>
      <c r="J96" s="161">
        <v>2</v>
      </c>
      <c r="L96" s="170">
        <v>10292</v>
      </c>
      <c r="M96" s="169">
        <v>117.3</v>
      </c>
      <c r="N96" s="169">
        <f t="shared" si="0"/>
        <v>215.60996264009964</v>
      </c>
    </row>
    <row r="97" spans="1:25" x14ac:dyDescent="0.25">
      <c r="A97" s="164">
        <v>3</v>
      </c>
      <c r="B97" s="164"/>
      <c r="C97" s="164">
        <v>96.9</v>
      </c>
      <c r="D97" s="164">
        <v>79</v>
      </c>
      <c r="E97" s="164"/>
      <c r="F97" s="164"/>
      <c r="G97" s="164"/>
      <c r="I97" s="169">
        <v>80.599999999999994</v>
      </c>
      <c r="J97" s="161">
        <v>3</v>
      </c>
      <c r="L97" s="170">
        <v>11352</v>
      </c>
      <c r="M97" s="169">
        <v>103.6</v>
      </c>
      <c r="N97" s="169">
        <f t="shared" si="0"/>
        <v>189.71910669975185</v>
      </c>
      <c r="Y97" s="164"/>
    </row>
    <row r="98" spans="1:25" x14ac:dyDescent="0.25">
      <c r="A98" s="164">
        <v>4</v>
      </c>
      <c r="B98" s="164"/>
      <c r="C98" s="164">
        <v>93.4</v>
      </c>
      <c r="D98" s="164">
        <v>76.8</v>
      </c>
      <c r="E98" s="164"/>
      <c r="F98" s="164"/>
      <c r="G98" s="164"/>
      <c r="I98" s="169">
        <v>81.400000000000006</v>
      </c>
      <c r="J98" s="161">
        <v>4</v>
      </c>
      <c r="L98" s="170">
        <v>11958</v>
      </c>
      <c r="M98" s="169">
        <v>132</v>
      </c>
      <c r="N98" s="169">
        <f t="shared" si="0"/>
        <v>239.35135135135133</v>
      </c>
      <c r="V98" s="163" t="s">
        <v>186</v>
      </c>
      <c r="W98" s="164"/>
      <c r="X98" s="164"/>
      <c r="Y98" s="164"/>
    </row>
    <row r="99" spans="1:25" x14ac:dyDescent="0.25">
      <c r="A99" s="164">
        <v>1</v>
      </c>
      <c r="B99" s="164">
        <v>1990</v>
      </c>
      <c r="C99" s="164">
        <v>99.4</v>
      </c>
      <c r="D99" s="164">
        <v>81.3</v>
      </c>
      <c r="E99" s="164"/>
      <c r="F99" s="164"/>
      <c r="G99" s="164"/>
      <c r="I99" s="169">
        <v>82.3</v>
      </c>
      <c r="J99" s="161">
        <v>1</v>
      </c>
      <c r="K99" s="161">
        <v>1990</v>
      </c>
      <c r="L99" s="170">
        <v>13741</v>
      </c>
      <c r="M99" s="169">
        <v>142.9</v>
      </c>
      <c r="N99" s="169">
        <f t="shared" si="0"/>
        <v>256.2823815309842</v>
      </c>
      <c r="V99" s="164"/>
      <c r="X99" s="164"/>
      <c r="Y99" s="164"/>
    </row>
    <row r="100" spans="1:25" x14ac:dyDescent="0.25">
      <c r="A100" s="164">
        <v>2</v>
      </c>
      <c r="B100" s="164"/>
      <c r="C100" s="164">
        <v>88.6</v>
      </c>
      <c r="D100" s="164">
        <v>73.099999999999994</v>
      </c>
      <c r="E100" s="164"/>
      <c r="F100" s="164"/>
      <c r="G100" s="164"/>
      <c r="I100" s="169">
        <v>83.4</v>
      </c>
      <c r="J100" s="161">
        <v>2</v>
      </c>
      <c r="L100" s="170">
        <v>10045</v>
      </c>
      <c r="M100" s="169">
        <v>116.5</v>
      </c>
      <c r="N100" s="169">
        <f t="shared" si="0"/>
        <v>206.1798561151079</v>
      </c>
      <c r="V100" s="164"/>
      <c r="W100" s="168" t="str">
        <f>+W82</f>
        <v>2016</v>
      </c>
      <c r="X100" s="168" t="str">
        <f>+X82</f>
        <v>2017</v>
      </c>
      <c r="Y100" s="168" t="str">
        <f>+Y82</f>
        <v>2018</v>
      </c>
    </row>
    <row r="101" spans="1:25" x14ac:dyDescent="0.25">
      <c r="A101" s="164">
        <v>3</v>
      </c>
      <c r="B101" s="164"/>
      <c r="C101" s="164">
        <v>88.2</v>
      </c>
      <c r="D101" s="164">
        <v>72.5</v>
      </c>
      <c r="E101" s="164"/>
      <c r="F101" s="164"/>
      <c r="G101" s="164"/>
      <c r="I101" s="169">
        <v>83.7</v>
      </c>
      <c r="J101" s="161">
        <v>3</v>
      </c>
      <c r="L101" s="170">
        <v>10870</v>
      </c>
      <c r="M101" s="169">
        <v>101.4</v>
      </c>
      <c r="N101" s="169">
        <f t="shared" si="0"/>
        <v>178.81290322580645</v>
      </c>
      <c r="V101" s="164" t="s">
        <v>18</v>
      </c>
      <c r="W101" s="174">
        <f>IF('Tab7'!C10="",+'Tab7'!C9+'Tab11'!C9,+'Tab7'!C10+'Tab11'!C10)</f>
        <v>12067.935357970999</v>
      </c>
      <c r="X101" s="174">
        <f>IF('Tab7'!D10="",+'Tab7'!D9+'Tab11'!D9,+'Tab7'!D10+'Tab11'!D10)</f>
        <v>12131.619408749</v>
      </c>
      <c r="Y101" s="174">
        <f>IF('Tab7'!E10="",+'Tab7'!E9+'Tab11'!E9,+'Tab7'!E10+'Tab11'!E10)</f>
        <v>12186.599271014002</v>
      </c>
    </row>
    <row r="102" spans="1:25" x14ac:dyDescent="0.25">
      <c r="A102" s="164">
        <v>4</v>
      </c>
      <c r="B102" s="164"/>
      <c r="C102" s="164">
        <v>84.8</v>
      </c>
      <c r="D102" s="164">
        <v>70.2</v>
      </c>
      <c r="E102" s="164"/>
      <c r="F102" s="164"/>
      <c r="G102" s="164"/>
      <c r="I102" s="169">
        <v>85.1</v>
      </c>
      <c r="J102" s="161">
        <v>4</v>
      </c>
      <c r="L102" s="170">
        <v>11076</v>
      </c>
      <c r="M102" s="169">
        <v>120</v>
      </c>
      <c r="N102" s="169">
        <f t="shared" si="0"/>
        <v>208.13160987074031</v>
      </c>
      <c r="V102" s="164" t="s">
        <v>86</v>
      </c>
      <c r="W102" s="174">
        <f>IF('Tab7'!C12="",+'Tab7'!C11+'Tab11'!C11,+'Tab7'!C12+'Tab11'!C12)</f>
        <v>39707.453391304996</v>
      </c>
      <c r="X102" s="174">
        <f>IF('Tab7'!D12="",+'Tab7'!D11+'Tab11'!D11,+'Tab7'!D12+'Tab11'!D12)</f>
        <v>36546.508659847001</v>
      </c>
      <c r="Y102" s="174">
        <f>IF('Tab7'!E12="",+'Tab7'!E11+'Tab11'!E11,+'Tab7'!E12+'Tab11'!E12)</f>
        <v>46084.437462450995</v>
      </c>
    </row>
    <row r="103" spans="1:25" x14ac:dyDescent="0.25">
      <c r="A103" s="164">
        <v>1</v>
      </c>
      <c r="B103" s="164">
        <v>1991</v>
      </c>
      <c r="C103" s="164">
        <v>97.5</v>
      </c>
      <c r="D103" s="164">
        <v>82.4</v>
      </c>
      <c r="E103" s="164"/>
      <c r="F103" s="164"/>
      <c r="G103" s="164"/>
      <c r="I103" s="169">
        <v>85.5</v>
      </c>
      <c r="J103" s="161">
        <v>1</v>
      </c>
      <c r="K103" s="161">
        <v>1991</v>
      </c>
      <c r="L103" s="170">
        <v>10172</v>
      </c>
      <c r="M103" s="169">
        <v>130.10000000000002</v>
      </c>
      <c r="N103" s="169">
        <f t="shared" ref="N103:N106" si="1">M103/I103*$I$69</f>
        <v>224.59368421052633</v>
      </c>
      <c r="O103" s="170">
        <v>6727</v>
      </c>
      <c r="P103" s="169">
        <v>376.9</v>
      </c>
      <c r="Q103" s="169">
        <f>P103/I103*$I$69</f>
        <v>650.64842105263142</v>
      </c>
      <c r="R103" s="170">
        <v>9077</v>
      </c>
      <c r="S103" s="169">
        <v>139.9</v>
      </c>
      <c r="T103" s="169">
        <f>S103/I103*$I$69</f>
        <v>241.51157894736841</v>
      </c>
      <c r="V103" s="164" t="s">
        <v>63</v>
      </c>
      <c r="W103" s="174">
        <f>IF('Tab7'!C14="",+'Tab7'!C13+'Tab11'!C13,+'Tab7'!C14+'Tab11'!C14)</f>
        <v>16448.436375776</v>
      </c>
      <c r="X103" s="174">
        <f>IF('Tab7'!D14="",+'Tab7'!D13+'Tab11'!D13,+'Tab7'!D14+'Tab11'!D14)</f>
        <v>13316.301288021999</v>
      </c>
      <c r="Y103" s="174">
        <f>IF('Tab7'!E14="",+'Tab7'!E13+'Tab11'!E13,+'Tab7'!E14+'Tab11'!E14)</f>
        <v>14752.683947205</v>
      </c>
    </row>
    <row r="104" spans="1:25" x14ac:dyDescent="0.25">
      <c r="A104" s="164">
        <v>2</v>
      </c>
      <c r="B104" s="164"/>
      <c r="C104" s="164">
        <v>93.9</v>
      </c>
      <c r="D104" s="164">
        <v>78</v>
      </c>
      <c r="E104" s="164"/>
      <c r="F104" s="164"/>
      <c r="G104" s="164"/>
      <c r="I104" s="169">
        <v>86.6</v>
      </c>
      <c r="J104" s="161">
        <v>2</v>
      </c>
      <c r="L104" s="170">
        <v>10188</v>
      </c>
      <c r="M104" s="169">
        <v>126.69999999999993</v>
      </c>
      <c r="N104" s="169">
        <f t="shared" si="1"/>
        <v>215.9459584295611</v>
      </c>
      <c r="O104" s="170">
        <v>5864</v>
      </c>
      <c r="P104" s="169">
        <v>369.29999999999995</v>
      </c>
      <c r="Q104" s="169">
        <f t="shared" ref="Q104:Q167" si="2">P104/I104*$I$69</f>
        <v>629.43048498845258</v>
      </c>
      <c r="R104" s="170">
        <v>12525</v>
      </c>
      <c r="S104" s="169">
        <v>176.29999999999998</v>
      </c>
      <c r="T104" s="169">
        <f t="shared" ref="T104:T167" si="3">S104/I104*$I$69</f>
        <v>300.4836027713626</v>
      </c>
      <c r="V104" s="164" t="s">
        <v>14</v>
      </c>
      <c r="W104" s="175">
        <f>+W106-SUM(W101:W103)</f>
        <v>105404.83574401498</v>
      </c>
      <c r="X104" s="175">
        <f>+X106-SUM(X101:X103)</f>
        <v>102813.99864433598</v>
      </c>
      <c r="Y104" s="175">
        <f>+Y106-SUM(Y101:Y103)</f>
        <v>119937.321431894</v>
      </c>
    </row>
    <row r="105" spans="1:25" x14ac:dyDescent="0.25">
      <c r="A105" s="164">
        <v>3</v>
      </c>
      <c r="B105" s="164"/>
      <c r="C105" s="164">
        <v>90.2</v>
      </c>
      <c r="D105" s="164">
        <v>76.099999999999994</v>
      </c>
      <c r="E105" s="164"/>
      <c r="F105" s="164"/>
      <c r="G105" s="164"/>
      <c r="I105" s="169">
        <v>86.6</v>
      </c>
      <c r="J105" s="161">
        <v>3</v>
      </c>
      <c r="L105" s="170">
        <v>10621</v>
      </c>
      <c r="M105" s="169">
        <v>132.60000000000002</v>
      </c>
      <c r="N105" s="169">
        <f t="shared" si="1"/>
        <v>226.00184757505778</v>
      </c>
      <c r="O105" s="170">
        <v>7951</v>
      </c>
      <c r="P105" s="169">
        <v>430.9</v>
      </c>
      <c r="Q105" s="169">
        <f t="shared" si="2"/>
        <v>734.42078521939948</v>
      </c>
      <c r="R105" s="170">
        <v>14126</v>
      </c>
      <c r="S105" s="169">
        <v>204.90000000000003</v>
      </c>
      <c r="T105" s="169">
        <f t="shared" si="3"/>
        <v>349.2290993071594</v>
      </c>
      <c r="V105" s="164"/>
      <c r="W105" s="164"/>
      <c r="X105" s="164"/>
      <c r="Y105" s="164"/>
    </row>
    <row r="106" spans="1:25" x14ac:dyDescent="0.25">
      <c r="A106" s="164">
        <v>4</v>
      </c>
      <c r="B106" s="164"/>
      <c r="C106" s="164">
        <v>92.6</v>
      </c>
      <c r="D106" s="164">
        <v>78.099999999999994</v>
      </c>
      <c r="E106" s="164"/>
      <c r="F106" s="164"/>
      <c r="G106" s="164"/>
      <c r="I106" s="169">
        <v>87.3</v>
      </c>
      <c r="J106" s="161">
        <v>4</v>
      </c>
      <c r="L106" s="170">
        <v>11640</v>
      </c>
      <c r="M106" s="169">
        <v>138.20000000000005</v>
      </c>
      <c r="N106" s="169">
        <f t="shared" si="1"/>
        <v>233.65773195876295</v>
      </c>
      <c r="O106" s="170">
        <v>13048</v>
      </c>
      <c r="P106" s="169">
        <v>427.00000000000023</v>
      </c>
      <c r="Q106" s="169">
        <f t="shared" si="2"/>
        <v>721.93814432989734</v>
      </c>
      <c r="R106" s="170">
        <v>13048</v>
      </c>
      <c r="S106" s="169">
        <v>185</v>
      </c>
      <c r="T106" s="169">
        <f t="shared" si="3"/>
        <v>312.78350515463916</v>
      </c>
      <c r="V106" s="164" t="s">
        <v>87</v>
      </c>
      <c r="W106" s="174">
        <f>IF('Tab7'!C8="",+'Tab7'!C7+'Tab11'!C7,+'Tab7'!C8+'Tab11'!C8)</f>
        <v>173628.66086906698</v>
      </c>
      <c r="X106" s="174">
        <f>IF('Tab7'!D8="",+'Tab7'!D7+'Tab11'!D7,+'Tab7'!D8+'Tab11'!D8)</f>
        <v>164808.42800095398</v>
      </c>
      <c r="Y106" s="174">
        <f>IF('Tab7'!E8="",+'Tab7'!E7+'Tab11'!E7,+'Tab7'!E8+'Tab11'!E8)</f>
        <v>192961.042112564</v>
      </c>
    </row>
    <row r="107" spans="1:25" x14ac:dyDescent="0.25">
      <c r="A107" s="164">
        <v>1</v>
      </c>
      <c r="B107" s="164">
        <v>1992</v>
      </c>
      <c r="C107" s="164">
        <v>102</v>
      </c>
      <c r="D107" s="164">
        <v>87.1</v>
      </c>
      <c r="E107" s="164"/>
      <c r="F107" s="164"/>
      <c r="G107" s="164"/>
      <c r="I107" s="169">
        <v>87.5</v>
      </c>
      <c r="J107" s="161">
        <v>1</v>
      </c>
      <c r="K107" s="161">
        <v>1992</v>
      </c>
      <c r="L107" s="170">
        <v>10520</v>
      </c>
      <c r="M107" s="169">
        <v>129.4</v>
      </c>
      <c r="N107" s="169">
        <f>M107/I107*$I$69</f>
        <v>218.27931428571429</v>
      </c>
      <c r="O107" s="170">
        <v>6509</v>
      </c>
      <c r="P107" s="169">
        <v>409.5</v>
      </c>
      <c r="Q107" s="169">
        <f t="shared" si="2"/>
        <v>690.76799999999992</v>
      </c>
      <c r="R107" s="170">
        <v>11030</v>
      </c>
      <c r="S107" s="169">
        <v>180.5</v>
      </c>
      <c r="T107" s="169">
        <f t="shared" si="3"/>
        <v>304.47771428571423</v>
      </c>
    </row>
    <row r="108" spans="1:25" x14ac:dyDescent="0.25">
      <c r="A108" s="164">
        <v>2</v>
      </c>
      <c r="B108" s="164"/>
      <c r="C108" s="164">
        <v>92.2</v>
      </c>
      <c r="D108" s="164">
        <v>78.900000000000006</v>
      </c>
      <c r="E108" s="164"/>
      <c r="F108" s="164"/>
      <c r="G108" s="164"/>
      <c r="I108" s="169">
        <v>88.6</v>
      </c>
      <c r="J108" s="161">
        <v>2</v>
      </c>
      <c r="L108" s="170">
        <v>10661</v>
      </c>
      <c r="M108" s="169">
        <v>112.9</v>
      </c>
      <c r="N108" s="169">
        <f t="shared" ref="N108:N171" si="4">M108/I108*$I$69</f>
        <v>188.08171557562079</v>
      </c>
      <c r="O108" s="170">
        <v>5632</v>
      </c>
      <c r="P108" s="169">
        <v>412</v>
      </c>
      <c r="Q108" s="169">
        <f t="shared" si="2"/>
        <v>686.35665914221215</v>
      </c>
      <c r="R108" s="170">
        <v>13252</v>
      </c>
      <c r="S108" s="169">
        <v>167</v>
      </c>
      <c r="T108" s="169">
        <f t="shared" si="3"/>
        <v>278.20767494356659</v>
      </c>
    </row>
    <row r="109" spans="1:25" x14ac:dyDescent="0.25">
      <c r="A109" s="164">
        <v>3</v>
      </c>
      <c r="B109" s="164"/>
      <c r="C109" s="164">
        <v>93.3</v>
      </c>
      <c r="D109" s="164">
        <v>79.900000000000006</v>
      </c>
      <c r="E109" s="164"/>
      <c r="F109" s="164"/>
      <c r="G109" s="164"/>
      <c r="I109" s="169">
        <v>88.7</v>
      </c>
      <c r="J109" s="161">
        <v>3</v>
      </c>
      <c r="L109" s="170">
        <v>11590</v>
      </c>
      <c r="M109" s="169">
        <v>130.59999999999997</v>
      </c>
      <c r="N109" s="169">
        <f t="shared" si="4"/>
        <v>217.32311161217578</v>
      </c>
      <c r="O109" s="170">
        <v>8642</v>
      </c>
      <c r="P109" s="169">
        <v>440.40000000000009</v>
      </c>
      <c r="Q109" s="169">
        <f t="shared" si="2"/>
        <v>732.84148816234517</v>
      </c>
      <c r="R109" s="170">
        <v>15450</v>
      </c>
      <c r="S109" s="169">
        <v>219.10000000000002</v>
      </c>
      <c r="T109" s="169">
        <f t="shared" si="3"/>
        <v>364.59030439684329</v>
      </c>
      <c r="V109" s="163" t="s">
        <v>187</v>
      </c>
      <c r="W109" s="164"/>
      <c r="X109" s="164"/>
      <c r="Y109" s="164"/>
    </row>
    <row r="110" spans="1:25" x14ac:dyDescent="0.25">
      <c r="A110" s="164">
        <v>4</v>
      </c>
      <c r="B110" s="164"/>
      <c r="C110" s="164">
        <v>90.8</v>
      </c>
      <c r="D110" s="164">
        <v>77.599999999999994</v>
      </c>
      <c r="E110" s="164"/>
      <c r="F110" s="164"/>
      <c r="G110" s="164"/>
      <c r="I110" s="169">
        <v>89.3</v>
      </c>
      <c r="J110" s="161">
        <v>4</v>
      </c>
      <c r="L110" s="170">
        <v>11917</v>
      </c>
      <c r="M110" s="169">
        <v>108.50000000000006</v>
      </c>
      <c r="N110" s="169">
        <f t="shared" si="4"/>
        <v>179.33482642777165</v>
      </c>
      <c r="O110" s="170">
        <v>7139</v>
      </c>
      <c r="P110" s="169">
        <v>425.59999999999991</v>
      </c>
      <c r="Q110" s="169">
        <f t="shared" si="2"/>
        <v>703.45531914893593</v>
      </c>
      <c r="R110" s="170">
        <v>12309</v>
      </c>
      <c r="S110" s="169">
        <v>109.39999999999998</v>
      </c>
      <c r="T110" s="169">
        <f t="shared" si="3"/>
        <v>180.82239641657333</v>
      </c>
      <c r="V110" s="164"/>
      <c r="W110" s="164"/>
      <c r="X110" s="164"/>
      <c r="Y110" s="164"/>
    </row>
    <row r="111" spans="1:25" x14ac:dyDescent="0.25">
      <c r="A111" s="164">
        <v>1</v>
      </c>
      <c r="B111" s="164">
        <v>1993</v>
      </c>
      <c r="C111" s="164">
        <v>112.6</v>
      </c>
      <c r="D111" s="164">
        <v>96.5</v>
      </c>
      <c r="E111" s="164"/>
      <c r="F111" s="164"/>
      <c r="G111" s="164"/>
      <c r="I111" s="169">
        <v>89.8</v>
      </c>
      <c r="J111" s="161">
        <v>1</v>
      </c>
      <c r="K111" s="161">
        <v>1993</v>
      </c>
      <c r="L111" s="170">
        <v>11275</v>
      </c>
      <c r="M111" s="169">
        <v>136.89999999999998</v>
      </c>
      <c r="N111" s="169">
        <f t="shared" si="4"/>
        <v>225.01603563474384</v>
      </c>
      <c r="O111" s="170">
        <v>6982</v>
      </c>
      <c r="P111" s="169">
        <v>449.4</v>
      </c>
      <c r="Q111" s="169">
        <f t="shared" si="2"/>
        <v>738.65746102449884</v>
      </c>
      <c r="R111" s="170">
        <v>10571</v>
      </c>
      <c r="S111" s="169">
        <v>175.5</v>
      </c>
      <c r="T111" s="169">
        <f t="shared" si="3"/>
        <v>288.46102449888645</v>
      </c>
      <c r="V111" s="164"/>
      <c r="W111" s="168" t="str">
        <f>+W100</f>
        <v>2016</v>
      </c>
      <c r="X111" s="168" t="str">
        <f>+X100</f>
        <v>2017</v>
      </c>
      <c r="Y111" s="168" t="str">
        <f>+Y100</f>
        <v>2018</v>
      </c>
    </row>
    <row r="112" spans="1:25" x14ac:dyDescent="0.25">
      <c r="A112" s="164">
        <v>2</v>
      </c>
      <c r="B112" s="164"/>
      <c r="C112" s="164">
        <f>205.6-C111</f>
        <v>93</v>
      </c>
      <c r="D112" s="164">
        <f>176.6-D111</f>
        <v>80.099999999999994</v>
      </c>
      <c r="E112" s="164"/>
      <c r="F112" s="164"/>
      <c r="G112" s="164"/>
      <c r="I112" s="169">
        <v>90.8</v>
      </c>
      <c r="J112" s="161">
        <v>2</v>
      </c>
      <c r="L112" s="170">
        <v>10076</v>
      </c>
      <c r="M112" s="169">
        <v>115.20000000000002</v>
      </c>
      <c r="N112" s="169">
        <f t="shared" si="4"/>
        <v>187.26343612334804</v>
      </c>
      <c r="O112" s="170">
        <v>6332</v>
      </c>
      <c r="P112" s="169">
        <v>352.9</v>
      </c>
      <c r="Q112" s="169">
        <f t="shared" si="2"/>
        <v>573.65682819383255</v>
      </c>
      <c r="R112" s="170">
        <v>12919</v>
      </c>
      <c r="S112" s="169">
        <v>191.20000000000005</v>
      </c>
      <c r="T112" s="169">
        <f t="shared" si="3"/>
        <v>310.80528634361235</v>
      </c>
      <c r="V112" s="164" t="s">
        <v>172</v>
      </c>
      <c r="W112" s="173">
        <f>IF('Tab7'!C38="",+'Tab7'!C37+'Tab11'!C37,+'Tab7'!C38+'Tab11'!C38)</f>
        <v>2258.6952683640002</v>
      </c>
      <c r="X112" s="173">
        <f>IF('Tab7'!D38="",+'Tab7'!D37+'Tab11'!D37,+'Tab7'!D38+'Tab11'!D38)</f>
        <v>2978.2659125519999</v>
      </c>
      <c r="Y112" s="173">
        <f>IF('Tab7'!E38="",+'Tab7'!E37+'Tab11'!E37,+'Tab7'!E38+'Tab11'!E38)</f>
        <v>2733.9660798479999</v>
      </c>
    </row>
    <row r="113" spans="1:25" x14ac:dyDescent="0.25">
      <c r="A113" s="164">
        <v>3</v>
      </c>
      <c r="B113" s="164"/>
      <c r="C113" s="164">
        <f>293.1-C112-C111</f>
        <v>87.500000000000028</v>
      </c>
      <c r="D113" s="164">
        <f>250.2-D112-D111</f>
        <v>73.599999999999994</v>
      </c>
      <c r="E113" s="164"/>
      <c r="F113" s="164"/>
      <c r="G113" s="164"/>
      <c r="I113" s="169">
        <v>90.6</v>
      </c>
      <c r="J113" s="161">
        <v>3</v>
      </c>
      <c r="L113" s="170">
        <v>11766</v>
      </c>
      <c r="M113" s="169">
        <v>132.79999999999998</v>
      </c>
      <c r="N113" s="169">
        <f t="shared" si="4"/>
        <v>216.34966887417218</v>
      </c>
      <c r="O113" s="170">
        <v>6675</v>
      </c>
      <c r="P113" s="169">
        <v>388.50000000000023</v>
      </c>
      <c r="Q113" s="169">
        <f t="shared" si="2"/>
        <v>632.92052980132485</v>
      </c>
      <c r="R113" s="170">
        <v>14800</v>
      </c>
      <c r="S113" s="169">
        <v>216.89999999999998</v>
      </c>
      <c r="T113" s="169">
        <f t="shared" si="3"/>
        <v>353.36026490066223</v>
      </c>
      <c r="V113" s="164" t="s">
        <v>86</v>
      </c>
      <c r="W113" s="173">
        <f>IF('Tab7'!C40="",+'Tab7'!C39+'Tab11'!C39,+'Tab7'!C40+'Tab11'!C40)</f>
        <v>1816.8339558759999</v>
      </c>
      <c r="X113" s="173">
        <f>IF('Tab7'!D40="",+'Tab7'!D39+'Tab11'!D39,+'Tab7'!D40+'Tab11'!D40)</f>
        <v>1797.6562683560001</v>
      </c>
      <c r="Y113" s="173">
        <f>IF('Tab7'!E40="",+'Tab7'!E39+'Tab11'!E39,+'Tab7'!E40+'Tab11'!E40)</f>
        <v>2251.7915513600001</v>
      </c>
    </row>
    <row r="114" spans="1:25" x14ac:dyDescent="0.25">
      <c r="A114" s="164">
        <v>4</v>
      </c>
      <c r="B114" s="164"/>
      <c r="C114" s="164">
        <f>413.2-C113-C112-C111</f>
        <v>120.09999999999994</v>
      </c>
      <c r="D114" s="164">
        <f>356.8-D113-D112-D111</f>
        <v>106.60000000000005</v>
      </c>
      <c r="E114" s="164"/>
      <c r="F114" s="164"/>
      <c r="G114" s="164"/>
      <c r="I114" s="169">
        <v>91</v>
      </c>
      <c r="J114" s="161">
        <v>4</v>
      </c>
      <c r="L114" s="170">
        <v>12707</v>
      </c>
      <c r="M114" s="169">
        <v>157.79999999999995</v>
      </c>
      <c r="N114" s="169">
        <f t="shared" si="4"/>
        <v>255.94813186813178</v>
      </c>
      <c r="O114" s="170">
        <v>6319</v>
      </c>
      <c r="P114" s="169">
        <v>466.99999999999977</v>
      </c>
      <c r="Q114" s="169">
        <f t="shared" si="2"/>
        <v>757.46373626373588</v>
      </c>
      <c r="R114" s="170">
        <v>11391</v>
      </c>
      <c r="S114" s="169">
        <v>164.5</v>
      </c>
      <c r="T114" s="169">
        <f t="shared" si="3"/>
        <v>266.81538461538463</v>
      </c>
      <c r="V114" s="164" t="s">
        <v>63</v>
      </c>
      <c r="W114" s="173">
        <f>IF('Tab7'!C42="",+'Tab7'!C41+'Tab11'!C41,+'Tab7'!C42+'Tab11'!C42)</f>
        <v>281.20767810699999</v>
      </c>
      <c r="X114" s="173">
        <f>IF('Tab7'!D42="",+'Tab7'!D41+'Tab11'!D41,+'Tab7'!D42+'Tab11'!D42)</f>
        <v>261.095823397</v>
      </c>
      <c r="Y114" s="173">
        <f>IF('Tab7'!E42="",+'Tab7'!E41+'Tab11'!E41,+'Tab7'!E42+'Tab11'!E42)</f>
        <v>251.61776245999999</v>
      </c>
    </row>
    <row r="115" spans="1:25" x14ac:dyDescent="0.25">
      <c r="A115" s="164">
        <v>1</v>
      </c>
      <c r="B115" s="164">
        <v>1994</v>
      </c>
      <c r="C115" s="164">
        <v>138.4</v>
      </c>
      <c r="D115" s="164">
        <v>120</v>
      </c>
      <c r="E115" s="164"/>
      <c r="F115" s="164"/>
      <c r="G115" s="164"/>
      <c r="I115" s="169">
        <v>91</v>
      </c>
      <c r="J115" s="161">
        <v>1</v>
      </c>
      <c r="K115" s="161">
        <v>1994</v>
      </c>
      <c r="L115" s="170">
        <v>15224</v>
      </c>
      <c r="M115" s="169">
        <v>189</v>
      </c>
      <c r="N115" s="169">
        <f t="shared" si="4"/>
        <v>306.55384615384617</v>
      </c>
      <c r="O115" s="170">
        <v>6291</v>
      </c>
      <c r="P115" s="169">
        <v>427.6</v>
      </c>
      <c r="Q115" s="169">
        <f t="shared" si="2"/>
        <v>693.55780219780218</v>
      </c>
      <c r="R115" s="170">
        <v>8795</v>
      </c>
      <c r="S115" s="169">
        <v>161.69999999999999</v>
      </c>
      <c r="T115" s="169">
        <f t="shared" si="3"/>
        <v>262.27384615384614</v>
      </c>
      <c r="V115" s="164" t="s">
        <v>14</v>
      </c>
      <c r="W115" s="176">
        <f>+W117-SUM(W112:W114)</f>
        <v>1499.0828595330004</v>
      </c>
      <c r="X115" s="176">
        <f>+X117-SUM(X112:X114)</f>
        <v>1471.808058921999</v>
      </c>
      <c r="Y115" s="176">
        <f>+Y117-SUM(Y112:Y114)</f>
        <v>2119.3866837299993</v>
      </c>
    </row>
    <row r="116" spans="1:25" x14ac:dyDescent="0.25">
      <c r="A116" s="164">
        <v>2</v>
      </c>
      <c r="B116" s="164"/>
      <c r="C116" s="164">
        <f>252.9-C115</f>
        <v>114.5</v>
      </c>
      <c r="D116" s="164">
        <f>218.1-D115</f>
        <v>98.1</v>
      </c>
      <c r="E116" s="164"/>
      <c r="F116" s="164"/>
      <c r="G116" s="164"/>
      <c r="I116" s="169">
        <v>91.7</v>
      </c>
      <c r="J116" s="161">
        <v>2</v>
      </c>
      <c r="L116" s="170">
        <v>13585</v>
      </c>
      <c r="M116" s="169">
        <v>166.5</v>
      </c>
      <c r="N116" s="169">
        <f t="shared" si="4"/>
        <v>267.99781897491818</v>
      </c>
      <c r="O116" s="170">
        <v>5517</v>
      </c>
      <c r="P116" s="169">
        <v>494.30000000000007</v>
      </c>
      <c r="Q116" s="169">
        <f t="shared" si="2"/>
        <v>795.6235550708833</v>
      </c>
      <c r="R116" s="170">
        <v>13449</v>
      </c>
      <c r="S116" s="169">
        <v>196.2</v>
      </c>
      <c r="T116" s="169">
        <f t="shared" si="3"/>
        <v>315.80283533260632</v>
      </c>
      <c r="V116" s="164"/>
      <c r="W116" s="173"/>
      <c r="X116" s="173"/>
      <c r="Y116" s="173"/>
    </row>
    <row r="117" spans="1:25" x14ac:dyDescent="0.25">
      <c r="A117" s="164">
        <v>3</v>
      </c>
      <c r="B117" s="164"/>
      <c r="C117" s="164">
        <f>365.7-C115-C116</f>
        <v>112.79999999999998</v>
      </c>
      <c r="D117" s="164">
        <f>316.9-D115-D116</f>
        <v>98.799999999999983</v>
      </c>
      <c r="E117" s="164"/>
      <c r="F117" s="164"/>
      <c r="G117" s="164"/>
      <c r="I117" s="169">
        <v>92.1</v>
      </c>
      <c r="J117" s="161">
        <v>3</v>
      </c>
      <c r="L117" s="170">
        <v>13956</v>
      </c>
      <c r="M117" s="169">
        <v>169.89999999999998</v>
      </c>
      <c r="N117" s="169">
        <f t="shared" si="4"/>
        <v>272.28273615635175</v>
      </c>
      <c r="O117" s="170">
        <v>8952</v>
      </c>
      <c r="P117" s="169">
        <v>425.5</v>
      </c>
      <c r="Q117" s="169">
        <f t="shared" si="2"/>
        <v>681.90879478827367</v>
      </c>
      <c r="R117" s="170">
        <v>15669</v>
      </c>
      <c r="S117" s="169">
        <v>219.80000000000007</v>
      </c>
      <c r="T117" s="169">
        <f t="shared" si="3"/>
        <v>352.25276872964184</v>
      </c>
      <c r="V117" s="164" t="s">
        <v>87</v>
      </c>
      <c r="W117" s="173">
        <f>IF('Tab7'!C36="",+'Tab7'!C35+'Tab11'!C35,+'Tab7'!C36+'Tab11'!C36)</f>
        <v>5855.8197618800004</v>
      </c>
      <c r="X117" s="173">
        <f>IF('Tab7'!D36="",+'Tab7'!D35+'Tab11'!D35,+'Tab7'!D36+'Tab11'!D36)</f>
        <v>6508.8260632269994</v>
      </c>
      <c r="Y117" s="173">
        <f>IF('Tab7'!E36="",+'Tab7'!E35+'Tab11'!E35,+'Tab7'!E36+'Tab11'!E36)</f>
        <v>7356.7620773979997</v>
      </c>
    </row>
    <row r="118" spans="1:25" x14ac:dyDescent="0.25">
      <c r="A118" s="164">
        <v>4</v>
      </c>
      <c r="B118" s="164"/>
      <c r="C118" s="164">
        <f>480.2-C115-C116-C117</f>
        <v>114.49999999999997</v>
      </c>
      <c r="D118" s="164">
        <f>417.1-D115-D116-D117</f>
        <v>100.20000000000005</v>
      </c>
      <c r="E118" s="164"/>
      <c r="F118" s="164"/>
      <c r="G118" s="164"/>
      <c r="I118" s="169">
        <v>92.6</v>
      </c>
      <c r="J118" s="161">
        <v>4</v>
      </c>
      <c r="L118" s="170">
        <v>14006</v>
      </c>
      <c r="M118" s="169">
        <v>140.80000000000007</v>
      </c>
      <c r="N118" s="169">
        <f t="shared" si="4"/>
        <v>224.42850971922257</v>
      </c>
      <c r="O118" s="170">
        <v>8189</v>
      </c>
      <c r="P118" s="169">
        <v>390.59999999999991</v>
      </c>
      <c r="Q118" s="169">
        <f t="shared" si="2"/>
        <v>622.59784017278605</v>
      </c>
      <c r="R118" s="170">
        <v>14139</v>
      </c>
      <c r="S118" s="169">
        <v>214.39999999999998</v>
      </c>
      <c r="T118" s="169">
        <f t="shared" si="3"/>
        <v>341.74341252699782</v>
      </c>
      <c r="V118" s="164"/>
      <c r="X118" s="164"/>
    </row>
    <row r="119" spans="1:25" x14ac:dyDescent="0.25">
      <c r="A119" s="164">
        <v>1</v>
      </c>
      <c r="B119" s="164">
        <v>1995</v>
      </c>
      <c r="C119" s="164">
        <v>137.19999999999999</v>
      </c>
      <c r="D119" s="164">
        <v>119.3</v>
      </c>
      <c r="E119" s="164"/>
      <c r="F119" s="164"/>
      <c r="G119" s="164"/>
      <c r="I119" s="169">
        <v>93.4</v>
      </c>
      <c r="J119" s="161">
        <v>1</v>
      </c>
      <c r="K119" s="161">
        <v>1995</v>
      </c>
      <c r="L119" s="170">
        <v>13188</v>
      </c>
      <c r="M119" s="169">
        <v>171.1</v>
      </c>
      <c r="N119" s="169">
        <f t="shared" si="4"/>
        <v>270.38929336188431</v>
      </c>
      <c r="O119" s="170">
        <v>7699</v>
      </c>
      <c r="P119" s="169">
        <v>543</v>
      </c>
      <c r="Q119" s="169">
        <f t="shared" si="2"/>
        <v>858.10278372591006</v>
      </c>
      <c r="R119" s="170">
        <v>11007</v>
      </c>
      <c r="S119" s="169">
        <v>183.1</v>
      </c>
      <c r="T119" s="169">
        <f t="shared" si="3"/>
        <v>289.35289079229119</v>
      </c>
      <c r="V119" s="163" t="s">
        <v>181</v>
      </c>
    </row>
    <row r="120" spans="1:25" x14ac:dyDescent="0.25">
      <c r="A120" s="164">
        <v>2</v>
      </c>
      <c r="B120" s="164"/>
      <c r="C120" s="164">
        <f>248.2-C119</f>
        <v>111</v>
      </c>
      <c r="D120" s="164">
        <f>214.7-D119</f>
        <v>95.399999999999991</v>
      </c>
      <c r="E120" s="164"/>
      <c r="F120" s="164"/>
      <c r="G120" s="164"/>
      <c r="I120" s="169">
        <v>94.1</v>
      </c>
      <c r="J120" s="161">
        <v>2</v>
      </c>
      <c r="L120" s="170">
        <v>11077</v>
      </c>
      <c r="M120" s="169">
        <v>148.30000000000004</v>
      </c>
      <c r="N120" s="169">
        <f t="shared" si="4"/>
        <v>232.61509032943684</v>
      </c>
      <c r="O120" s="170">
        <v>5465</v>
      </c>
      <c r="P120" s="169">
        <v>462.40000000000009</v>
      </c>
      <c r="Q120" s="169">
        <f t="shared" si="2"/>
        <v>725.29479277364521</v>
      </c>
      <c r="R120" s="170">
        <v>13915</v>
      </c>
      <c r="S120" s="169">
        <v>213.4</v>
      </c>
      <c r="T120" s="169">
        <f t="shared" si="3"/>
        <v>334.72731137088203</v>
      </c>
    </row>
    <row r="121" spans="1:25" x14ac:dyDescent="0.25">
      <c r="A121" s="164">
        <v>3</v>
      </c>
      <c r="B121" s="164"/>
      <c r="C121" s="164">
        <f>364.1-C119-C120</f>
        <v>115.90000000000003</v>
      </c>
      <c r="D121" s="164">
        <f>315.7-D119-D120</f>
        <v>100.99999999999999</v>
      </c>
      <c r="E121" s="164"/>
      <c r="F121" s="164"/>
      <c r="G121" s="164"/>
      <c r="I121" s="169">
        <v>94.1</v>
      </c>
      <c r="J121" s="161">
        <v>3</v>
      </c>
      <c r="L121" s="170">
        <v>13937</v>
      </c>
      <c r="M121" s="169">
        <v>180.19999999999993</v>
      </c>
      <c r="N121" s="169">
        <f t="shared" si="4"/>
        <v>282.65164718384688</v>
      </c>
      <c r="O121" s="170">
        <v>9139</v>
      </c>
      <c r="P121" s="169">
        <v>487.89999999999986</v>
      </c>
      <c r="Q121" s="169">
        <f t="shared" si="2"/>
        <v>765.29266737513262</v>
      </c>
      <c r="R121" s="170">
        <v>17436</v>
      </c>
      <c r="S121" s="169">
        <v>224.09999999999991</v>
      </c>
      <c r="T121" s="169">
        <f t="shared" si="3"/>
        <v>351.51073326248655</v>
      </c>
      <c r="V121" s="164"/>
      <c r="W121" s="168" t="str">
        <f>+'Tab3'!C6</f>
        <v>2016</v>
      </c>
      <c r="X121" s="168" t="str">
        <f>+'Tab3'!D6</f>
        <v>2017</v>
      </c>
      <c r="Y121" s="168" t="str">
        <f>+'Tab3'!E6</f>
        <v>2018</v>
      </c>
    </row>
    <row r="122" spans="1:25" x14ac:dyDescent="0.25">
      <c r="A122" s="164">
        <v>4</v>
      </c>
      <c r="B122" s="164"/>
      <c r="C122" s="164">
        <f>482.9-C119-C120-C121</f>
        <v>118.79999999999995</v>
      </c>
      <c r="D122" s="164">
        <f>420.1-D119-D120-D121</f>
        <v>104.40000000000005</v>
      </c>
      <c r="E122" s="164"/>
      <c r="F122" s="164"/>
      <c r="G122" s="164"/>
      <c r="I122" s="169">
        <v>94.6</v>
      </c>
      <c r="J122" s="161">
        <v>4</v>
      </c>
      <c r="L122" s="170">
        <v>13920</v>
      </c>
      <c r="M122" s="169">
        <v>172.00000000000006</v>
      </c>
      <c r="N122" s="169">
        <f t="shared" si="4"/>
        <v>268.36363636363643</v>
      </c>
      <c r="O122" s="170">
        <v>7500</v>
      </c>
      <c r="P122" s="169">
        <v>369.89999999999986</v>
      </c>
      <c r="Q122" s="169">
        <f t="shared" si="2"/>
        <v>577.13784355179689</v>
      </c>
      <c r="R122" s="170">
        <v>15130</v>
      </c>
      <c r="S122" s="169">
        <v>206.30000000000018</v>
      </c>
      <c r="T122" s="169">
        <f t="shared" si="3"/>
        <v>321.88033826638502</v>
      </c>
      <c r="V122" s="164" t="s">
        <v>10</v>
      </c>
      <c r="W122" s="168">
        <f>IF('Tab3'!C22="",'Tab3'!C29,'Tab3'!C30)</f>
        <v>149261.141025641</v>
      </c>
      <c r="X122" s="168">
        <f>IF('Tab3'!D22="",'Tab3'!D29,'Tab3'!D30)</f>
        <v>148449</v>
      </c>
      <c r="Y122" s="168">
        <f>IF('Tab3'!E22="",'Tab3'!E29,'Tab3'!E30)</f>
        <v>154340</v>
      </c>
    </row>
    <row r="123" spans="1:25" x14ac:dyDescent="0.25">
      <c r="A123" s="164">
        <v>1</v>
      </c>
      <c r="B123" s="164">
        <v>1996</v>
      </c>
      <c r="C123" s="164">
        <v>143.9</v>
      </c>
      <c r="D123" s="164">
        <v>126.9</v>
      </c>
      <c r="E123" s="164"/>
      <c r="F123" s="164"/>
      <c r="G123" s="164"/>
      <c r="I123" s="169">
        <v>94.2</v>
      </c>
      <c r="J123" s="161">
        <v>1</v>
      </c>
      <c r="K123" s="161">
        <v>1996</v>
      </c>
      <c r="L123" s="170">
        <v>29850</v>
      </c>
      <c r="M123" s="169">
        <v>375.59999999999997</v>
      </c>
      <c r="N123" s="169">
        <f t="shared" si="4"/>
        <v>588.51974522292983</v>
      </c>
      <c r="O123" s="170">
        <v>7239</v>
      </c>
      <c r="P123" s="169">
        <v>479.9</v>
      </c>
      <c r="Q123" s="169">
        <f t="shared" si="2"/>
        <v>751.94522292993622</v>
      </c>
      <c r="R123" s="170">
        <v>11785</v>
      </c>
      <c r="S123" s="169">
        <v>198.60000000000002</v>
      </c>
      <c r="T123" s="169">
        <f t="shared" si="3"/>
        <v>311.18216560509558</v>
      </c>
      <c r="V123" s="161" t="s">
        <v>112</v>
      </c>
      <c r="W123" s="168">
        <f>IF('Tab9'!C8="",'Tab9'!C7,'Tab9'!C8)</f>
        <v>52562.962486265998</v>
      </c>
      <c r="X123" s="168">
        <f>IF('Tab9'!D8="",'Tab9'!D7,'Tab9'!D8)</f>
        <v>52500.265517266002</v>
      </c>
      <c r="Y123" s="168">
        <f>IF('Tab9'!E8="",'Tab9'!E7,'Tab9'!E8)</f>
        <v>64737.309980990001</v>
      </c>
    </row>
    <row r="124" spans="1:25" x14ac:dyDescent="0.25">
      <c r="A124" s="164">
        <v>2</v>
      </c>
      <c r="B124" s="164"/>
      <c r="C124" s="164">
        <f>275.5-C123</f>
        <v>131.6</v>
      </c>
      <c r="D124" s="164">
        <f>242.6-D123</f>
        <v>115.69999999999999</v>
      </c>
      <c r="E124" s="164"/>
      <c r="F124" s="164"/>
      <c r="G124" s="164"/>
      <c r="I124" s="169">
        <v>95.1</v>
      </c>
      <c r="J124" s="161">
        <v>2</v>
      </c>
      <c r="L124" s="170">
        <v>17799</v>
      </c>
      <c r="M124" s="169">
        <v>234.8</v>
      </c>
      <c r="N124" s="169">
        <f t="shared" si="4"/>
        <v>364.42145110410098</v>
      </c>
      <c r="O124" s="170">
        <v>6503</v>
      </c>
      <c r="P124" s="169">
        <v>585.30000000000007</v>
      </c>
      <c r="Q124" s="169">
        <f t="shared" si="2"/>
        <v>908.41514195583602</v>
      </c>
      <c r="R124" s="170">
        <v>14642</v>
      </c>
      <c r="S124" s="169">
        <v>220.09999999999997</v>
      </c>
      <c r="T124" s="169">
        <f t="shared" si="3"/>
        <v>341.60630914826493</v>
      </c>
      <c r="V124" s="161" t="s">
        <v>111</v>
      </c>
      <c r="W124" s="168">
        <f>IF('Tab8'!C8="",'Tab8'!C7,'Tab8'!C8)</f>
        <v>61041.058319816999</v>
      </c>
      <c r="X124" s="168">
        <f>IF('Tab8'!D8="",'Tab8'!D7,'Tab8'!D8)</f>
        <v>69216.435027458996</v>
      </c>
      <c r="Y124" s="168">
        <f>IF('Tab8'!E8="",'Tab8'!E7,'Tab8'!E8)</f>
        <v>79397.795165593998</v>
      </c>
    </row>
    <row r="125" spans="1:25" x14ac:dyDescent="0.25">
      <c r="A125" s="164">
        <v>3</v>
      </c>
      <c r="B125" s="164"/>
      <c r="C125" s="164">
        <f>387.5-C123-C124</f>
        <v>112</v>
      </c>
      <c r="D125" s="164">
        <f>339.3-D123-D124</f>
        <v>96.700000000000017</v>
      </c>
      <c r="E125" s="164"/>
      <c r="F125" s="164"/>
      <c r="G125" s="164"/>
      <c r="I125" s="169">
        <v>95.5</v>
      </c>
      <c r="J125" s="161">
        <v>3</v>
      </c>
      <c r="L125" s="170">
        <v>16263</v>
      </c>
      <c r="M125" s="169">
        <v>240.00000000000011</v>
      </c>
      <c r="N125" s="169">
        <f t="shared" si="4"/>
        <v>370.93193717277506</v>
      </c>
      <c r="O125" s="170">
        <v>8934</v>
      </c>
      <c r="P125" s="169">
        <v>581.89999999999986</v>
      </c>
      <c r="Q125" s="169">
        <f t="shared" si="2"/>
        <v>899.3553926701569</v>
      </c>
      <c r="R125" s="170">
        <v>17198</v>
      </c>
      <c r="S125" s="169">
        <v>233.2</v>
      </c>
      <c r="T125" s="169">
        <f t="shared" si="3"/>
        <v>360.42219895287957</v>
      </c>
      <c r="V125" s="164" t="s">
        <v>170</v>
      </c>
      <c r="W125" s="168">
        <f>IF('Tab3'!C16="",'Tab3'!C15,'Tab3'!C16)</f>
        <v>20119.271221531999</v>
      </c>
      <c r="X125" s="168">
        <f>IF('Tab3'!D16="",'Tab3'!D15,'Tab3'!D16)</f>
        <v>19019.623626183002</v>
      </c>
      <c r="Y125" s="168">
        <f>IF('Tab3'!E16="",'Tab3'!E15,'Tab3'!E16)</f>
        <v>22608.497212932001</v>
      </c>
    </row>
    <row r="126" spans="1:25" x14ac:dyDescent="0.25">
      <c r="A126" s="164">
        <v>4</v>
      </c>
      <c r="B126" s="164"/>
      <c r="C126" s="164">
        <f>520-C123-C124-C125</f>
        <v>132.50000000000003</v>
      </c>
      <c r="D126" s="164">
        <f>452.4-D123-D124-D125</f>
        <v>113.1</v>
      </c>
      <c r="E126" s="164"/>
      <c r="F126" s="164"/>
      <c r="G126" s="164"/>
      <c r="I126" s="169">
        <v>96.3</v>
      </c>
      <c r="J126" s="161">
        <v>4</v>
      </c>
      <c r="L126" s="170">
        <v>16638</v>
      </c>
      <c r="M126" s="169">
        <v>233.40000000000009</v>
      </c>
      <c r="N126" s="169">
        <f t="shared" si="4"/>
        <v>357.73457943925246</v>
      </c>
      <c r="O126" s="170">
        <v>7966</v>
      </c>
      <c r="P126" s="169">
        <v>665.80000000000018</v>
      </c>
      <c r="Q126" s="169">
        <f t="shared" si="2"/>
        <v>1020.4785046728974</v>
      </c>
      <c r="R126" s="170">
        <v>13841</v>
      </c>
      <c r="S126" s="169">
        <v>188.00000000000011</v>
      </c>
      <c r="T126" s="169">
        <f t="shared" si="3"/>
        <v>288.14953271028054</v>
      </c>
    </row>
    <row r="127" spans="1:25" x14ac:dyDescent="0.25">
      <c r="A127" s="164">
        <v>1</v>
      </c>
      <c r="B127" s="164">
        <v>1997</v>
      </c>
      <c r="C127" s="164">
        <v>142.6</v>
      </c>
      <c r="D127" s="164">
        <v>124.8</v>
      </c>
      <c r="E127" s="164"/>
      <c r="F127" s="164"/>
      <c r="G127" s="164"/>
      <c r="I127" s="169">
        <v>97.3</v>
      </c>
      <c r="J127" s="161">
        <v>1</v>
      </c>
      <c r="K127" s="161">
        <v>1997</v>
      </c>
      <c r="L127" s="170">
        <v>17837</v>
      </c>
      <c r="M127" s="169">
        <v>255.29999999999998</v>
      </c>
      <c r="N127" s="169">
        <f t="shared" si="4"/>
        <v>387.27934224049329</v>
      </c>
      <c r="O127" s="170">
        <v>7574</v>
      </c>
      <c r="P127" s="169">
        <v>625.70000000000005</v>
      </c>
      <c r="Q127" s="169">
        <f t="shared" si="2"/>
        <v>949.16053442959924</v>
      </c>
      <c r="R127" s="170">
        <v>10571</v>
      </c>
      <c r="S127" s="169">
        <v>187.8</v>
      </c>
      <c r="T127" s="169">
        <f t="shared" si="3"/>
        <v>284.88468653648511</v>
      </c>
      <c r="V127" s="163" t="s">
        <v>182</v>
      </c>
    </row>
    <row r="128" spans="1:25" x14ac:dyDescent="0.25">
      <c r="A128" s="164">
        <v>2</v>
      </c>
      <c r="B128" s="164"/>
      <c r="C128" s="164">
        <f>284.4-C127</f>
        <v>141.79999999999998</v>
      </c>
      <c r="D128" s="164">
        <f>247.3-D127</f>
        <v>122.50000000000001</v>
      </c>
      <c r="E128" s="164"/>
      <c r="F128" s="164"/>
      <c r="G128" s="164"/>
      <c r="I128" s="169">
        <v>97.7</v>
      </c>
      <c r="J128" s="161">
        <v>2</v>
      </c>
      <c r="L128" s="170">
        <v>16872</v>
      </c>
      <c r="M128" s="169">
        <v>281.30000000000007</v>
      </c>
      <c r="N128" s="169">
        <f t="shared" si="4"/>
        <v>424.97318321392027</v>
      </c>
      <c r="O128" s="170">
        <v>7284</v>
      </c>
      <c r="P128" s="169">
        <v>664.39999999999986</v>
      </c>
      <c r="Q128" s="169">
        <f t="shared" si="2"/>
        <v>1003.7404298874101</v>
      </c>
      <c r="R128" s="170">
        <v>14837</v>
      </c>
      <c r="S128" s="169">
        <v>224.59999999999997</v>
      </c>
      <c r="T128" s="169">
        <f t="shared" si="3"/>
        <v>339.31381780962118</v>
      </c>
      <c r="W128" s="168" t="str">
        <f>+'Tab3'!C6</f>
        <v>2016</v>
      </c>
      <c r="X128" s="168" t="str">
        <f>+'Tab3'!D6</f>
        <v>2017</v>
      </c>
      <c r="Y128" s="168" t="str">
        <f>+'Tab3'!E6</f>
        <v>2018</v>
      </c>
    </row>
    <row r="129" spans="1:25" x14ac:dyDescent="0.25">
      <c r="A129" s="164">
        <v>3</v>
      </c>
      <c r="B129" s="164"/>
      <c r="C129" s="164">
        <f>419.8-C127-C128</f>
        <v>135.40000000000006</v>
      </c>
      <c r="D129" s="164">
        <f>364.6-D127-D128</f>
        <v>117.3</v>
      </c>
      <c r="E129" s="164"/>
      <c r="F129" s="164" t="s">
        <v>74</v>
      </c>
      <c r="G129" s="164"/>
      <c r="I129" s="169">
        <v>97.7</v>
      </c>
      <c r="J129" s="161">
        <v>3</v>
      </c>
      <c r="L129" s="170">
        <v>17873</v>
      </c>
      <c r="M129" s="169">
        <v>297.89999999999998</v>
      </c>
      <c r="N129" s="169">
        <f t="shared" si="4"/>
        <v>450.05158648925277</v>
      </c>
      <c r="O129" s="170">
        <v>14581</v>
      </c>
      <c r="P129" s="169">
        <v>720.30000000000018</v>
      </c>
      <c r="Q129" s="169">
        <f t="shared" si="2"/>
        <v>1088.1911975435007</v>
      </c>
      <c r="R129" s="170">
        <v>15670</v>
      </c>
      <c r="S129" s="169">
        <v>198.80000000000007</v>
      </c>
      <c r="T129" s="169">
        <f t="shared" si="3"/>
        <v>300.33654042988752</v>
      </c>
      <c r="V129" s="164" t="s">
        <v>11</v>
      </c>
      <c r="W129" s="168">
        <f>IF('Tab3'!C30="",'Tab3'!C31,'Tab3'!C32)</f>
        <v>4070.6695760600001</v>
      </c>
      <c r="X129" s="168">
        <f>IF('Tab3'!D30="",'Tab3'!D31,'Tab3'!D32)</f>
        <v>3833.5464347259999</v>
      </c>
      <c r="Y129" s="168">
        <f>IF('Tab3'!E30="",'Tab3'!E31,'Tab3'!E32)</f>
        <v>4529.9239401499999</v>
      </c>
    </row>
    <row r="130" spans="1:25" x14ac:dyDescent="0.25">
      <c r="A130" s="164">
        <v>4</v>
      </c>
      <c r="B130" s="164"/>
      <c r="C130" s="164">
        <f>550.4-C127-C128-C129</f>
        <v>130.59999999999994</v>
      </c>
      <c r="D130" s="164">
        <f>478.3-D127-D128-D129</f>
        <v>113.7</v>
      </c>
      <c r="E130" s="164"/>
      <c r="F130" s="164"/>
      <c r="G130" s="164"/>
      <c r="I130" s="169">
        <v>98.4</v>
      </c>
      <c r="J130" s="161">
        <v>4</v>
      </c>
      <c r="L130" s="170">
        <v>15493</v>
      </c>
      <c r="M130" s="169">
        <v>267.70000000000005</v>
      </c>
      <c r="N130" s="169">
        <f t="shared" si="4"/>
        <v>401.55</v>
      </c>
      <c r="O130" s="170">
        <v>9445</v>
      </c>
      <c r="P130" s="169">
        <v>564</v>
      </c>
      <c r="Q130" s="169">
        <f t="shared" si="2"/>
        <v>845.99999999999989</v>
      </c>
      <c r="R130" s="170">
        <v>13087</v>
      </c>
      <c r="S130" s="169">
        <v>185.09999999999991</v>
      </c>
      <c r="T130" s="169">
        <f t="shared" si="3"/>
        <v>277.64999999999981</v>
      </c>
      <c r="V130" s="164" t="s">
        <v>12</v>
      </c>
      <c r="W130" s="168">
        <f>IF('Tab3'!C32="",'Tab3'!C33,'Tab3'!C34)</f>
        <v>4769.7039999999997</v>
      </c>
      <c r="X130" s="168">
        <f>IF('Tab3'!D32="",'Tab3'!D33,'Tab3'!D34)</f>
        <v>4864.4012554769997</v>
      </c>
      <c r="Y130" s="168">
        <f>IF('Tab3'!E32="",'Tab3'!E33,'Tab3'!E34)</f>
        <v>5414.37</v>
      </c>
    </row>
    <row r="131" spans="1:25" x14ac:dyDescent="0.25">
      <c r="A131" s="164">
        <v>1</v>
      </c>
      <c r="B131" s="164">
        <v>1998</v>
      </c>
      <c r="C131" s="164">
        <v>150</v>
      </c>
      <c r="D131" s="164">
        <v>131.9</v>
      </c>
      <c r="E131" s="164"/>
      <c r="F131" s="164" t="s">
        <v>78</v>
      </c>
      <c r="G131" s="164"/>
      <c r="I131" s="169">
        <v>99.3</v>
      </c>
      <c r="J131" s="161">
        <v>1</v>
      </c>
      <c r="K131" s="161">
        <v>1998</v>
      </c>
      <c r="L131" s="170">
        <v>17629</v>
      </c>
      <c r="M131" s="169">
        <v>285</v>
      </c>
      <c r="N131" s="169">
        <f t="shared" si="4"/>
        <v>423.62537764350452</v>
      </c>
      <c r="O131" s="170">
        <v>7614</v>
      </c>
      <c r="P131" s="169">
        <v>599.6</v>
      </c>
      <c r="Q131" s="169">
        <f t="shared" si="2"/>
        <v>891.24833836858011</v>
      </c>
      <c r="R131" s="170">
        <v>11958</v>
      </c>
      <c r="S131" s="169">
        <v>185.4</v>
      </c>
      <c r="T131" s="169">
        <f t="shared" si="3"/>
        <v>275.57945619335351</v>
      </c>
      <c r="V131" s="164" t="s">
        <v>7</v>
      </c>
      <c r="W131" s="168">
        <f>IF('Tab3'!C18="",'Tab3'!C17,'Tab3'!C18)</f>
        <v>4950.7766367349996</v>
      </c>
      <c r="X131" s="168">
        <f>IF('Tab3'!D18="",'Tab3'!D17,'Tab3'!D18)</f>
        <v>5397.5735274389999</v>
      </c>
      <c r="Y131" s="168">
        <f>IF('Tab3'!E18="",'Tab3'!E17,'Tab3'!E18)</f>
        <v>5650.9223836729998</v>
      </c>
    </row>
    <row r="132" spans="1:25" x14ac:dyDescent="0.25">
      <c r="A132" s="164">
        <v>2</v>
      </c>
      <c r="B132" s="164"/>
      <c r="C132" s="164">
        <f>289.8-C131</f>
        <v>139.80000000000001</v>
      </c>
      <c r="D132" s="164">
        <f>253.9-D131</f>
        <v>122</v>
      </c>
      <c r="E132" s="164"/>
      <c r="F132" s="164" t="s">
        <v>79</v>
      </c>
      <c r="G132" s="164" t="s">
        <v>80</v>
      </c>
      <c r="I132" s="169">
        <v>99.7</v>
      </c>
      <c r="J132" s="161">
        <v>2</v>
      </c>
      <c r="L132" s="170">
        <v>14484</v>
      </c>
      <c r="M132" s="169">
        <v>253.5</v>
      </c>
      <c r="N132" s="169">
        <f t="shared" si="4"/>
        <v>375.2918756268806</v>
      </c>
      <c r="O132" s="170">
        <v>6009</v>
      </c>
      <c r="P132" s="169">
        <v>576.9</v>
      </c>
      <c r="Q132" s="169">
        <f t="shared" si="2"/>
        <v>854.06659979939809</v>
      </c>
      <c r="R132" s="170">
        <v>15060</v>
      </c>
      <c r="S132" s="169">
        <v>204.20000000000002</v>
      </c>
      <c r="T132" s="169">
        <f t="shared" si="3"/>
        <v>302.30611835506517</v>
      </c>
      <c r="V132" s="161" t="s">
        <v>113</v>
      </c>
      <c r="W132" s="168">
        <f>IF('Tab10'!C8="",'Tab10'!C7,'Tab10'!C8)</f>
        <v>7377.228430911</v>
      </c>
      <c r="X132" s="168">
        <f>IF('Tab10'!D8="",'Tab10'!D7,'Tab10'!D8)</f>
        <v>7122.0658691990002</v>
      </c>
      <c r="Y132" s="168">
        <f>IF('Tab10'!E8="",'Tab10'!E7,'Tab10'!E8)</f>
        <v>9512.4768482180007</v>
      </c>
    </row>
    <row r="133" spans="1:25" x14ac:dyDescent="0.25">
      <c r="A133" s="164">
        <v>3</v>
      </c>
      <c r="B133" s="164"/>
      <c r="C133" s="164">
        <f>+E133-C131-C132</f>
        <v>128.09999999999997</v>
      </c>
      <c r="D133" s="164">
        <f>+G133-D131-D132</f>
        <v>112.1</v>
      </c>
      <c r="E133" s="164">
        <v>417.9</v>
      </c>
      <c r="G133" s="164">
        <v>366</v>
      </c>
      <c r="I133" s="173">
        <v>99.8</v>
      </c>
      <c r="J133" s="161">
        <v>3</v>
      </c>
      <c r="L133" s="170">
        <v>15693</v>
      </c>
      <c r="M133" s="169">
        <v>257.89999999999998</v>
      </c>
      <c r="N133" s="169">
        <f t="shared" si="4"/>
        <v>381.42324649298592</v>
      </c>
      <c r="O133" s="170">
        <v>8328</v>
      </c>
      <c r="P133" s="169">
        <v>432.80000000000018</v>
      </c>
      <c r="Q133" s="169">
        <f t="shared" si="2"/>
        <v>640.09298597194413</v>
      </c>
      <c r="R133" s="170">
        <v>17098</v>
      </c>
      <c r="S133" s="169">
        <v>209.60000000000002</v>
      </c>
      <c r="T133" s="169">
        <f t="shared" si="3"/>
        <v>309.98957915831664</v>
      </c>
      <c r="V133" s="164" t="s">
        <v>9</v>
      </c>
      <c r="W133" s="168">
        <f>IF('Tab3'!C22="",'Tab3'!C21,'Tab3'!C22)</f>
        <v>13539.56</v>
      </c>
      <c r="X133" s="168">
        <f>IF('Tab3'!D22="",'Tab3'!D21,'Tab3'!D22)</f>
        <v>12623.589153782999</v>
      </c>
      <c r="Y133" s="168">
        <f>IF('Tab3'!E22="",'Tab3'!E21,'Tab3'!E22)</f>
        <v>11956.071666667</v>
      </c>
    </row>
    <row r="134" spans="1:25" x14ac:dyDescent="0.25">
      <c r="A134" s="164">
        <v>4</v>
      </c>
      <c r="B134" s="164"/>
      <c r="C134" s="164">
        <f>+E134-E133</f>
        <v>141.80000000000007</v>
      </c>
      <c r="D134" s="164">
        <f>+G134-G133</f>
        <v>125.60000000000002</v>
      </c>
      <c r="E134" s="164">
        <v>559.70000000000005</v>
      </c>
      <c r="G134" s="164">
        <v>491.6</v>
      </c>
      <c r="I134" s="173">
        <v>100.7</v>
      </c>
      <c r="J134" s="161">
        <v>4</v>
      </c>
      <c r="L134" s="170">
        <v>16502</v>
      </c>
      <c r="M134" s="169">
        <v>299.10000000000002</v>
      </c>
      <c r="N134" s="169">
        <f t="shared" si="4"/>
        <v>438.40278053624627</v>
      </c>
      <c r="O134" s="170">
        <v>7526</v>
      </c>
      <c r="P134" s="169">
        <v>738.59999999999945</v>
      </c>
      <c r="Q134" s="169">
        <f t="shared" si="2"/>
        <v>1082.5954319761659</v>
      </c>
      <c r="R134" s="170">
        <v>14647</v>
      </c>
      <c r="S134" s="169">
        <v>205.79999999999995</v>
      </c>
      <c r="T134" s="169">
        <f t="shared" si="3"/>
        <v>301.6492552135054</v>
      </c>
    </row>
    <row r="135" spans="1:25" x14ac:dyDescent="0.25">
      <c r="A135" s="164">
        <v>1</v>
      </c>
      <c r="B135" s="164">
        <v>1999</v>
      </c>
      <c r="C135" s="164">
        <f>+E135</f>
        <v>154.19999999999999</v>
      </c>
      <c r="D135" s="164">
        <f>+G135</f>
        <v>137.1</v>
      </c>
      <c r="E135" s="164">
        <v>154.19999999999999</v>
      </c>
      <c r="G135" s="164">
        <v>137.1</v>
      </c>
      <c r="I135" s="173">
        <v>101.4</v>
      </c>
      <c r="J135" s="161">
        <v>1</v>
      </c>
      <c r="K135" s="161">
        <v>1999</v>
      </c>
      <c r="L135" s="170">
        <v>18095</v>
      </c>
      <c r="M135" s="169">
        <v>328.50000000000006</v>
      </c>
      <c r="N135" s="169">
        <f t="shared" si="4"/>
        <v>478.17159763313612</v>
      </c>
      <c r="O135" s="170">
        <v>8863</v>
      </c>
      <c r="P135" s="169">
        <v>689.1</v>
      </c>
      <c r="Q135" s="169">
        <f t="shared" si="2"/>
        <v>1003.0686390532544</v>
      </c>
      <c r="R135" s="170">
        <v>11175</v>
      </c>
      <c r="S135" s="169">
        <v>162.80000000000001</v>
      </c>
      <c r="T135" s="169">
        <f t="shared" si="3"/>
        <v>236.97514792899406</v>
      </c>
    </row>
    <row r="136" spans="1:25" x14ac:dyDescent="0.25">
      <c r="A136" s="164">
        <v>2</v>
      </c>
      <c r="B136" s="164"/>
      <c r="C136" s="164">
        <f>+E136-E135</f>
        <v>159.30000000000001</v>
      </c>
      <c r="D136" s="164">
        <f>+G136-G135</f>
        <v>140.70000000000002</v>
      </c>
      <c r="E136" s="164">
        <v>313.5</v>
      </c>
      <c r="G136" s="164">
        <v>277.8</v>
      </c>
      <c r="I136" s="173">
        <v>102.2</v>
      </c>
      <c r="J136" s="161">
        <v>2</v>
      </c>
      <c r="L136" s="170">
        <v>12899</v>
      </c>
      <c r="M136" s="169">
        <v>332.7</v>
      </c>
      <c r="N136" s="169">
        <f t="shared" si="4"/>
        <v>480.49432485322893</v>
      </c>
      <c r="O136" s="170">
        <v>5920</v>
      </c>
      <c r="P136" s="169">
        <v>874.6</v>
      </c>
      <c r="Q136" s="169">
        <f t="shared" si="2"/>
        <v>1263.120939334638</v>
      </c>
      <c r="R136" s="170">
        <v>12451</v>
      </c>
      <c r="S136" s="169">
        <v>199.09999999999997</v>
      </c>
      <c r="T136" s="169">
        <f t="shared" si="3"/>
        <v>287.5455968688845</v>
      </c>
    </row>
    <row r="137" spans="1:25" x14ac:dyDescent="0.25">
      <c r="A137" s="164">
        <v>3</v>
      </c>
      <c r="B137" s="164"/>
      <c r="C137" s="164">
        <f>+E137-E136</f>
        <v>146.30000000000001</v>
      </c>
      <c r="D137" s="164">
        <f>+G137-G136</f>
        <v>128.69999999999999</v>
      </c>
      <c r="E137" s="164">
        <v>459.8</v>
      </c>
      <c r="G137" s="164">
        <v>406.5</v>
      </c>
      <c r="I137" s="173">
        <v>101.7</v>
      </c>
      <c r="J137" s="161">
        <v>3</v>
      </c>
      <c r="L137" s="170">
        <v>23305</v>
      </c>
      <c r="M137" s="169">
        <v>445.5</v>
      </c>
      <c r="N137" s="169">
        <f t="shared" si="4"/>
        <v>646.56637168141583</v>
      </c>
      <c r="O137" s="170">
        <v>11181</v>
      </c>
      <c r="P137" s="169">
        <v>566.99999999999977</v>
      </c>
      <c r="Q137" s="169">
        <f t="shared" si="2"/>
        <v>822.90265486725627</v>
      </c>
      <c r="R137" s="170">
        <v>18817</v>
      </c>
      <c r="S137" s="169">
        <v>227.70000000000005</v>
      </c>
      <c r="T137" s="169">
        <f t="shared" si="3"/>
        <v>330.46725663716819</v>
      </c>
    </row>
    <row r="138" spans="1:25" x14ac:dyDescent="0.25">
      <c r="A138" s="164">
        <v>4</v>
      </c>
      <c r="B138" s="164"/>
      <c r="C138" s="164">
        <f>+E138-E137</f>
        <v>141.90000000000003</v>
      </c>
      <c r="D138" s="164">
        <f>+G138-G137</f>
        <v>126.39999999999998</v>
      </c>
      <c r="E138" s="164">
        <v>601.70000000000005</v>
      </c>
      <c r="G138" s="164">
        <v>532.9</v>
      </c>
      <c r="I138" s="169">
        <v>103.5</v>
      </c>
      <c r="J138" s="161">
        <v>4</v>
      </c>
      <c r="L138" s="170">
        <v>18359</v>
      </c>
      <c r="M138" s="169">
        <v>410.59999999999968</v>
      </c>
      <c r="N138" s="169">
        <f t="shared" si="4"/>
        <v>585.55130434782563</v>
      </c>
      <c r="O138" s="170">
        <v>9544</v>
      </c>
      <c r="P138" s="169">
        <v>935.5</v>
      </c>
      <c r="Q138" s="169">
        <f t="shared" si="2"/>
        <v>1334.104347826087</v>
      </c>
      <c r="R138" s="170">
        <v>13692</v>
      </c>
      <c r="S138" s="169">
        <v>192.19999999999993</v>
      </c>
      <c r="T138" s="169">
        <f t="shared" si="3"/>
        <v>274.09391304347815</v>
      </c>
    </row>
    <row r="139" spans="1:25" x14ac:dyDescent="0.25">
      <c r="A139" s="164">
        <v>1</v>
      </c>
      <c r="B139" s="164">
        <v>2000</v>
      </c>
      <c r="C139" s="164">
        <f>+E139</f>
        <v>169.1</v>
      </c>
      <c r="D139" s="164">
        <f>+G139</f>
        <v>150.9</v>
      </c>
      <c r="E139" s="164">
        <v>169.1</v>
      </c>
      <c r="G139" s="164">
        <v>150.9</v>
      </c>
      <c r="I139" s="169">
        <v>104.6</v>
      </c>
      <c r="J139" s="161">
        <v>1</v>
      </c>
      <c r="K139" s="161">
        <v>2000</v>
      </c>
      <c r="L139" s="170">
        <v>17570</v>
      </c>
      <c r="M139" s="169">
        <v>345.9</v>
      </c>
      <c r="N139" s="169">
        <f t="shared" si="4"/>
        <v>488.09598470363284</v>
      </c>
      <c r="O139" s="170">
        <v>9154</v>
      </c>
      <c r="P139" s="169">
        <v>819.9</v>
      </c>
      <c r="Q139" s="169">
        <f t="shared" si="2"/>
        <v>1156.9525812619504</v>
      </c>
      <c r="R139" s="170">
        <v>12421</v>
      </c>
      <c r="S139" s="169">
        <v>198</v>
      </c>
      <c r="T139" s="169">
        <f t="shared" si="3"/>
        <v>279.39579349904398</v>
      </c>
    </row>
    <row r="140" spans="1:25" x14ac:dyDescent="0.25">
      <c r="A140" s="164">
        <v>2</v>
      </c>
      <c r="B140" s="164"/>
      <c r="C140" s="164">
        <f>+E140-E139</f>
        <v>151.50000000000003</v>
      </c>
      <c r="D140" s="164">
        <f>+G140-G139</f>
        <v>133.4</v>
      </c>
      <c r="E140" s="164">
        <v>320.60000000000002</v>
      </c>
      <c r="G140" s="164">
        <v>284.3</v>
      </c>
      <c r="I140" s="169">
        <v>105.1</v>
      </c>
      <c r="J140" s="161">
        <v>2</v>
      </c>
      <c r="L140" s="170">
        <v>14069</v>
      </c>
      <c r="M140" s="169">
        <v>252.39999999999998</v>
      </c>
      <c r="N140" s="169">
        <f t="shared" si="4"/>
        <v>354.4647002854424</v>
      </c>
      <c r="O140" s="170">
        <v>10238</v>
      </c>
      <c r="P140" s="169">
        <v>674.19999999999993</v>
      </c>
      <c r="Q140" s="169">
        <f t="shared" si="2"/>
        <v>946.83082778306368</v>
      </c>
      <c r="R140" s="170">
        <v>13950</v>
      </c>
      <c r="S140" s="169">
        <v>184.5</v>
      </c>
      <c r="T140" s="169">
        <f t="shared" si="3"/>
        <v>259.10751665080875</v>
      </c>
    </row>
    <row r="141" spans="1:25" x14ac:dyDescent="0.25">
      <c r="A141" s="164">
        <v>3</v>
      </c>
      <c r="B141" s="164"/>
      <c r="C141" s="164">
        <f>+E141-E140</f>
        <v>139</v>
      </c>
      <c r="D141" s="164">
        <f>+G141-G140</f>
        <v>123.5</v>
      </c>
      <c r="E141" s="164">
        <v>459.6</v>
      </c>
      <c r="G141" s="164">
        <v>407.8</v>
      </c>
      <c r="I141" s="169">
        <v>105.3</v>
      </c>
      <c r="J141" s="161">
        <v>3</v>
      </c>
      <c r="L141" s="170">
        <v>16329</v>
      </c>
      <c r="M141" s="169">
        <v>313.5</v>
      </c>
      <c r="N141" s="169">
        <f t="shared" si="4"/>
        <v>439.4358974358974</v>
      </c>
      <c r="O141" s="170">
        <v>13877</v>
      </c>
      <c r="P141" s="169">
        <v>706.20000000000027</v>
      </c>
      <c r="Q141" s="169">
        <f t="shared" si="2"/>
        <v>989.88717948717976</v>
      </c>
      <c r="R141" s="170">
        <v>14850</v>
      </c>
      <c r="S141" s="169">
        <v>193.89999999999998</v>
      </c>
      <c r="T141" s="169">
        <f t="shared" si="3"/>
        <v>271.79145299145296</v>
      </c>
    </row>
    <row r="142" spans="1:25" x14ac:dyDescent="0.25">
      <c r="A142" s="164">
        <v>4</v>
      </c>
      <c r="B142" s="164"/>
      <c r="C142" s="164">
        <f>+E142-E141</f>
        <v>135.10000000000002</v>
      </c>
      <c r="D142" s="164">
        <f>+G142-G141</f>
        <v>121.40000000000003</v>
      </c>
      <c r="E142" s="164">
        <v>594.70000000000005</v>
      </c>
      <c r="G142" s="164">
        <v>529.20000000000005</v>
      </c>
      <c r="I142" s="169">
        <v>106.8</v>
      </c>
      <c r="J142" s="161">
        <v>4</v>
      </c>
      <c r="L142" s="170">
        <v>21735</v>
      </c>
      <c r="M142" s="169">
        <v>484.79999999999995</v>
      </c>
      <c r="N142" s="169">
        <f t="shared" si="4"/>
        <v>670.00449438202236</v>
      </c>
      <c r="O142" s="170">
        <v>9978</v>
      </c>
      <c r="P142" s="169">
        <v>739.19999999999982</v>
      </c>
      <c r="Q142" s="169">
        <f t="shared" si="2"/>
        <v>1021.5910112359547</v>
      </c>
      <c r="R142" s="170">
        <v>13212</v>
      </c>
      <c r="S142" s="169">
        <v>215</v>
      </c>
      <c r="T142" s="169">
        <f t="shared" si="3"/>
        <v>297.13483146067415</v>
      </c>
    </row>
    <row r="143" spans="1:25" x14ac:dyDescent="0.25">
      <c r="A143" s="164">
        <v>1</v>
      </c>
      <c r="B143" s="164">
        <v>2001</v>
      </c>
      <c r="C143" s="164">
        <f>+E143</f>
        <v>158.5</v>
      </c>
      <c r="D143" s="164">
        <f>+G143</f>
        <v>143.1</v>
      </c>
      <c r="E143" s="164">
        <v>158.5</v>
      </c>
      <c r="G143" s="164">
        <v>143.1</v>
      </c>
      <c r="I143" s="169">
        <v>108.4</v>
      </c>
      <c r="J143" s="161">
        <v>1</v>
      </c>
      <c r="K143" s="161">
        <v>2001</v>
      </c>
      <c r="L143" s="170">
        <v>27280</v>
      </c>
      <c r="M143" s="169">
        <v>675.3</v>
      </c>
      <c r="N143" s="169">
        <f t="shared" si="4"/>
        <v>919.5044280442803</v>
      </c>
      <c r="O143" s="170">
        <v>7776</v>
      </c>
      <c r="P143" s="169">
        <v>877</v>
      </c>
      <c r="Q143" s="169">
        <f t="shared" si="2"/>
        <v>1194.1439114391142</v>
      </c>
      <c r="R143" s="170">
        <v>10538</v>
      </c>
      <c r="S143" s="169">
        <v>164.1</v>
      </c>
      <c r="T143" s="169">
        <f t="shared" si="3"/>
        <v>223.44243542435422</v>
      </c>
    </row>
    <row r="144" spans="1:25" x14ac:dyDescent="0.25">
      <c r="A144" s="164">
        <v>2</v>
      </c>
      <c r="B144" s="164"/>
      <c r="C144" s="164">
        <f>+E144-E143</f>
        <v>140.45999999999998</v>
      </c>
      <c r="D144" s="164">
        <f>+G144-G143</f>
        <v>125.70000000000002</v>
      </c>
      <c r="E144" s="164">
        <v>298.95999999999998</v>
      </c>
      <c r="G144" s="164">
        <v>268.8</v>
      </c>
      <c r="I144" s="169">
        <v>109.6</v>
      </c>
      <c r="J144" s="161">
        <v>2</v>
      </c>
      <c r="L144" s="170">
        <v>17111</v>
      </c>
      <c r="M144" s="169">
        <v>452</v>
      </c>
      <c r="N144" s="169">
        <f t="shared" si="4"/>
        <v>608.71532846715331</v>
      </c>
      <c r="O144" s="170">
        <v>5711</v>
      </c>
      <c r="P144" s="169">
        <v>923</v>
      </c>
      <c r="Q144" s="169">
        <f t="shared" si="2"/>
        <v>1243.0182481751824</v>
      </c>
      <c r="R144" s="170">
        <v>11841</v>
      </c>
      <c r="S144" s="169">
        <v>190.29999999999998</v>
      </c>
      <c r="T144" s="169">
        <f t="shared" si="3"/>
        <v>256.27992700729925</v>
      </c>
    </row>
    <row r="145" spans="1:20" x14ac:dyDescent="0.25">
      <c r="A145" s="164">
        <v>3</v>
      </c>
      <c r="C145" s="164">
        <f>+E145-E144</f>
        <v>134.24</v>
      </c>
      <c r="D145" s="164">
        <f>+G145-G144</f>
        <v>119.19999999999999</v>
      </c>
      <c r="E145" s="164">
        <v>433.2</v>
      </c>
      <c r="G145" s="164">
        <v>388</v>
      </c>
      <c r="I145" s="169">
        <v>108.1</v>
      </c>
      <c r="J145" s="161">
        <v>3</v>
      </c>
      <c r="L145" s="170">
        <v>16407</v>
      </c>
      <c r="M145" s="169">
        <v>400.40000000000009</v>
      </c>
      <c r="N145" s="169">
        <f t="shared" si="4"/>
        <v>546.70712303422772</v>
      </c>
      <c r="O145" s="170">
        <v>15359</v>
      </c>
      <c r="P145" s="169">
        <v>1172.1999999999998</v>
      </c>
      <c r="Q145" s="169">
        <f t="shared" si="2"/>
        <v>1600.5246993524513</v>
      </c>
      <c r="R145" s="170">
        <v>13534</v>
      </c>
      <c r="S145" s="169">
        <v>158.5</v>
      </c>
      <c r="T145" s="169">
        <f t="shared" si="3"/>
        <v>216.41628122109157</v>
      </c>
    </row>
    <row r="146" spans="1:20" x14ac:dyDescent="0.25">
      <c r="A146" s="164">
        <v>4</v>
      </c>
      <c r="C146" s="164">
        <f>+E146-E145</f>
        <v>137.49520000000001</v>
      </c>
      <c r="D146" s="164">
        <f>+G146-G145</f>
        <v>124.07220000000007</v>
      </c>
      <c r="E146" s="172">
        <v>570.6952</v>
      </c>
      <c r="F146" s="177"/>
      <c r="G146" s="172">
        <v>512.07220000000007</v>
      </c>
      <c r="I146" s="169">
        <v>108.7</v>
      </c>
      <c r="J146" s="161">
        <v>4</v>
      </c>
      <c r="L146" s="170">
        <v>16945</v>
      </c>
      <c r="M146" s="169">
        <v>509.39999999999986</v>
      </c>
      <c r="N146" s="169">
        <f t="shared" si="4"/>
        <v>691.69678012879456</v>
      </c>
      <c r="O146" s="170">
        <v>9601</v>
      </c>
      <c r="P146" s="169">
        <v>803.30000000000018</v>
      </c>
      <c r="Q146" s="169">
        <f t="shared" si="2"/>
        <v>1090.7735050597978</v>
      </c>
      <c r="R146" s="170">
        <v>12341</v>
      </c>
      <c r="S146" s="169">
        <v>258.5</v>
      </c>
      <c r="T146" s="169">
        <f t="shared" si="3"/>
        <v>351.0082796688132</v>
      </c>
    </row>
    <row r="147" spans="1:20" x14ac:dyDescent="0.25">
      <c r="A147" s="164">
        <v>1</v>
      </c>
      <c r="B147" s="164">
        <v>2002</v>
      </c>
      <c r="C147" s="164">
        <f>+E147</f>
        <v>155.81399999999999</v>
      </c>
      <c r="D147" s="164">
        <f>+G147</f>
        <v>141.72399999999999</v>
      </c>
      <c r="E147" s="172">
        <v>155.81399999999999</v>
      </c>
      <c r="F147" s="177"/>
      <c r="G147" s="172">
        <v>141.72399999999999</v>
      </c>
      <c r="I147" s="169">
        <v>109.3</v>
      </c>
      <c r="J147" s="161">
        <v>1</v>
      </c>
      <c r="K147" s="161">
        <v>2002</v>
      </c>
      <c r="L147" s="170">
        <v>17523</v>
      </c>
      <c r="M147" s="169">
        <v>466.5</v>
      </c>
      <c r="N147" s="169">
        <f t="shared" si="4"/>
        <v>629.96706312900267</v>
      </c>
      <c r="O147" s="170">
        <v>6856</v>
      </c>
      <c r="P147" s="169">
        <v>820.40000000000009</v>
      </c>
      <c r="Q147" s="169">
        <f t="shared" si="2"/>
        <v>1107.8777676120769</v>
      </c>
      <c r="R147" s="170">
        <v>9371</v>
      </c>
      <c r="S147" s="169">
        <v>197.9</v>
      </c>
      <c r="T147" s="169">
        <f t="shared" si="3"/>
        <v>267.24647758462947</v>
      </c>
    </row>
    <row r="148" spans="1:20" x14ac:dyDescent="0.25">
      <c r="A148" s="164">
        <v>2</v>
      </c>
      <c r="B148" s="164"/>
      <c r="C148" s="164">
        <f>+E148-E147</f>
        <v>146.54300000000003</v>
      </c>
      <c r="D148" s="164">
        <f>+G148-G147</f>
        <v>133.19</v>
      </c>
      <c r="E148" s="164">
        <v>302.35700000000003</v>
      </c>
      <c r="G148" s="164">
        <v>274.91399999999999</v>
      </c>
      <c r="I148" s="169">
        <v>110</v>
      </c>
      <c r="J148" s="161">
        <v>2</v>
      </c>
      <c r="L148" s="170">
        <v>17469</v>
      </c>
      <c r="M148" s="169">
        <v>408.5</v>
      </c>
      <c r="N148" s="169">
        <f t="shared" si="4"/>
        <v>548.13272727272727</v>
      </c>
      <c r="O148" s="170">
        <v>9323</v>
      </c>
      <c r="P148" s="169">
        <v>689.09999999999991</v>
      </c>
      <c r="Q148" s="169">
        <f t="shared" si="2"/>
        <v>924.64690909090893</v>
      </c>
      <c r="R148" s="170">
        <v>14749</v>
      </c>
      <c r="S148" s="169">
        <v>233.49999999999997</v>
      </c>
      <c r="T148" s="169">
        <f t="shared" si="3"/>
        <v>313.3145454545454</v>
      </c>
    </row>
    <row r="149" spans="1:20" x14ac:dyDescent="0.25">
      <c r="A149" s="164">
        <v>3</v>
      </c>
      <c r="C149" s="164">
        <f>+E149-E148</f>
        <v>146.23099999999999</v>
      </c>
      <c r="D149" s="164">
        <f>+G149-G148</f>
        <v>127.14100000000002</v>
      </c>
      <c r="E149" s="164">
        <v>448.58800000000002</v>
      </c>
      <c r="G149" s="164">
        <v>402.05500000000001</v>
      </c>
      <c r="I149" s="169">
        <v>109.6</v>
      </c>
      <c r="J149" s="161">
        <v>3</v>
      </c>
      <c r="L149" s="170">
        <v>19641</v>
      </c>
      <c r="M149" s="169">
        <v>503</v>
      </c>
      <c r="N149" s="169">
        <f t="shared" si="4"/>
        <v>677.39781021897807</v>
      </c>
      <c r="O149" s="170">
        <v>17422</v>
      </c>
      <c r="P149" s="169">
        <v>895.90000000000009</v>
      </c>
      <c r="Q149" s="169">
        <f t="shared" si="2"/>
        <v>1206.5222627737228</v>
      </c>
      <c r="R149" s="170">
        <v>14722</v>
      </c>
      <c r="S149" s="169">
        <v>184.5</v>
      </c>
      <c r="T149" s="169">
        <f t="shared" si="3"/>
        <v>248.46897810218979</v>
      </c>
    </row>
    <row r="150" spans="1:20" x14ac:dyDescent="0.25">
      <c r="A150" s="164">
        <v>4</v>
      </c>
      <c r="C150" s="164">
        <f>+E150-E149</f>
        <v>137.96699999999993</v>
      </c>
      <c r="D150" s="164">
        <f>+G150-G149</f>
        <v>124.64100000000002</v>
      </c>
      <c r="E150" s="172">
        <v>586.55499999999995</v>
      </c>
      <c r="F150" s="177"/>
      <c r="G150" s="172">
        <v>526.69600000000003</v>
      </c>
      <c r="I150" s="169">
        <v>111</v>
      </c>
      <c r="J150" s="161">
        <v>4</v>
      </c>
      <c r="L150" s="170">
        <v>17442</v>
      </c>
      <c r="M150" s="169">
        <v>464.20000000000005</v>
      </c>
      <c r="N150" s="169">
        <f t="shared" si="4"/>
        <v>617.26054054054055</v>
      </c>
      <c r="O150" s="170">
        <v>8123</v>
      </c>
      <c r="P150" s="169">
        <v>938.5</v>
      </c>
      <c r="Q150" s="169">
        <f t="shared" si="2"/>
        <v>1247.9513513513514</v>
      </c>
      <c r="R150" s="170">
        <v>14689</v>
      </c>
      <c r="S150" s="169">
        <v>194.00000000000011</v>
      </c>
      <c r="T150" s="169">
        <f t="shared" si="3"/>
        <v>257.9675675675677</v>
      </c>
    </row>
    <row r="151" spans="1:20" x14ac:dyDescent="0.25">
      <c r="A151" s="164">
        <v>1</v>
      </c>
      <c r="B151" s="164">
        <v>2003</v>
      </c>
      <c r="C151" s="172">
        <f>+E151</f>
        <v>165.679</v>
      </c>
      <c r="D151" s="164">
        <f>+G151</f>
        <v>150.81100000000001</v>
      </c>
      <c r="E151" s="172">
        <v>165.679</v>
      </c>
      <c r="F151" s="177"/>
      <c r="G151" s="172">
        <v>150.81100000000001</v>
      </c>
      <c r="I151" s="169">
        <v>114.6</v>
      </c>
      <c r="J151" s="161">
        <v>1</v>
      </c>
      <c r="K151" s="161">
        <v>2003</v>
      </c>
      <c r="L151" s="170">
        <v>22781</v>
      </c>
      <c r="M151" s="169">
        <v>626.79999999999995</v>
      </c>
      <c r="N151" s="169">
        <f t="shared" si="4"/>
        <v>807.29214659685852</v>
      </c>
      <c r="O151" s="170">
        <v>6823</v>
      </c>
      <c r="P151" s="169">
        <v>1087.2</v>
      </c>
      <c r="Q151" s="169">
        <f t="shared" si="2"/>
        <v>1400.2680628272253</v>
      </c>
      <c r="R151" s="170">
        <v>10626</v>
      </c>
      <c r="S151" s="169">
        <v>183</v>
      </c>
      <c r="T151" s="169">
        <f t="shared" si="3"/>
        <v>235.69633507853402</v>
      </c>
    </row>
    <row r="152" spans="1:20" x14ac:dyDescent="0.25">
      <c r="A152" s="164">
        <v>2</v>
      </c>
      <c r="B152" s="164"/>
      <c r="C152" s="172">
        <f>+E152-E151</f>
        <v>135.02099999999999</v>
      </c>
      <c r="D152" s="164">
        <f>+G152-G151</f>
        <v>121.10099999999997</v>
      </c>
      <c r="E152" s="164">
        <v>300.7</v>
      </c>
      <c r="G152" s="164">
        <v>271.91199999999998</v>
      </c>
      <c r="I152" s="169">
        <v>112.3</v>
      </c>
      <c r="J152" s="161">
        <v>2</v>
      </c>
      <c r="L152" s="170">
        <v>15417</v>
      </c>
      <c r="M152" s="169">
        <v>406.10000000000014</v>
      </c>
      <c r="N152" s="169">
        <f t="shared" si="4"/>
        <v>533.75209260908298</v>
      </c>
      <c r="O152" s="170">
        <v>5618</v>
      </c>
      <c r="P152" s="169">
        <v>817.8</v>
      </c>
      <c r="Q152" s="169">
        <f t="shared" si="2"/>
        <v>1074.8644701691896</v>
      </c>
      <c r="R152" s="170">
        <v>12719</v>
      </c>
      <c r="S152" s="169">
        <v>203.2</v>
      </c>
      <c r="T152" s="169">
        <f t="shared" si="3"/>
        <v>267.07319679430094</v>
      </c>
    </row>
    <row r="153" spans="1:20" x14ac:dyDescent="0.25">
      <c r="A153" s="164">
        <v>3</v>
      </c>
      <c r="B153" s="164"/>
      <c r="C153" s="172">
        <f>+E153-E152</f>
        <v>134.11099999999999</v>
      </c>
      <c r="D153" s="164">
        <f>+G153-G152</f>
        <v>119.49100000000004</v>
      </c>
      <c r="E153" s="164">
        <v>434.81099999999998</v>
      </c>
      <c r="G153" s="164">
        <v>391.40300000000002</v>
      </c>
      <c r="I153" s="169">
        <v>111.9</v>
      </c>
      <c r="J153" s="161">
        <v>3</v>
      </c>
      <c r="L153" s="170">
        <v>18848</v>
      </c>
      <c r="M153" s="169">
        <v>430.5</v>
      </c>
      <c r="N153" s="169">
        <f t="shared" si="4"/>
        <v>567.84450402144762</v>
      </c>
      <c r="O153" s="170">
        <v>16056</v>
      </c>
      <c r="P153" s="169">
        <v>860.19999999999982</v>
      </c>
      <c r="Q153" s="169">
        <f t="shared" si="2"/>
        <v>1134.6337801608577</v>
      </c>
      <c r="R153" s="170">
        <v>13690</v>
      </c>
      <c r="S153" s="169">
        <v>188.8</v>
      </c>
      <c r="T153" s="169">
        <f t="shared" si="3"/>
        <v>249.0337801608579</v>
      </c>
    </row>
    <row r="154" spans="1:20" x14ac:dyDescent="0.25">
      <c r="A154" s="164">
        <v>4</v>
      </c>
      <c r="B154" s="164"/>
      <c r="C154" s="172">
        <f>+E154-E153</f>
        <v>142.01299999999998</v>
      </c>
      <c r="D154" s="164">
        <f>+G154-G153</f>
        <v>125.95899999999995</v>
      </c>
      <c r="E154" s="164">
        <v>576.82399999999996</v>
      </c>
      <c r="G154" s="164">
        <v>517.36199999999997</v>
      </c>
      <c r="I154" s="169">
        <v>112.6</v>
      </c>
      <c r="J154" s="161">
        <v>4</v>
      </c>
      <c r="L154" s="170">
        <v>16096</v>
      </c>
      <c r="M154" s="169">
        <v>471.89999999999986</v>
      </c>
      <c r="N154" s="169">
        <f t="shared" si="4"/>
        <v>618.58294849023071</v>
      </c>
      <c r="O154" s="170">
        <v>7652</v>
      </c>
      <c r="P154" s="169">
        <v>762.30000000000018</v>
      </c>
      <c r="Q154" s="169">
        <f t="shared" si="2"/>
        <v>999.24937833037325</v>
      </c>
      <c r="R154" s="170">
        <v>11607</v>
      </c>
      <c r="S154" s="169">
        <v>220.90000000000009</v>
      </c>
      <c r="T154" s="169">
        <f t="shared" si="3"/>
        <v>289.56341030195398</v>
      </c>
    </row>
    <row r="155" spans="1:20" x14ac:dyDescent="0.25">
      <c r="A155" s="164">
        <v>1</v>
      </c>
      <c r="B155" s="164">
        <v>2004</v>
      </c>
      <c r="C155" s="172">
        <f>+E155</f>
        <v>168.309</v>
      </c>
      <c r="D155" s="164">
        <f>+G155</f>
        <v>153.04300000000001</v>
      </c>
      <c r="E155" s="164">
        <v>168.309</v>
      </c>
      <c r="G155" s="164">
        <v>153.04300000000001</v>
      </c>
      <c r="I155" s="169">
        <v>112.6</v>
      </c>
      <c r="J155" s="161">
        <v>1</v>
      </c>
      <c r="K155" s="161">
        <v>2004</v>
      </c>
      <c r="L155" s="170">
        <v>17805</v>
      </c>
      <c r="M155" s="169">
        <v>517.69999999999993</v>
      </c>
      <c r="N155" s="169">
        <f t="shared" si="4"/>
        <v>678.61918294849011</v>
      </c>
      <c r="O155" s="170">
        <v>7033</v>
      </c>
      <c r="P155" s="169">
        <v>735.2</v>
      </c>
      <c r="Q155" s="169">
        <f t="shared" si="2"/>
        <v>963.7257548845472</v>
      </c>
      <c r="R155" s="170">
        <v>8913</v>
      </c>
      <c r="S155" s="169">
        <v>178.89999999999998</v>
      </c>
      <c r="T155" s="169">
        <f t="shared" si="3"/>
        <v>234.50834813499108</v>
      </c>
    </row>
    <row r="156" spans="1:20" x14ac:dyDescent="0.25">
      <c r="A156" s="164">
        <v>2</v>
      </c>
      <c r="B156" s="164"/>
      <c r="C156" s="172">
        <f>+E156-E155</f>
        <v>140.26700000000002</v>
      </c>
      <c r="D156" s="164">
        <f>+G156-G155</f>
        <v>125.56799999999998</v>
      </c>
      <c r="E156" s="164">
        <v>308.57600000000002</v>
      </c>
      <c r="G156" s="164">
        <v>278.61099999999999</v>
      </c>
      <c r="I156" s="169">
        <v>113.4</v>
      </c>
      <c r="J156" s="161">
        <v>2</v>
      </c>
      <c r="L156" s="170">
        <v>13855</v>
      </c>
      <c r="M156" s="169">
        <v>344.69999999999993</v>
      </c>
      <c r="N156" s="169">
        <f t="shared" si="4"/>
        <v>448.65714285714273</v>
      </c>
      <c r="O156" s="170">
        <v>6436</v>
      </c>
      <c r="P156" s="169">
        <v>708.3</v>
      </c>
      <c r="Q156" s="169">
        <f t="shared" si="2"/>
        <v>921.9142857142856</v>
      </c>
      <c r="R156" s="170">
        <v>10802</v>
      </c>
      <c r="S156" s="169">
        <v>228.40000000000003</v>
      </c>
      <c r="T156" s="169">
        <f t="shared" si="3"/>
        <v>297.28253968253966</v>
      </c>
    </row>
    <row r="157" spans="1:20" x14ac:dyDescent="0.25">
      <c r="A157" s="164">
        <v>3</v>
      </c>
      <c r="B157" s="164"/>
      <c r="C157" s="172">
        <f>+E157-E156</f>
        <v>137.76999999999998</v>
      </c>
      <c r="D157" s="164">
        <f>+G157-G156</f>
        <v>123.12100000000004</v>
      </c>
      <c r="E157" s="164">
        <v>446.346</v>
      </c>
      <c r="G157" s="164">
        <v>401.73200000000003</v>
      </c>
      <c r="I157" s="169">
        <v>113</v>
      </c>
      <c r="J157" s="161">
        <v>3</v>
      </c>
      <c r="L157" s="170">
        <v>17630</v>
      </c>
      <c r="M157" s="169">
        <v>454.09999999999991</v>
      </c>
      <c r="N157" s="169">
        <f t="shared" si="4"/>
        <v>593.1430088495573</v>
      </c>
      <c r="O157" s="170">
        <v>11805</v>
      </c>
      <c r="P157" s="169">
        <v>652.69999999999982</v>
      </c>
      <c r="Q157" s="169">
        <f t="shared" si="2"/>
        <v>852.55327433628293</v>
      </c>
      <c r="R157" s="170">
        <v>11365</v>
      </c>
      <c r="S157" s="169">
        <v>160.7999999999999</v>
      </c>
      <c r="T157" s="169">
        <f t="shared" si="3"/>
        <v>210.03610619469012</v>
      </c>
    </row>
    <row r="158" spans="1:20" x14ac:dyDescent="0.25">
      <c r="A158" s="164">
        <v>4</v>
      </c>
      <c r="B158" s="164"/>
      <c r="C158" s="172">
        <f>+E158-E157</f>
        <v>137.68499999999995</v>
      </c>
      <c r="D158" s="164">
        <f>+G158-G157</f>
        <v>124.50600000000003</v>
      </c>
      <c r="E158" s="164">
        <v>584.03099999999995</v>
      </c>
      <c r="G158" s="164">
        <v>526.23800000000006</v>
      </c>
      <c r="I158" s="169">
        <v>114</v>
      </c>
      <c r="J158" s="161">
        <v>4</v>
      </c>
      <c r="L158" s="170">
        <v>16674</v>
      </c>
      <c r="M158" s="169">
        <v>428.20000000000027</v>
      </c>
      <c r="N158" s="169">
        <f t="shared" si="4"/>
        <v>554.40631578947409</v>
      </c>
      <c r="O158" s="170">
        <v>10088</v>
      </c>
      <c r="P158" s="169">
        <v>709.40000000000055</v>
      </c>
      <c r="Q158" s="169">
        <f t="shared" si="2"/>
        <v>918.48631578947436</v>
      </c>
      <c r="R158" s="170">
        <v>9276</v>
      </c>
      <c r="S158" s="169">
        <v>162.90000000000009</v>
      </c>
      <c r="T158" s="169">
        <f t="shared" si="3"/>
        <v>210.91263157894747</v>
      </c>
    </row>
    <row r="159" spans="1:20" x14ac:dyDescent="0.25">
      <c r="A159" s="164">
        <v>1</v>
      </c>
      <c r="B159" s="164">
        <v>2005</v>
      </c>
      <c r="C159" s="172">
        <f>+E159</f>
        <v>147.31100000000001</v>
      </c>
      <c r="D159" s="164">
        <f>+G159</f>
        <v>133.756</v>
      </c>
      <c r="E159" s="164">
        <v>147.31100000000001</v>
      </c>
      <c r="G159" s="164">
        <v>133.756</v>
      </c>
      <c r="I159" s="169">
        <v>113.7</v>
      </c>
      <c r="J159" s="161">
        <v>1</v>
      </c>
      <c r="K159" s="161">
        <v>2005</v>
      </c>
      <c r="L159" s="170">
        <v>15151</v>
      </c>
      <c r="M159" s="169">
        <v>418</v>
      </c>
      <c r="N159" s="169">
        <f t="shared" si="4"/>
        <v>542.62796833773086</v>
      </c>
      <c r="O159" s="170">
        <v>7287</v>
      </c>
      <c r="P159" s="169">
        <v>715.2</v>
      </c>
      <c r="Q159" s="169">
        <f t="shared" si="2"/>
        <v>928.43905013192602</v>
      </c>
      <c r="R159" s="170">
        <v>7498</v>
      </c>
      <c r="S159" s="169">
        <v>159.69999999999999</v>
      </c>
      <c r="T159" s="169">
        <f t="shared" si="3"/>
        <v>207.31503957783639</v>
      </c>
    </row>
    <row r="160" spans="1:20" x14ac:dyDescent="0.25">
      <c r="A160" s="164">
        <v>2</v>
      </c>
      <c r="B160" s="164"/>
      <c r="C160" s="172">
        <f>+E160-E159</f>
        <v>143.51699999999997</v>
      </c>
      <c r="D160" s="164">
        <f>+G160-G159</f>
        <v>128.79</v>
      </c>
      <c r="E160" s="164">
        <v>290.82799999999997</v>
      </c>
      <c r="G160" s="164">
        <v>262.54599999999999</v>
      </c>
      <c r="I160" s="169">
        <v>115.2</v>
      </c>
      <c r="J160" s="161">
        <v>2</v>
      </c>
      <c r="L160" s="170">
        <v>14855</v>
      </c>
      <c r="M160" s="169">
        <v>323.20000000000005</v>
      </c>
      <c r="N160" s="169">
        <f t="shared" si="4"/>
        <v>414.1</v>
      </c>
      <c r="O160" s="170">
        <v>6172</v>
      </c>
      <c r="P160" s="169">
        <v>745.5</v>
      </c>
      <c r="Q160" s="169">
        <f t="shared" si="2"/>
        <v>955.17187499999989</v>
      </c>
      <c r="R160" s="170">
        <v>11610</v>
      </c>
      <c r="S160" s="169">
        <v>152.50000000000006</v>
      </c>
      <c r="T160" s="169">
        <f t="shared" si="3"/>
        <v>195.39062500000009</v>
      </c>
    </row>
    <row r="161" spans="1:20" x14ac:dyDescent="0.25">
      <c r="A161" s="164">
        <v>3</v>
      </c>
      <c r="B161" s="164"/>
      <c r="C161" s="172">
        <f>+E161-E160</f>
        <v>134.78300000000002</v>
      </c>
      <c r="D161" s="164">
        <f>+G161-G160</f>
        <v>120.57100000000003</v>
      </c>
      <c r="E161" s="164">
        <v>425.61099999999999</v>
      </c>
      <c r="G161" s="164">
        <v>383.11700000000002</v>
      </c>
      <c r="I161" s="169">
        <v>115.1</v>
      </c>
      <c r="J161" s="161">
        <v>3</v>
      </c>
      <c r="L161" s="170">
        <v>13014</v>
      </c>
      <c r="M161" s="169">
        <v>448.29999999999995</v>
      </c>
      <c r="N161" s="169">
        <f t="shared" si="4"/>
        <v>574.88340573414416</v>
      </c>
      <c r="O161" s="170">
        <v>6734</v>
      </c>
      <c r="P161" s="169">
        <v>832.10000000000014</v>
      </c>
      <c r="Q161" s="169">
        <f t="shared" si="2"/>
        <v>1067.05438748914</v>
      </c>
      <c r="R161" s="170">
        <v>8742</v>
      </c>
      <c r="S161" s="169">
        <v>152.99999999999994</v>
      </c>
      <c r="T161" s="169">
        <f t="shared" si="3"/>
        <v>196.20156385751511</v>
      </c>
    </row>
    <row r="162" spans="1:20" x14ac:dyDescent="0.25">
      <c r="A162" s="164">
        <v>4</v>
      </c>
      <c r="B162" s="164"/>
      <c r="C162" s="172">
        <f>+E162-E161</f>
        <v>137.37</v>
      </c>
      <c r="D162" s="164">
        <f>+G162-G161</f>
        <v>124.38200000000001</v>
      </c>
      <c r="E162" s="164">
        <v>562.98099999999999</v>
      </c>
      <c r="G162" s="164">
        <v>507.49900000000002</v>
      </c>
      <c r="I162" s="169">
        <v>116</v>
      </c>
      <c r="J162" s="161">
        <v>4</v>
      </c>
      <c r="L162" s="170">
        <v>22745</v>
      </c>
      <c r="M162" s="169">
        <v>478.79999999999995</v>
      </c>
      <c r="N162" s="169">
        <f t="shared" si="4"/>
        <v>609.231724137931</v>
      </c>
      <c r="O162" s="170">
        <v>8144</v>
      </c>
      <c r="P162" s="169">
        <v>795.79999999999973</v>
      </c>
      <c r="Q162" s="169">
        <f t="shared" si="2"/>
        <v>1012.5868965517237</v>
      </c>
      <c r="R162" s="170">
        <v>11407</v>
      </c>
      <c r="S162" s="169">
        <v>142.00000000000006</v>
      </c>
      <c r="T162" s="169">
        <f t="shared" si="3"/>
        <v>180.68275862068973</v>
      </c>
    </row>
    <row r="163" spans="1:20" x14ac:dyDescent="0.25">
      <c r="A163" s="164">
        <v>1</v>
      </c>
      <c r="B163" s="164">
        <v>2006</v>
      </c>
      <c r="C163" s="172">
        <f>+E163</f>
        <v>155.21299999999999</v>
      </c>
      <c r="D163" s="164">
        <f>+G163</f>
        <v>139.72800000000001</v>
      </c>
      <c r="E163" s="164">
        <v>155.21299999999999</v>
      </c>
      <c r="G163" s="164">
        <v>139.72800000000001</v>
      </c>
      <c r="I163" s="169">
        <v>116.6</v>
      </c>
      <c r="J163" s="161">
        <v>1</v>
      </c>
      <c r="K163" s="161">
        <v>2006</v>
      </c>
      <c r="L163" s="170">
        <v>18196</v>
      </c>
      <c r="M163" s="169">
        <v>585</v>
      </c>
      <c r="N163" s="169">
        <f t="shared" si="4"/>
        <v>740.53173241852494</v>
      </c>
      <c r="O163" s="170">
        <v>6106</v>
      </c>
      <c r="P163" s="169">
        <v>947.2</v>
      </c>
      <c r="Q163" s="169">
        <f t="shared" si="2"/>
        <v>1199.0284734133793</v>
      </c>
      <c r="R163" s="170">
        <v>7106</v>
      </c>
      <c r="S163" s="169">
        <v>150.6</v>
      </c>
      <c r="T163" s="169">
        <f t="shared" si="3"/>
        <v>190.63945111492279</v>
      </c>
    </row>
    <row r="164" spans="1:20" x14ac:dyDescent="0.25">
      <c r="A164" s="164">
        <v>2</v>
      </c>
      <c r="B164" s="164"/>
      <c r="C164" s="172">
        <f>+E164-E163</f>
        <v>147.44399999999999</v>
      </c>
      <c r="D164" s="164">
        <f>+G164-G163</f>
        <v>129.572</v>
      </c>
      <c r="E164" s="164">
        <v>302.65699999999998</v>
      </c>
      <c r="G164" s="164">
        <v>269.3</v>
      </c>
      <c r="I164" s="169">
        <v>117.9</v>
      </c>
      <c r="J164" s="161">
        <v>2</v>
      </c>
      <c r="L164" s="170">
        <v>13943</v>
      </c>
      <c r="M164" s="169">
        <v>433.79999999999995</v>
      </c>
      <c r="N164" s="169">
        <f t="shared" si="4"/>
        <v>543.07786259541967</v>
      </c>
      <c r="O164" s="170">
        <v>5246</v>
      </c>
      <c r="P164" s="169">
        <v>811.2</v>
      </c>
      <c r="Q164" s="169">
        <f t="shared" si="2"/>
        <v>1015.5480916030534</v>
      </c>
      <c r="R164" s="170">
        <v>9193</v>
      </c>
      <c r="S164" s="169">
        <v>176.1</v>
      </c>
      <c r="T164" s="169">
        <f t="shared" si="3"/>
        <v>220.46106870229005</v>
      </c>
    </row>
    <row r="165" spans="1:20" x14ac:dyDescent="0.25">
      <c r="A165" s="164">
        <v>3</v>
      </c>
      <c r="B165" s="164"/>
      <c r="C165" s="172">
        <f>+E165-E164</f>
        <v>143.45100000000002</v>
      </c>
      <c r="D165" s="164">
        <f>+G165-G164</f>
        <v>126.00599999999997</v>
      </c>
      <c r="E165" s="164">
        <v>446.108</v>
      </c>
      <c r="G165" s="164">
        <v>395.30599999999998</v>
      </c>
      <c r="I165" s="173">
        <v>117.3</v>
      </c>
      <c r="J165" s="161">
        <v>3</v>
      </c>
      <c r="L165" s="170">
        <v>13690</v>
      </c>
      <c r="M165" s="169">
        <v>496.59999999999991</v>
      </c>
      <c r="N165" s="169">
        <f t="shared" si="4"/>
        <v>624.87774936061362</v>
      </c>
      <c r="O165" s="170">
        <v>9450</v>
      </c>
      <c r="P165" s="169">
        <v>855.90000000000009</v>
      </c>
      <c r="Q165" s="169">
        <f t="shared" si="2"/>
        <v>1076.9892583120206</v>
      </c>
      <c r="R165" s="170">
        <v>10840</v>
      </c>
      <c r="S165" s="169">
        <v>167.10000000000002</v>
      </c>
      <c r="T165" s="169">
        <f t="shared" si="3"/>
        <v>210.26393861892586</v>
      </c>
    </row>
    <row r="166" spans="1:20" x14ac:dyDescent="0.25">
      <c r="A166" s="164">
        <v>4</v>
      </c>
      <c r="B166" s="164"/>
      <c r="C166" s="172">
        <f>+E166-E165</f>
        <v>148.56090999999998</v>
      </c>
      <c r="D166" s="164">
        <f>+G166-G165</f>
        <v>131.19532799999996</v>
      </c>
      <c r="E166" s="164">
        <v>594.66890999999998</v>
      </c>
      <c r="G166" s="164">
        <v>526.50132799999994</v>
      </c>
      <c r="I166" s="173">
        <v>119</v>
      </c>
      <c r="J166" s="161">
        <v>4</v>
      </c>
      <c r="L166" s="170">
        <v>16682</v>
      </c>
      <c r="M166" s="169">
        <v>525.60000000000014</v>
      </c>
      <c r="N166" s="169">
        <f t="shared" si="4"/>
        <v>651.92067226890777</v>
      </c>
      <c r="O166" s="170">
        <v>10233</v>
      </c>
      <c r="P166" s="169">
        <v>826</v>
      </c>
      <c r="Q166" s="169">
        <f t="shared" si="2"/>
        <v>1024.5176470588235</v>
      </c>
      <c r="R166" s="170">
        <v>9520</v>
      </c>
      <c r="S166" s="169">
        <v>144.09999999999997</v>
      </c>
      <c r="T166" s="169">
        <f t="shared" si="3"/>
        <v>178.73243697478986</v>
      </c>
    </row>
    <row r="167" spans="1:20" x14ac:dyDescent="0.25">
      <c r="A167" s="164">
        <v>1</v>
      </c>
      <c r="B167" s="164">
        <v>2007</v>
      </c>
      <c r="C167" s="172">
        <f>+E167</f>
        <v>158.09976</v>
      </c>
      <c r="D167" s="164">
        <f>+G167</f>
        <v>141.08400800000001</v>
      </c>
      <c r="E167" s="164">
        <v>158.09976</v>
      </c>
      <c r="G167" s="164">
        <v>141.08400800000001</v>
      </c>
      <c r="I167" s="173">
        <v>117.5</v>
      </c>
      <c r="J167" s="161">
        <v>1</v>
      </c>
      <c r="K167" s="161">
        <v>2007</v>
      </c>
      <c r="L167" s="170">
        <v>18623</v>
      </c>
      <c r="M167" s="169">
        <v>649.6</v>
      </c>
      <c r="N167" s="169">
        <f t="shared" si="4"/>
        <v>816.00817021276589</v>
      </c>
      <c r="O167" s="170">
        <v>7737</v>
      </c>
      <c r="P167" s="169">
        <v>1092.1999999999998</v>
      </c>
      <c r="Q167" s="169">
        <f t="shared" si="2"/>
        <v>1371.9891063829784</v>
      </c>
      <c r="R167" s="170">
        <v>8112</v>
      </c>
      <c r="S167" s="169">
        <v>167.4</v>
      </c>
      <c r="T167" s="169">
        <f t="shared" si="3"/>
        <v>210.28289361702127</v>
      </c>
    </row>
    <row r="168" spans="1:20" x14ac:dyDescent="0.25">
      <c r="A168" s="164">
        <v>2</v>
      </c>
      <c r="B168" s="164"/>
      <c r="C168" s="172">
        <f>+E168-E167</f>
        <v>161.61276000000004</v>
      </c>
      <c r="D168" s="164">
        <f>+G168-G167</f>
        <v>142.897008</v>
      </c>
      <c r="E168" s="164">
        <v>319.71252000000004</v>
      </c>
      <c r="G168" s="164">
        <v>283.98101600000001</v>
      </c>
      <c r="I168" s="173">
        <v>118.3</v>
      </c>
      <c r="J168" s="161">
        <v>2</v>
      </c>
      <c r="L168" s="170">
        <v>15831</v>
      </c>
      <c r="M168" s="169">
        <v>514.19999999999993</v>
      </c>
      <c r="N168" s="169">
        <f t="shared" si="4"/>
        <v>641.55469146238374</v>
      </c>
      <c r="O168" s="170">
        <v>5067</v>
      </c>
      <c r="P168" s="169">
        <v>1041.6999999999998</v>
      </c>
      <c r="Q168" s="169">
        <f t="shared" ref="Q168:Q189" si="5">P168/I168*$I$69</f>
        <v>1299.703465765004</v>
      </c>
      <c r="R168" s="170">
        <v>10608</v>
      </c>
      <c r="S168" s="169">
        <v>160.99999999999997</v>
      </c>
      <c r="T168" s="169">
        <f t="shared" ref="T168:T189" si="6">S168/I168*$I$69</f>
        <v>200.87573964497039</v>
      </c>
    </row>
    <row r="169" spans="1:20" x14ac:dyDescent="0.25">
      <c r="A169" s="164">
        <v>3</v>
      </c>
      <c r="B169" s="164"/>
      <c r="C169" s="172">
        <f>+E169-E168</f>
        <v>135.82058024999998</v>
      </c>
      <c r="D169" s="164">
        <f>+G169-G168</f>
        <v>119.75308425000003</v>
      </c>
      <c r="E169" s="164">
        <v>455.53310025000002</v>
      </c>
      <c r="G169" s="164">
        <v>403.73410025000004</v>
      </c>
      <c r="I169" s="173">
        <v>117.8</v>
      </c>
      <c r="J169" s="161">
        <v>3</v>
      </c>
      <c r="L169" s="170">
        <v>18428</v>
      </c>
      <c r="M169" s="169">
        <v>654.20000000000027</v>
      </c>
      <c r="N169" s="169">
        <f t="shared" si="4"/>
        <v>819.69371816638409</v>
      </c>
      <c r="O169" s="170">
        <v>6417</v>
      </c>
      <c r="P169" s="169">
        <v>679.60000000000036</v>
      </c>
      <c r="Q169" s="169">
        <f t="shared" si="5"/>
        <v>851.51918505942319</v>
      </c>
      <c r="R169" s="170">
        <v>10319</v>
      </c>
      <c r="S169" s="169">
        <v>152.89999999999998</v>
      </c>
      <c r="T169" s="169">
        <f t="shared" si="6"/>
        <v>191.57928692699485</v>
      </c>
    </row>
    <row r="170" spans="1:20" x14ac:dyDescent="0.25">
      <c r="A170" s="164">
        <v>4</v>
      </c>
      <c r="B170" s="164"/>
      <c r="C170" s="172">
        <f>+E170-E169</f>
        <v>149.79139924999998</v>
      </c>
      <c r="D170" s="164">
        <f>+G170-G169</f>
        <v>133.49839924999998</v>
      </c>
      <c r="E170" s="164">
        <v>605.3244995</v>
      </c>
      <c r="G170" s="164">
        <v>537.23249950000002</v>
      </c>
      <c r="I170" s="173">
        <v>120.8</v>
      </c>
      <c r="J170" s="161">
        <v>4</v>
      </c>
      <c r="L170" s="170">
        <v>15870</v>
      </c>
      <c r="M170" s="169">
        <v>567.19999999999959</v>
      </c>
      <c r="N170" s="169">
        <f t="shared" si="4"/>
        <v>693.03576158940348</v>
      </c>
      <c r="O170" s="170">
        <v>5114</v>
      </c>
      <c r="P170" s="169">
        <v>911.69999999999982</v>
      </c>
      <c r="Q170" s="169">
        <f t="shared" si="5"/>
        <v>1113.9645695364236</v>
      </c>
      <c r="R170" s="170">
        <v>8645</v>
      </c>
      <c r="S170" s="169">
        <v>142.80000000000007</v>
      </c>
      <c r="T170" s="169">
        <f t="shared" si="6"/>
        <v>174.48079470198684</v>
      </c>
    </row>
    <row r="171" spans="1:20" x14ac:dyDescent="0.25">
      <c r="A171" s="164">
        <v>1</v>
      </c>
      <c r="B171" s="164">
        <v>2008</v>
      </c>
      <c r="C171" s="172">
        <f>+E171</f>
        <v>164.64169099999998</v>
      </c>
      <c r="D171" s="164">
        <f>+G171</f>
        <v>148.61369099999999</v>
      </c>
      <c r="E171" s="164">
        <v>164.64169099999998</v>
      </c>
      <c r="G171" s="164">
        <v>148.61369099999999</v>
      </c>
      <c r="I171" s="173">
        <v>121.9</v>
      </c>
      <c r="J171" s="161">
        <v>1</v>
      </c>
      <c r="K171" s="161">
        <v>2008</v>
      </c>
      <c r="L171" s="170">
        <v>17004</v>
      </c>
      <c r="M171" s="169">
        <v>591.9</v>
      </c>
      <c r="N171" s="169">
        <f t="shared" si="4"/>
        <v>716.6894175553731</v>
      </c>
      <c r="O171" s="170">
        <v>6274</v>
      </c>
      <c r="P171" s="169">
        <v>963.6</v>
      </c>
      <c r="Q171" s="169">
        <f t="shared" si="5"/>
        <v>1166.7543888433142</v>
      </c>
      <c r="R171" s="170">
        <v>7939</v>
      </c>
      <c r="S171" s="169">
        <v>160.1</v>
      </c>
      <c r="T171" s="169">
        <f t="shared" si="6"/>
        <v>193.85365053322394</v>
      </c>
    </row>
    <row r="172" spans="1:20" x14ac:dyDescent="0.25">
      <c r="A172" s="164">
        <v>2</v>
      </c>
      <c r="B172" s="164"/>
      <c r="C172" s="172">
        <f>+E172-E171</f>
        <v>197.28657850000002</v>
      </c>
      <c r="D172" s="164">
        <f>+G172-G171</f>
        <v>175.71357850000001</v>
      </c>
      <c r="E172" s="164">
        <v>361.9282695</v>
      </c>
      <c r="G172" s="164">
        <v>324.3272695</v>
      </c>
      <c r="I172" s="173">
        <v>122</v>
      </c>
      <c r="J172" s="161">
        <v>2</v>
      </c>
      <c r="L172" s="170">
        <v>14987</v>
      </c>
      <c r="M172" s="169">
        <v>548.4</v>
      </c>
      <c r="N172" s="169">
        <f t="shared" ref="N172:N181" si="7">M172/I172*$I$69</f>
        <v>663.47409836065572</v>
      </c>
      <c r="O172" s="170">
        <v>5831</v>
      </c>
      <c r="P172" s="169">
        <v>1153.8000000000002</v>
      </c>
      <c r="Q172" s="169">
        <f t="shared" si="5"/>
        <v>1395.9088524590168</v>
      </c>
      <c r="R172" s="170">
        <v>10207</v>
      </c>
      <c r="S172" s="169">
        <v>188.4</v>
      </c>
      <c r="T172" s="169">
        <f t="shared" si="6"/>
        <v>227.93311475409837</v>
      </c>
    </row>
    <row r="173" spans="1:20" x14ac:dyDescent="0.25">
      <c r="A173" s="164">
        <v>3</v>
      </c>
      <c r="B173" s="164"/>
      <c r="C173" s="172">
        <f>+E173-E172</f>
        <v>159.71767174999997</v>
      </c>
      <c r="D173" s="164">
        <f>+G173-G172</f>
        <v>141.40667174999999</v>
      </c>
      <c r="E173" s="164">
        <v>521.64594124999996</v>
      </c>
      <c r="G173" s="164">
        <v>465.73394124999999</v>
      </c>
      <c r="I173" s="173">
        <v>123.1</v>
      </c>
      <c r="J173" s="161">
        <v>3</v>
      </c>
      <c r="L173" s="170">
        <v>19290</v>
      </c>
      <c r="M173" s="169">
        <v>722.70000000000027</v>
      </c>
      <c r="N173" s="169">
        <f t="shared" si="7"/>
        <v>866.53549959382656</v>
      </c>
      <c r="O173" s="170">
        <v>12252</v>
      </c>
      <c r="P173" s="169">
        <v>1486.4999999999995</v>
      </c>
      <c r="Q173" s="169">
        <f t="shared" si="5"/>
        <v>1782.350934199837</v>
      </c>
      <c r="R173" s="170">
        <v>11007</v>
      </c>
      <c r="S173" s="169">
        <v>186.29999999999995</v>
      </c>
      <c r="T173" s="169">
        <f t="shared" si="6"/>
        <v>223.37839155158403</v>
      </c>
    </row>
    <row r="174" spans="1:20" x14ac:dyDescent="0.25">
      <c r="A174" s="164">
        <v>4</v>
      </c>
      <c r="B174" s="164"/>
      <c r="C174" s="172">
        <f>+E174-E173</f>
        <v>170.05706974999998</v>
      </c>
      <c r="D174" s="164">
        <f>+G174-G173</f>
        <v>152.54014889999991</v>
      </c>
      <c r="E174" s="164">
        <v>691.70301099999995</v>
      </c>
      <c r="G174" s="164">
        <v>618.27409014999989</v>
      </c>
      <c r="I174" s="169">
        <v>124.7</v>
      </c>
      <c r="J174" s="161">
        <v>4</v>
      </c>
      <c r="L174" s="170">
        <v>16976</v>
      </c>
      <c r="M174" s="169">
        <v>703.10000000000014</v>
      </c>
      <c r="N174" s="169">
        <f t="shared" si="7"/>
        <v>832.21780272654382</v>
      </c>
      <c r="O174" s="170">
        <v>7247</v>
      </c>
      <c r="P174" s="169">
        <v>1160</v>
      </c>
      <c r="Q174" s="169">
        <f t="shared" si="5"/>
        <v>1373.0232558139535</v>
      </c>
      <c r="R174" s="170">
        <v>10145</v>
      </c>
      <c r="S174" s="169">
        <v>269.60000000000014</v>
      </c>
      <c r="T174" s="169">
        <f t="shared" si="6"/>
        <v>319.10954290296729</v>
      </c>
    </row>
    <row r="175" spans="1:20" x14ac:dyDescent="0.25">
      <c r="A175" s="164">
        <v>1</v>
      </c>
      <c r="B175" s="164">
        <v>2009</v>
      </c>
      <c r="C175" s="172">
        <f>+E175</f>
        <v>191.37959499999999</v>
      </c>
      <c r="D175" s="164">
        <f>+G175</f>
        <v>172.55938714999999</v>
      </c>
      <c r="E175" s="164">
        <v>191.37959499999999</v>
      </c>
      <c r="G175" s="164">
        <v>172.55938714999999</v>
      </c>
      <c r="I175" s="169">
        <v>125</v>
      </c>
      <c r="J175" s="161">
        <v>1</v>
      </c>
      <c r="K175" s="161">
        <v>2009</v>
      </c>
      <c r="L175" s="170">
        <v>18865</v>
      </c>
      <c r="M175" s="169">
        <v>739.59999999999991</v>
      </c>
      <c r="N175" s="169">
        <f t="shared" si="7"/>
        <v>873.31967999999983</v>
      </c>
      <c r="O175" s="170">
        <v>6194</v>
      </c>
      <c r="P175" s="169">
        <v>1049.9000000000001</v>
      </c>
      <c r="Q175" s="169">
        <f t="shared" si="5"/>
        <v>1239.72192</v>
      </c>
      <c r="R175" s="170">
        <v>8619</v>
      </c>
      <c r="S175" s="169">
        <v>213.2</v>
      </c>
      <c r="T175" s="169">
        <f t="shared" si="6"/>
        <v>251.74655999999999</v>
      </c>
    </row>
    <row r="176" spans="1:20" x14ac:dyDescent="0.25">
      <c r="A176" s="164">
        <v>2</v>
      </c>
      <c r="B176" s="164"/>
      <c r="C176" s="172">
        <f>+E176-E175</f>
        <v>178.90604250000001</v>
      </c>
      <c r="D176" s="164">
        <f>+G176-G175</f>
        <v>160.765232725</v>
      </c>
      <c r="E176" s="164">
        <v>370.28563750000001</v>
      </c>
      <c r="G176" s="164">
        <v>333.324619875</v>
      </c>
      <c r="I176" s="169">
        <v>125.7</v>
      </c>
      <c r="J176" s="161">
        <v>2</v>
      </c>
      <c r="L176" s="170">
        <v>14610</v>
      </c>
      <c r="M176" s="169">
        <v>603.80000000000018</v>
      </c>
      <c r="N176" s="169">
        <f t="shared" si="7"/>
        <v>708.99665871121726</v>
      </c>
      <c r="O176" s="170">
        <v>5486</v>
      </c>
      <c r="P176" s="169">
        <v>1077.9000000000001</v>
      </c>
      <c r="Q176" s="169">
        <f t="shared" si="5"/>
        <v>1265.6964200477328</v>
      </c>
      <c r="R176" s="170">
        <v>11296</v>
      </c>
      <c r="S176" s="169">
        <v>235.3</v>
      </c>
      <c r="T176" s="169">
        <f t="shared" si="6"/>
        <v>276.29498806682579</v>
      </c>
    </row>
    <row r="177" spans="1:20" x14ac:dyDescent="0.25">
      <c r="A177" s="164">
        <v>3</v>
      </c>
      <c r="B177" s="164"/>
      <c r="C177" s="172">
        <f>+E177-E176</f>
        <v>160.23377500000004</v>
      </c>
      <c r="D177" s="164">
        <f>+G177-G176</f>
        <v>142.31202375000004</v>
      </c>
      <c r="E177" s="164">
        <v>530.51941250000004</v>
      </c>
      <c r="G177" s="164">
        <v>475.63664362500003</v>
      </c>
      <c r="I177" s="169">
        <v>125.4</v>
      </c>
      <c r="J177" s="161">
        <v>3</v>
      </c>
      <c r="L177" s="170">
        <v>19220</v>
      </c>
      <c r="M177" s="169">
        <v>795.69999999999982</v>
      </c>
      <c r="N177" s="169">
        <f t="shared" si="7"/>
        <v>936.5655502392342</v>
      </c>
      <c r="O177" s="170">
        <v>13278</v>
      </c>
      <c r="P177" s="169">
        <v>1278.0999999999999</v>
      </c>
      <c r="Q177" s="169">
        <f t="shared" si="5"/>
        <v>1504.3665071770331</v>
      </c>
      <c r="R177" s="170">
        <v>11383</v>
      </c>
      <c r="S177" s="169">
        <v>231.79999999999995</v>
      </c>
      <c r="T177" s="169">
        <f t="shared" si="6"/>
        <v>272.83636363636356</v>
      </c>
    </row>
    <row r="178" spans="1:20" x14ac:dyDescent="0.25">
      <c r="A178" s="164">
        <v>4</v>
      </c>
      <c r="B178" s="164"/>
      <c r="C178" s="172">
        <f>+E178-E177</f>
        <v>179.8571388695641</v>
      </c>
      <c r="D178" s="164">
        <f>+G178-G177</f>
        <v>163.53199924456408</v>
      </c>
      <c r="E178" s="164">
        <v>710.37655136956414</v>
      </c>
      <c r="G178" s="164">
        <v>639.16864286956411</v>
      </c>
      <c r="I178" s="169">
        <v>126.6</v>
      </c>
      <c r="J178" s="161">
        <v>4</v>
      </c>
      <c r="L178" s="170">
        <v>16838</v>
      </c>
      <c r="M178" s="169">
        <v>759.30000000000018</v>
      </c>
      <c r="N178" s="169">
        <f t="shared" si="7"/>
        <v>885.2502369668249</v>
      </c>
      <c r="O178" s="170">
        <v>6227</v>
      </c>
      <c r="P178" s="169">
        <v>1192.2000000000003</v>
      </c>
      <c r="Q178" s="169">
        <f t="shared" si="5"/>
        <v>1389.958293838863</v>
      </c>
      <c r="R178" s="170">
        <v>10409</v>
      </c>
      <c r="S178" s="169">
        <v>276.40000000000009</v>
      </c>
      <c r="T178" s="169">
        <f t="shared" si="6"/>
        <v>322.24834123222757</v>
      </c>
    </row>
    <row r="179" spans="1:20" x14ac:dyDescent="0.25">
      <c r="A179" s="164">
        <v>1</v>
      </c>
      <c r="B179" s="164">
        <v>2010</v>
      </c>
      <c r="C179" s="172">
        <f>+E179</f>
        <v>204.63648875000001</v>
      </c>
      <c r="D179" s="164">
        <f>+G179</f>
        <v>186.506571025</v>
      </c>
      <c r="E179" s="164">
        <v>204.63648875000001</v>
      </c>
      <c r="G179" s="164">
        <v>186.506571025</v>
      </c>
      <c r="I179" s="169">
        <v>128.69999999999999</v>
      </c>
      <c r="J179" s="161">
        <v>1</v>
      </c>
      <c r="K179" s="161">
        <v>2010</v>
      </c>
      <c r="L179" s="170">
        <v>40484.70904761905</v>
      </c>
      <c r="M179" s="169">
        <v>1693.2251146266974</v>
      </c>
      <c r="N179" s="169">
        <f t="shared" si="7"/>
        <v>1941.8805510404081</v>
      </c>
      <c r="O179" s="170">
        <v>6690</v>
      </c>
      <c r="P179" s="169">
        <v>1648.5</v>
      </c>
      <c r="Q179" s="169">
        <f t="shared" si="5"/>
        <v>1890.5874125874127</v>
      </c>
      <c r="R179" s="170">
        <v>7227</v>
      </c>
      <c r="S179" s="169">
        <v>243.10000000000002</v>
      </c>
      <c r="T179" s="169">
        <f t="shared" si="6"/>
        <v>278.80000000000007</v>
      </c>
    </row>
    <row r="180" spans="1:20" x14ac:dyDescent="0.25">
      <c r="A180" s="164">
        <v>2</v>
      </c>
      <c r="B180" s="164"/>
      <c r="C180" s="172">
        <f>+E180-E179</f>
        <v>188.95691625000001</v>
      </c>
      <c r="D180" s="164">
        <f>+G180-G179</f>
        <v>170.46253197500002</v>
      </c>
      <c r="E180" s="164">
        <v>393.59340500000002</v>
      </c>
      <c r="G180" s="164">
        <v>356.96910300000002</v>
      </c>
      <c r="I180" s="169">
        <v>128.9</v>
      </c>
      <c r="J180" s="161">
        <v>2</v>
      </c>
      <c r="L180" s="170">
        <v>20633.79583333333</v>
      </c>
      <c r="M180" s="169">
        <v>864.97098885712671</v>
      </c>
      <c r="N180" s="169">
        <f t="shared" si="7"/>
        <v>990.45553107301703</v>
      </c>
      <c r="O180" s="170">
        <v>5716</v>
      </c>
      <c r="P180" s="169">
        <v>1381.6999999999998</v>
      </c>
      <c r="Q180" s="169">
        <f t="shared" si="5"/>
        <v>1582.1483320403411</v>
      </c>
      <c r="R180" s="170">
        <v>10696</v>
      </c>
      <c r="S180" s="169">
        <v>201.60000000000002</v>
      </c>
      <c r="T180" s="169">
        <f t="shared" si="6"/>
        <v>230.84685802948022</v>
      </c>
    </row>
    <row r="181" spans="1:20" x14ac:dyDescent="0.25">
      <c r="A181" s="164">
        <v>3</v>
      </c>
      <c r="B181" s="164"/>
      <c r="C181" s="172">
        <f>+E181-E180</f>
        <v>172.07737875000004</v>
      </c>
      <c r="D181" s="164">
        <f>+G181-G180</f>
        <v>154.15607493749997</v>
      </c>
      <c r="E181" s="164">
        <v>565.67078375000006</v>
      </c>
      <c r="G181" s="164">
        <v>511.12517793749998</v>
      </c>
      <c r="I181" s="169">
        <v>127.8</v>
      </c>
      <c r="J181" s="161">
        <v>3</v>
      </c>
      <c r="L181" s="170">
        <v>19149.335833333338</v>
      </c>
      <c r="M181" s="169">
        <v>861.71516601647909</v>
      </c>
      <c r="N181" s="169">
        <f t="shared" si="7"/>
        <v>995.22033258241254</v>
      </c>
      <c r="O181" s="170">
        <v>9089</v>
      </c>
      <c r="P181" s="169">
        <v>1286.1999999999998</v>
      </c>
      <c r="Q181" s="169">
        <f t="shared" si="5"/>
        <v>1485.4704225352111</v>
      </c>
      <c r="R181" s="170">
        <v>11532</v>
      </c>
      <c r="S181" s="169">
        <v>200.69999999999993</v>
      </c>
      <c r="T181" s="169">
        <f t="shared" si="6"/>
        <v>231.79436619718302</v>
      </c>
    </row>
    <row r="182" spans="1:20" x14ac:dyDescent="0.25">
      <c r="A182" s="164">
        <v>4</v>
      </c>
      <c r="B182" s="164"/>
      <c r="C182" s="172">
        <f>+E182-E181</f>
        <v>192.96143124999992</v>
      </c>
      <c r="D182" s="164">
        <f>+G182-G181</f>
        <v>174.39946771249993</v>
      </c>
      <c r="E182" s="164">
        <v>758.63221499999997</v>
      </c>
      <c r="G182" s="164">
        <v>685.52464564999991</v>
      </c>
      <c r="I182" s="169">
        <v>129</v>
      </c>
      <c r="J182" s="161">
        <v>4</v>
      </c>
      <c r="L182" s="170">
        <v>22322.361666666664</v>
      </c>
      <c r="M182" s="169">
        <v>889.84894905372039</v>
      </c>
      <c r="N182" s="169">
        <f t="shared" ref="N182" si="8">M182/I182*$I$69</f>
        <v>1018.1527510103033</v>
      </c>
      <c r="O182" s="170">
        <v>5858</v>
      </c>
      <c r="P182" s="169">
        <v>1310.8000000000011</v>
      </c>
      <c r="Q182" s="169">
        <f t="shared" si="5"/>
        <v>1499.7990697674429</v>
      </c>
      <c r="R182" s="170">
        <v>9548</v>
      </c>
      <c r="S182" s="169">
        <v>205</v>
      </c>
      <c r="T182" s="169">
        <f t="shared" si="6"/>
        <v>234.55813953488371</v>
      </c>
    </row>
    <row r="183" spans="1:20" x14ac:dyDescent="0.25">
      <c r="A183" s="164">
        <v>1</v>
      </c>
      <c r="B183" s="164">
        <v>2011</v>
      </c>
      <c r="C183" s="172">
        <f>+E183</f>
        <v>204.00503875000001</v>
      </c>
      <c r="D183" s="164">
        <f>+G183</f>
        <v>184.8599929625</v>
      </c>
      <c r="E183" s="164">
        <v>204.00503875000001</v>
      </c>
      <c r="G183" s="164">
        <v>184.8599929625</v>
      </c>
      <c r="I183" s="169">
        <v>130.19999999999999</v>
      </c>
      <c r="J183" s="161">
        <v>1</v>
      </c>
      <c r="K183" s="161">
        <v>2011</v>
      </c>
      <c r="L183" s="170">
        <v>26141.662648809524</v>
      </c>
      <c r="M183" s="169">
        <v>1061.4209517567813</v>
      </c>
      <c r="N183" s="169">
        <f t="shared" ref="N183:N186" si="9">M183/I183*$I$69</f>
        <v>1203.2698347104526</v>
      </c>
      <c r="O183" s="170">
        <v>5959</v>
      </c>
      <c r="P183" s="169">
        <v>1698.7</v>
      </c>
      <c r="Q183" s="169">
        <f t="shared" si="5"/>
        <v>1925.7152073732721</v>
      </c>
      <c r="R183" s="170">
        <v>6732</v>
      </c>
      <c r="S183" s="169">
        <v>156.5</v>
      </c>
      <c r="T183" s="169">
        <f t="shared" si="6"/>
        <v>177.41474654377882</v>
      </c>
    </row>
    <row r="184" spans="1:20" x14ac:dyDescent="0.25">
      <c r="A184" s="164">
        <v>2</v>
      </c>
      <c r="B184" s="164"/>
      <c r="C184" s="172">
        <f>+E184-E183</f>
        <v>188.74104374999999</v>
      </c>
      <c r="D184" s="164">
        <f>+G184-G183</f>
        <v>171.33320521249996</v>
      </c>
      <c r="E184" s="161">
        <v>392.7460825</v>
      </c>
      <c r="G184" s="161">
        <v>356.19319817499996</v>
      </c>
      <c r="I184" s="169">
        <v>131</v>
      </c>
      <c r="J184" s="161">
        <v>2</v>
      </c>
      <c r="L184" s="178">
        <v>18851.951101190472</v>
      </c>
      <c r="M184" s="179">
        <v>776.58308820124375</v>
      </c>
      <c r="N184" s="169">
        <f t="shared" si="9"/>
        <v>874.98980014124868</v>
      </c>
      <c r="O184" s="170">
        <v>7524</v>
      </c>
      <c r="P184" s="169">
        <v>1533.4000000000003</v>
      </c>
      <c r="Q184" s="169">
        <f t="shared" si="5"/>
        <v>1727.7087022900764</v>
      </c>
      <c r="R184" s="170">
        <v>10017</v>
      </c>
      <c r="S184" s="169">
        <v>197.79999999999995</v>
      </c>
      <c r="T184" s="169">
        <f t="shared" si="6"/>
        <v>222.86473282442742</v>
      </c>
    </row>
    <row r="185" spans="1:20" x14ac:dyDescent="0.25">
      <c r="A185" s="164">
        <v>3</v>
      </c>
      <c r="C185" s="172">
        <f>+E185-E184</f>
        <v>169.93391749999995</v>
      </c>
      <c r="D185" s="164">
        <f>+G185-G184</f>
        <v>151.69380182500004</v>
      </c>
      <c r="E185" s="161">
        <v>562.67999999999995</v>
      </c>
      <c r="G185" s="161">
        <v>507.887</v>
      </c>
      <c r="I185" s="169">
        <v>129.4</v>
      </c>
      <c r="J185" s="161">
        <v>3</v>
      </c>
      <c r="L185" s="178">
        <v>24107.386250000007</v>
      </c>
      <c r="M185" s="179">
        <v>914.64669811090494</v>
      </c>
      <c r="N185" s="169">
        <f t="shared" si="9"/>
        <v>1043.2909786798266</v>
      </c>
      <c r="O185" s="170">
        <v>10171</v>
      </c>
      <c r="P185" s="169">
        <v>1285.3999999999996</v>
      </c>
      <c r="Q185" s="169">
        <f t="shared" si="5"/>
        <v>1466.1904173106641</v>
      </c>
      <c r="R185" s="170">
        <v>10339</v>
      </c>
      <c r="S185" s="169">
        <v>167.29999999999995</v>
      </c>
      <c r="T185" s="169">
        <f t="shared" si="6"/>
        <v>190.83060278207103</v>
      </c>
    </row>
    <row r="186" spans="1:20" x14ac:dyDescent="0.25">
      <c r="A186" s="161">
        <v>4</v>
      </c>
      <c r="C186" s="172">
        <f>+E186-E185</f>
        <v>202.17554500000006</v>
      </c>
      <c r="D186" s="164">
        <f>+G186-G185</f>
        <v>178.91908595000001</v>
      </c>
      <c r="E186" s="161">
        <v>764.85554500000001</v>
      </c>
      <c r="G186" s="161">
        <v>686.80608595000001</v>
      </c>
      <c r="I186" s="161">
        <v>130.5</v>
      </c>
      <c r="J186" s="161">
        <v>4</v>
      </c>
      <c r="L186" s="178">
        <v>18022.572976190484</v>
      </c>
      <c r="M186" s="169">
        <v>777.38419736292576</v>
      </c>
      <c r="N186" s="169">
        <f t="shared" si="9"/>
        <v>879.24833356910221</v>
      </c>
      <c r="O186" s="178">
        <v>8775.7956028314002</v>
      </c>
      <c r="P186" s="169">
        <v>1286.8626975018997</v>
      </c>
      <c r="Q186" s="169">
        <f t="shared" si="5"/>
        <v>1455.4860854504245</v>
      </c>
      <c r="R186" s="178">
        <v>9645.4866500746648</v>
      </c>
      <c r="S186" s="169">
        <v>181.103452008619</v>
      </c>
      <c r="T186" s="169">
        <f t="shared" si="6"/>
        <v>204.83424916836907</v>
      </c>
    </row>
    <row r="187" spans="1:20" x14ac:dyDescent="0.25">
      <c r="A187" s="161">
        <v>1</v>
      </c>
      <c r="B187" s="161">
        <v>2012</v>
      </c>
      <c r="C187" s="172">
        <f>+E187</f>
        <v>195.82938625</v>
      </c>
      <c r="D187" s="164">
        <f>+G187</f>
        <v>177.0717714875</v>
      </c>
      <c r="E187" s="161">
        <v>195.82938625</v>
      </c>
      <c r="G187" s="161">
        <v>177.0717714875</v>
      </c>
      <c r="I187" s="161">
        <v>131.69999999999999</v>
      </c>
      <c r="J187" s="161">
        <v>1</v>
      </c>
      <c r="K187" s="161">
        <v>2012</v>
      </c>
      <c r="L187" s="178">
        <v>18517.39324404762</v>
      </c>
      <c r="M187" s="169">
        <v>869.15461769403078</v>
      </c>
      <c r="N187" s="169">
        <f t="shared" ref="N187:N193" si="10">M187/I187*$I$69</f>
        <v>974.08672415823048</v>
      </c>
      <c r="O187" s="170">
        <v>6822.44890070785</v>
      </c>
      <c r="P187" s="169">
        <v>1150.314057295883</v>
      </c>
      <c r="Q187" s="169">
        <f t="shared" si="5"/>
        <v>1289.1902418896912</v>
      </c>
      <c r="R187" s="170">
        <v>7564.3716625186662</v>
      </c>
      <c r="S187" s="169">
        <v>175.73767321176348</v>
      </c>
      <c r="T187" s="169">
        <f t="shared" si="6"/>
        <v>196.95429435122469</v>
      </c>
    </row>
    <row r="188" spans="1:20" x14ac:dyDescent="0.25">
      <c r="A188" s="161">
        <v>2</v>
      </c>
      <c r="C188" s="172">
        <f>+E188-E187</f>
        <v>182.75061374999999</v>
      </c>
      <c r="D188" s="164">
        <f>+G188-G187</f>
        <v>165.12822851249999</v>
      </c>
      <c r="E188" s="180">
        <v>378.58</v>
      </c>
      <c r="G188" s="180">
        <v>342.2</v>
      </c>
      <c r="I188" s="161">
        <v>131.69999999999999</v>
      </c>
      <c r="J188" s="161">
        <v>2</v>
      </c>
      <c r="L188" s="178">
        <v>14087.60675595238</v>
      </c>
      <c r="M188" s="169">
        <v>635.43152402028181</v>
      </c>
      <c r="N188" s="169">
        <f t="shared" si="10"/>
        <v>712.14649161270768</v>
      </c>
      <c r="O188" s="170">
        <v>4838.55109929215</v>
      </c>
      <c r="P188" s="169">
        <v>1037.7970664905204</v>
      </c>
      <c r="Q188" s="169">
        <f t="shared" si="5"/>
        <v>1163.0891952467791</v>
      </c>
      <c r="R188" s="170">
        <v>10002.628337481334</v>
      </c>
      <c r="S188" s="169">
        <v>184.20744441885319</v>
      </c>
      <c r="T188" s="169">
        <f t="shared" si="6"/>
        <v>206.44661196828196</v>
      </c>
    </row>
    <row r="189" spans="1:20" x14ac:dyDescent="0.25">
      <c r="A189" s="164">
        <v>3</v>
      </c>
      <c r="C189" s="172">
        <f>+E189-E188</f>
        <v>165.72960875000007</v>
      </c>
      <c r="D189" s="164">
        <f>+G189-G188</f>
        <v>148.24155396250001</v>
      </c>
      <c r="E189" s="161">
        <v>544.30960875000005</v>
      </c>
      <c r="G189" s="161">
        <v>490.4415539625</v>
      </c>
      <c r="I189" s="161">
        <v>130</v>
      </c>
      <c r="J189" s="161">
        <v>3</v>
      </c>
      <c r="L189" s="181">
        <v>20999.460714285713</v>
      </c>
      <c r="M189" s="182">
        <v>864.77367174435972</v>
      </c>
      <c r="N189" s="169">
        <f t="shared" si="10"/>
        <v>981.85072268821136</v>
      </c>
      <c r="O189" s="181">
        <v>6828.0536397386386</v>
      </c>
      <c r="P189" s="182">
        <v>1132.0609213635664</v>
      </c>
      <c r="Q189" s="169">
        <f t="shared" si="5"/>
        <v>1285.3245537943262</v>
      </c>
      <c r="R189" s="181">
        <v>10877.781177428844</v>
      </c>
      <c r="S189" s="182">
        <v>190.02859425457928</v>
      </c>
      <c r="T189" s="169">
        <f t="shared" si="6"/>
        <v>215.7555423998146</v>
      </c>
    </row>
    <row r="190" spans="1:20" x14ac:dyDescent="0.25">
      <c r="A190" s="164">
        <v>4</v>
      </c>
      <c r="C190" s="172">
        <f>+E190-E189</f>
        <v>166.80539124999996</v>
      </c>
      <c r="D190" s="164">
        <f>+G190-G189</f>
        <v>151.72844603749996</v>
      </c>
      <c r="E190" s="161">
        <v>711.11500000000001</v>
      </c>
      <c r="G190" s="161">
        <v>642.16999999999996</v>
      </c>
      <c r="I190" s="161">
        <v>132</v>
      </c>
      <c r="J190" s="161">
        <v>4</v>
      </c>
      <c r="L190" s="181">
        <v>17946.539285714287</v>
      </c>
      <c r="M190" s="182">
        <v>826.79347775776318</v>
      </c>
      <c r="N190" s="169">
        <f t="shared" si="10"/>
        <v>924.50543422004421</v>
      </c>
      <c r="O190" s="181">
        <v>5621.9463602613596</v>
      </c>
      <c r="P190" s="182">
        <v>1071.0118577206574</v>
      </c>
      <c r="Q190" s="169">
        <f t="shared" ref="Q190:Q212" si="11">P190/I190*$I$69</f>
        <v>1197.5859863603714</v>
      </c>
      <c r="R190" s="181">
        <v>8525.2188225711561</v>
      </c>
      <c r="S190" s="182">
        <v>190.41732478586363</v>
      </c>
      <c r="T190" s="169">
        <f t="shared" ref="T190:T212" si="12">S190/I190*$I$69</f>
        <v>212.92119044237475</v>
      </c>
    </row>
    <row r="191" spans="1:20" x14ac:dyDescent="0.25">
      <c r="A191" s="161">
        <v>1</v>
      </c>
      <c r="B191" s="161">
        <v>2013</v>
      </c>
      <c r="C191" s="172">
        <f>+E191</f>
        <v>199.180995</v>
      </c>
      <c r="D191" s="164">
        <f>+G191</f>
        <v>183.65288545000001</v>
      </c>
      <c r="E191" s="161">
        <v>199.180995</v>
      </c>
      <c r="G191" s="161">
        <v>183.65288545000001</v>
      </c>
      <c r="I191" s="161">
        <v>133</v>
      </c>
      <c r="J191" s="161">
        <v>1</v>
      </c>
      <c r="K191" s="161">
        <f>B191</f>
        <v>2013</v>
      </c>
      <c r="L191" s="181">
        <v>21974.571815476189</v>
      </c>
      <c r="M191" s="182">
        <v>1023.0812127444322</v>
      </c>
      <c r="N191" s="169">
        <f t="shared" si="10"/>
        <v>1135.3893759479563</v>
      </c>
      <c r="O191" s="181">
        <v>5520.4451678348678</v>
      </c>
      <c r="P191" s="182">
        <v>1148.1840804128565</v>
      </c>
      <c r="Q191" s="169">
        <f t="shared" si="11"/>
        <v>1274.225340367952</v>
      </c>
      <c r="R191" s="181">
        <v>5958.3970505452735</v>
      </c>
      <c r="S191" s="182">
        <v>167.84779905693762</v>
      </c>
      <c r="T191" s="169">
        <f t="shared" si="12"/>
        <v>186.27319654739844</v>
      </c>
    </row>
    <row r="192" spans="1:20" x14ac:dyDescent="0.25">
      <c r="A192" s="161">
        <v>2</v>
      </c>
      <c r="C192" s="172">
        <f>+E192-E191</f>
        <v>205.01500500000003</v>
      </c>
      <c r="D192" s="164">
        <f>+G192-G191</f>
        <v>185.63411454999996</v>
      </c>
      <c r="E192" s="161">
        <v>404.19600000000003</v>
      </c>
      <c r="G192" s="161">
        <v>369.28699999999998</v>
      </c>
      <c r="I192" s="161">
        <v>134.30000000000001</v>
      </c>
      <c r="J192" s="161">
        <v>2</v>
      </c>
      <c r="L192" s="181">
        <v>23960.428184523811</v>
      </c>
      <c r="M192" s="182">
        <v>1011.581560458749</v>
      </c>
      <c r="N192" s="169">
        <f t="shared" si="10"/>
        <v>1111.7605236315067</v>
      </c>
      <c r="O192" s="181">
        <v>6388.5548321651322</v>
      </c>
      <c r="P192" s="182">
        <v>1133.7065185307133</v>
      </c>
      <c r="Q192" s="169">
        <f t="shared" si="11"/>
        <v>1245.9797627336802</v>
      </c>
      <c r="R192" s="181">
        <v>10154.602949454726</v>
      </c>
      <c r="S192" s="182">
        <v>176.1673175310234</v>
      </c>
      <c r="T192" s="169">
        <f t="shared" si="12"/>
        <v>193.61352246894305</v>
      </c>
    </row>
    <row r="193" spans="1:20" x14ac:dyDescent="0.25">
      <c r="A193" s="161">
        <v>3</v>
      </c>
      <c r="C193" s="172">
        <f>+E193-E192</f>
        <v>172.04383408071794</v>
      </c>
      <c r="D193" s="164">
        <f>+G193-G192</f>
        <v>153.21019910313902</v>
      </c>
      <c r="E193" s="161">
        <v>576.23983408071797</v>
      </c>
      <c r="G193" s="161">
        <v>522.497199103139</v>
      </c>
      <c r="I193" s="161">
        <v>134.19999999999999</v>
      </c>
      <c r="J193" s="161">
        <v>3</v>
      </c>
      <c r="L193" s="181">
        <v>18388.581422924897</v>
      </c>
      <c r="M193" s="182">
        <v>735.52528494140915</v>
      </c>
      <c r="N193" s="169">
        <f t="shared" si="10"/>
        <v>808.96819714867354</v>
      </c>
      <c r="O193" s="181">
        <v>11492.955434782609</v>
      </c>
      <c r="P193" s="182">
        <v>1323.3889549928699</v>
      </c>
      <c r="Q193" s="169">
        <f t="shared" si="11"/>
        <v>1455.5306241203248</v>
      </c>
      <c r="R193" s="181">
        <v>11786.02326086957</v>
      </c>
      <c r="S193" s="182">
        <v>172.41802435151402</v>
      </c>
      <c r="T193" s="169">
        <f t="shared" si="12"/>
        <v>189.63413110494392</v>
      </c>
    </row>
    <row r="194" spans="1:20" x14ac:dyDescent="0.25">
      <c r="A194" s="164">
        <v>4</v>
      </c>
      <c r="C194" s="172">
        <f>+E194-E193</f>
        <v>204.099832585949</v>
      </c>
      <c r="D194" s="164">
        <f>+G194-G193</f>
        <v>188.07946756352794</v>
      </c>
      <c r="E194" s="161">
        <v>780.33966666666697</v>
      </c>
      <c r="G194" s="161">
        <v>710.57666666666694</v>
      </c>
      <c r="I194" s="161">
        <v>135.30000000000001</v>
      </c>
      <c r="J194" s="161">
        <v>4</v>
      </c>
      <c r="L194" s="181">
        <v>18420.418577075106</v>
      </c>
      <c r="M194" s="181">
        <v>895.71090498583999</v>
      </c>
      <c r="N194" s="169">
        <f>M194/I194*$I$69</f>
        <v>977.13916907546172</v>
      </c>
      <c r="O194" s="181">
        <v>7745.0445652173912</v>
      </c>
      <c r="P194" s="181">
        <v>1212.6630411771803</v>
      </c>
      <c r="Q194" s="169">
        <f t="shared" si="11"/>
        <v>1322.905135829651</v>
      </c>
      <c r="R194" s="181">
        <v>11621.97673913043</v>
      </c>
      <c r="S194" s="181">
        <v>180.100371437175</v>
      </c>
      <c r="T194" s="169">
        <f t="shared" si="12"/>
        <v>196.47313247691815</v>
      </c>
    </row>
    <row r="195" spans="1:20" x14ac:dyDescent="0.25">
      <c r="A195" s="164">
        <v>1</v>
      </c>
      <c r="B195" s="161">
        <v>2014</v>
      </c>
      <c r="C195" s="172">
        <f>E195</f>
        <v>196.17699999999999</v>
      </c>
      <c r="D195" s="164">
        <f>G195</f>
        <v>179.55199999999999</v>
      </c>
      <c r="E195" s="161">
        <v>196.17699999999999</v>
      </c>
      <c r="G195" s="161">
        <v>179.55199999999999</v>
      </c>
      <c r="I195" s="161">
        <v>135.80000000000001</v>
      </c>
      <c r="J195" s="161">
        <f>A195</f>
        <v>1</v>
      </c>
      <c r="K195" s="161">
        <f>B195</f>
        <v>2014</v>
      </c>
      <c r="L195" s="181">
        <v>19713</v>
      </c>
      <c r="M195" s="181">
        <v>886.67647724495987</v>
      </c>
      <c r="N195" s="169">
        <f>M195/I195*$I$69</f>
        <v>963.72200325004462</v>
      </c>
      <c r="O195" s="181">
        <v>7032</v>
      </c>
      <c r="P195" s="181">
        <v>1484.9150299297401</v>
      </c>
      <c r="Q195" s="169">
        <f t="shared" ref="Q195" si="13">P195/I195*$I$69</f>
        <v>1613.9429927660501</v>
      </c>
      <c r="R195" s="181">
        <v>8004</v>
      </c>
      <c r="S195" s="181">
        <v>165.16263465729782</v>
      </c>
      <c r="T195" s="169">
        <f t="shared" ref="T195" si="14">S195/I195*$I$69</f>
        <v>179.51402706492749</v>
      </c>
    </row>
    <row r="196" spans="1:20" x14ac:dyDescent="0.25">
      <c r="A196" s="161">
        <v>2</v>
      </c>
      <c r="C196" s="172">
        <f>+E196-E195</f>
        <v>197.965</v>
      </c>
      <c r="D196" s="164">
        <f>+G196-G195</f>
        <v>179.76700000000002</v>
      </c>
      <c r="E196" s="161">
        <v>394.142</v>
      </c>
      <c r="G196" s="161">
        <v>359.31900000000002</v>
      </c>
      <c r="I196" s="161">
        <v>136.69999999999999</v>
      </c>
      <c r="J196" s="161">
        <v>2</v>
      </c>
      <c r="L196" s="181">
        <v>16691</v>
      </c>
      <c r="M196" s="181">
        <v>732.96206934555016</v>
      </c>
      <c r="N196" s="169">
        <f t="shared" ref="N196:N212" si="15">M196/I196*$I$69</f>
        <v>791.40600903733139</v>
      </c>
      <c r="O196" s="181">
        <v>6228</v>
      </c>
      <c r="P196" s="181">
        <v>1158.7677611998799</v>
      </c>
      <c r="Q196" s="169">
        <f t="shared" si="11"/>
        <v>1251.1640201397388</v>
      </c>
      <c r="R196" s="181">
        <v>11579</v>
      </c>
      <c r="S196" s="181">
        <v>167.32102845142202</v>
      </c>
      <c r="T196" s="169">
        <f t="shared" si="12"/>
        <v>180.662646667373</v>
      </c>
    </row>
    <row r="197" spans="1:20" x14ac:dyDescent="0.25">
      <c r="A197" s="161">
        <v>3</v>
      </c>
      <c r="C197" s="172">
        <f>+E197-E196</f>
        <v>192.10452006852</v>
      </c>
      <c r="D197" s="164">
        <f>+G197-G196</f>
        <v>173.47352006851992</v>
      </c>
      <c r="E197" s="161">
        <v>586.24652006852</v>
      </c>
      <c r="G197" s="161">
        <v>532.79252006851993</v>
      </c>
      <c r="I197" s="161">
        <v>137</v>
      </c>
      <c r="J197" s="161">
        <v>3</v>
      </c>
      <c r="L197" s="181">
        <v>21817</v>
      </c>
      <c r="M197" s="181">
        <v>1080.59231996894</v>
      </c>
      <c r="N197" s="169">
        <f t="shared" si="15"/>
        <v>1164.2001929008434</v>
      </c>
      <c r="O197" s="181">
        <v>20407</v>
      </c>
      <c r="P197" s="181">
        <v>1259.8740491119995</v>
      </c>
      <c r="Q197" s="169">
        <f t="shared" si="11"/>
        <v>1357.3533551016872</v>
      </c>
      <c r="R197" s="181">
        <v>11684</v>
      </c>
      <c r="S197" s="181">
        <v>177.03184293206914</v>
      </c>
      <c r="T197" s="169">
        <f t="shared" si="12"/>
        <v>190.72919720272557</v>
      </c>
    </row>
    <row r="198" spans="1:20" x14ac:dyDescent="0.25">
      <c r="A198" s="161">
        <v>4</v>
      </c>
      <c r="C198" s="172">
        <f>+E198-E197</f>
        <v>196.808833167682</v>
      </c>
      <c r="D198" s="164">
        <f>+G198-G197</f>
        <v>184.73883316768206</v>
      </c>
      <c r="E198" s="161">
        <v>783.055353236202</v>
      </c>
      <c r="G198" s="161">
        <v>717.53135323620199</v>
      </c>
      <c r="I198" s="161">
        <v>137.9</v>
      </c>
      <c r="J198" s="161">
        <v>4</v>
      </c>
      <c r="L198" s="181">
        <v>20183</v>
      </c>
      <c r="M198" s="181">
        <v>869.67426416194962</v>
      </c>
      <c r="N198" s="169">
        <f t="shared" si="15"/>
        <v>930.84787085064363</v>
      </c>
      <c r="O198" s="181">
        <v>12863</v>
      </c>
      <c r="P198" s="181">
        <v>1106.850761909501</v>
      </c>
      <c r="Q198" s="169">
        <f t="shared" si="11"/>
        <v>1184.7075595202489</v>
      </c>
      <c r="R198" s="181">
        <v>9690</v>
      </c>
      <c r="S198" s="181">
        <v>175.42101671448501</v>
      </c>
      <c r="T198" s="169">
        <f t="shared" si="12"/>
        <v>187.76027604828124</v>
      </c>
    </row>
    <row r="199" spans="1:20" x14ac:dyDescent="0.25">
      <c r="A199" s="161">
        <v>1</v>
      </c>
      <c r="B199" s="161">
        <v>2015</v>
      </c>
      <c r="C199" s="172">
        <f>E199</f>
        <v>219.418599054541</v>
      </c>
      <c r="D199" s="164">
        <f>G199</f>
        <v>202.59159905454101</v>
      </c>
      <c r="E199" s="161">
        <v>219.418599054541</v>
      </c>
      <c r="G199" s="161">
        <v>202.59159905454101</v>
      </c>
      <c r="I199" s="161">
        <v>138.4</v>
      </c>
      <c r="J199" s="161">
        <v>1</v>
      </c>
      <c r="K199" s="161">
        <v>2015</v>
      </c>
      <c r="L199" s="181">
        <v>19630</v>
      </c>
      <c r="M199" s="181">
        <v>957.60520650282388</v>
      </c>
      <c r="N199" s="169">
        <f t="shared" si="15"/>
        <v>1021.2610439293121</v>
      </c>
      <c r="O199" s="181">
        <v>9848</v>
      </c>
      <c r="P199" s="181">
        <v>1279.8360091262539</v>
      </c>
      <c r="Q199" s="169">
        <f t="shared" si="11"/>
        <v>1364.9118132011204</v>
      </c>
      <c r="R199" s="181">
        <v>7135</v>
      </c>
      <c r="S199" s="181">
        <v>155.36971992416409</v>
      </c>
      <c r="T199" s="169">
        <f t="shared" si="12"/>
        <v>165.69776489022124</v>
      </c>
    </row>
    <row r="200" spans="1:20" x14ac:dyDescent="0.25">
      <c r="A200" s="161">
        <v>2</v>
      </c>
      <c r="C200" s="172">
        <f>+E200-E199</f>
        <v>188.69592411436798</v>
      </c>
      <c r="D200" s="164">
        <f>+G200-G199</f>
        <v>171.45081948058601</v>
      </c>
      <c r="E200" s="161">
        <v>408.11452316890899</v>
      </c>
      <c r="G200" s="161">
        <v>374.04241853512701</v>
      </c>
      <c r="I200" s="161">
        <v>139.6</v>
      </c>
      <c r="J200" s="161">
        <v>2</v>
      </c>
      <c r="L200" s="181">
        <v>15703.949675889351</v>
      </c>
      <c r="M200" s="181">
        <v>739.71582874915612</v>
      </c>
      <c r="N200" s="169">
        <f t="shared" si="15"/>
        <v>782.10642065455181</v>
      </c>
      <c r="O200" s="181">
        <v>5422.7168724637304</v>
      </c>
      <c r="P200" s="181">
        <v>1206.7408437095464</v>
      </c>
      <c r="Q200" s="169">
        <f t="shared" si="11"/>
        <v>1275.8950467874574</v>
      </c>
      <c r="R200" s="181">
        <v>9988.3050621118018</v>
      </c>
      <c r="S200" s="181">
        <v>168.85276765034422</v>
      </c>
      <c r="T200" s="169">
        <f t="shared" si="12"/>
        <v>178.52914401999143</v>
      </c>
    </row>
    <row r="201" spans="1:20" x14ac:dyDescent="0.25">
      <c r="A201" s="161">
        <v>3</v>
      </c>
      <c r="C201" s="172">
        <f>+E201-E200</f>
        <v>180.38826158445403</v>
      </c>
      <c r="D201" s="164">
        <f>+G201-G200</f>
        <v>162.29720926756397</v>
      </c>
      <c r="E201" s="161">
        <v>588.50278475336302</v>
      </c>
      <c r="G201" s="161">
        <v>536.33962780269098</v>
      </c>
      <c r="I201" s="161">
        <v>139.69999999999999</v>
      </c>
      <c r="J201" s="161">
        <v>3</v>
      </c>
      <c r="L201" s="181">
        <v>22728.974837944646</v>
      </c>
      <c r="M201" s="181">
        <v>979.87465749478997</v>
      </c>
      <c r="N201" s="169">
        <f t="shared" si="15"/>
        <v>1035.2863238813959</v>
      </c>
      <c r="O201" s="181">
        <v>8619.8584362319707</v>
      </c>
      <c r="P201" s="181">
        <v>1341.1049733657396</v>
      </c>
      <c r="Q201" s="169">
        <f t="shared" si="11"/>
        <v>1416.9441236133371</v>
      </c>
      <c r="R201" s="181">
        <v>10649.652531055901</v>
      </c>
      <c r="S201" s="181">
        <v>131.16322330640469</v>
      </c>
      <c r="T201" s="169">
        <f t="shared" si="12"/>
        <v>138.58047072315915</v>
      </c>
    </row>
    <row r="202" spans="1:20" x14ac:dyDescent="0.25">
      <c r="A202" s="161">
        <v>4</v>
      </c>
      <c r="C202" s="172">
        <f>+E202-E201</f>
        <v>195.22963867497901</v>
      </c>
      <c r="D202" s="164">
        <f>+G202-G201</f>
        <v>179.89113138755602</v>
      </c>
      <c r="E202" s="161">
        <v>783.73242342834203</v>
      </c>
      <c r="G202" s="161">
        <v>716.230759190247</v>
      </c>
      <c r="I202" s="161">
        <v>141.69999999999999</v>
      </c>
      <c r="J202" s="161">
        <v>4</v>
      </c>
      <c r="L202" s="181">
        <v>17661.404213438705</v>
      </c>
      <c r="M202" s="181">
        <v>882.4718984768997</v>
      </c>
      <c r="N202" s="169">
        <f t="shared" si="15"/>
        <v>919.21561196323501</v>
      </c>
      <c r="O202" s="181">
        <v>7193.856491304301</v>
      </c>
      <c r="P202" s="181">
        <v>1425.3376484527203</v>
      </c>
      <c r="Q202" s="169">
        <f t="shared" si="11"/>
        <v>1484.6848053043157</v>
      </c>
      <c r="R202" s="181">
        <v>9159.825978260902</v>
      </c>
      <c r="S202" s="181">
        <v>158.55842389179503</v>
      </c>
      <c r="T202" s="169">
        <f t="shared" si="12"/>
        <v>165.16036250126285</v>
      </c>
    </row>
    <row r="203" spans="1:20" x14ac:dyDescent="0.25">
      <c r="A203" s="161">
        <v>1</v>
      </c>
      <c r="B203" s="161">
        <v>2016</v>
      </c>
      <c r="C203" s="172">
        <f>E203</f>
        <v>217.297581707322</v>
      </c>
      <c r="D203" s="164">
        <f>G203</f>
        <v>201.19677375494101</v>
      </c>
      <c r="E203" s="161">
        <v>217.297581707322</v>
      </c>
      <c r="G203" s="161">
        <v>201.19677375494101</v>
      </c>
      <c r="I203" s="161">
        <v>142.69999999999999</v>
      </c>
      <c r="J203" s="161">
        <v>1</v>
      </c>
      <c r="K203" s="161">
        <v>2016</v>
      </c>
      <c r="L203" s="181">
        <v>20668.165818181998</v>
      </c>
      <c r="M203" s="181">
        <v>1021.6300324660001</v>
      </c>
      <c r="N203" s="169">
        <f t="shared" si="15"/>
        <v>1056.7105311281123</v>
      </c>
      <c r="O203" s="181">
        <v>6682.5362000000005</v>
      </c>
      <c r="P203" s="181">
        <v>1267.176908724</v>
      </c>
      <c r="Q203" s="169">
        <f t="shared" si="11"/>
        <v>1310.6889399275572</v>
      </c>
      <c r="R203" s="181">
        <v>6340.7358571430004</v>
      </c>
      <c r="S203" s="181">
        <v>128.592957756</v>
      </c>
      <c r="T203" s="169">
        <f t="shared" si="12"/>
        <v>133.00855336219763</v>
      </c>
    </row>
    <row r="204" spans="1:20" x14ac:dyDescent="0.25">
      <c r="A204" s="161">
        <v>2</v>
      </c>
      <c r="C204" s="172">
        <f>+E204-E203</f>
        <v>210.94903078835901</v>
      </c>
      <c r="D204" s="164">
        <f>+G204-G203</f>
        <v>192.89311593057502</v>
      </c>
      <c r="E204" s="161">
        <v>428.24661249568101</v>
      </c>
      <c r="G204" s="161">
        <v>394.08988968551603</v>
      </c>
      <c r="I204" s="161">
        <v>144.30000000000001</v>
      </c>
      <c r="J204" s="161">
        <v>2</v>
      </c>
      <c r="L204" s="181">
        <v>19039.287573122998</v>
      </c>
      <c r="M204" s="181">
        <v>795.20392340999979</v>
      </c>
      <c r="N204" s="169">
        <f t="shared" si="15"/>
        <v>813.38946011999974</v>
      </c>
      <c r="O204" s="181">
        <v>5385.3991579709982</v>
      </c>
      <c r="P204" s="181">
        <v>991.5183596400002</v>
      </c>
      <c r="Q204" s="169">
        <f t="shared" si="11"/>
        <v>1014.1934156816633</v>
      </c>
      <c r="R204" s="181">
        <v>10107.700518632999</v>
      </c>
      <c r="S204" s="181">
        <v>152.61472035099999</v>
      </c>
      <c r="T204" s="169">
        <f t="shared" si="12"/>
        <v>156.10486988085654</v>
      </c>
    </row>
    <row r="205" spans="1:20" x14ac:dyDescent="0.25">
      <c r="A205" s="161">
        <v>3</v>
      </c>
      <c r="C205" s="172">
        <f>+E205-E204</f>
        <v>193.64755294266695</v>
      </c>
      <c r="D205" s="164">
        <f>+G205-G204</f>
        <v>175.641874720337</v>
      </c>
      <c r="E205" s="161">
        <v>621.89416543834795</v>
      </c>
      <c r="G205" s="161">
        <v>569.73176440585303</v>
      </c>
      <c r="I205" s="161">
        <v>145.30000000000001</v>
      </c>
      <c r="J205" s="161">
        <v>3</v>
      </c>
      <c r="L205" s="181">
        <v>25325.005330874006</v>
      </c>
      <c r="M205" s="181">
        <v>1404.3111468839998</v>
      </c>
      <c r="N205" s="169">
        <f t="shared" si="15"/>
        <v>1426.5404355132714</v>
      </c>
      <c r="O205" s="181">
        <v>9666.7747891530034</v>
      </c>
      <c r="P205" s="181">
        <v>1492.4533452979995</v>
      </c>
      <c r="Q205" s="169">
        <f t="shared" si="11"/>
        <v>1516.0778648725718</v>
      </c>
      <c r="R205" s="181">
        <v>10325.156290487997</v>
      </c>
      <c r="S205" s="181">
        <v>149.15188867200001</v>
      </c>
      <c r="T205" s="169">
        <f t="shared" si="12"/>
        <v>151.5128614451975</v>
      </c>
    </row>
    <row r="206" spans="1:20" x14ac:dyDescent="0.25">
      <c r="A206" s="161">
        <v>4</v>
      </c>
      <c r="C206" s="172">
        <f>+E206-E205</f>
        <v>194.66297676649504</v>
      </c>
      <c r="D206" s="164">
        <f>+G206-G205</f>
        <v>178.45454935802093</v>
      </c>
      <c r="E206" s="161">
        <v>816.55714220484299</v>
      </c>
      <c r="G206" s="161">
        <v>748.18631376387395</v>
      </c>
      <c r="I206" s="161">
        <v>146.69999999999999</v>
      </c>
      <c r="J206" s="161">
        <v>4</v>
      </c>
      <c r="L206" s="181">
        <v>18369.446222722992</v>
      </c>
      <c r="M206" s="181">
        <v>962.00640138500057</v>
      </c>
      <c r="N206" s="169">
        <f t="shared" si="15"/>
        <v>967.90828114809881</v>
      </c>
      <c r="O206" s="181">
        <v>6575.4640743699983</v>
      </c>
      <c r="P206" s="181">
        <v>1222.1149542560006</v>
      </c>
      <c r="Q206" s="169">
        <f t="shared" si="11"/>
        <v>1229.6125920121724</v>
      </c>
      <c r="R206" s="181">
        <v>7957.0224983410008</v>
      </c>
      <c r="S206" s="181">
        <v>147.86469469900001</v>
      </c>
      <c r="T206" s="169">
        <f t="shared" si="12"/>
        <v>148.77184006525155</v>
      </c>
    </row>
    <row r="207" spans="1:20" x14ac:dyDescent="0.25">
      <c r="A207" s="161">
        <v>1</v>
      </c>
      <c r="B207" s="161">
        <v>2017</v>
      </c>
      <c r="C207" s="172">
        <f>E207</f>
        <v>227.02914608932699</v>
      </c>
      <c r="D207" s="164">
        <f>G207</f>
        <v>210.737716871462</v>
      </c>
      <c r="E207" s="161">
        <v>227.02914608932699</v>
      </c>
      <c r="G207" s="161">
        <v>210.737716871462</v>
      </c>
      <c r="I207" s="161">
        <v>146.4</v>
      </c>
      <c r="J207" s="161">
        <v>1</v>
      </c>
      <c r="K207" s="161">
        <v>2017</v>
      </c>
      <c r="L207" s="181">
        <v>20188.970584052</v>
      </c>
      <c r="M207" s="181">
        <v>1029.1484993670001</v>
      </c>
      <c r="N207" s="169">
        <f t="shared" si="15"/>
        <v>1037.5841428044344</v>
      </c>
      <c r="O207" s="181">
        <v>7124.2571060979999</v>
      </c>
      <c r="P207" s="181">
        <v>1296.4468783369998</v>
      </c>
      <c r="Q207" s="169">
        <f t="shared" si="11"/>
        <v>1307.0734920938605</v>
      </c>
      <c r="R207" s="181">
        <v>6121.3819215860003</v>
      </c>
      <c r="S207" s="181">
        <v>141.149656131</v>
      </c>
      <c r="T207" s="169">
        <f t="shared" si="12"/>
        <v>142.30662052551639</v>
      </c>
    </row>
    <row r="208" spans="1:20" x14ac:dyDescent="0.25">
      <c r="A208" s="161">
        <v>2</v>
      </c>
      <c r="C208" s="172">
        <f>+E208-E207</f>
        <v>200.76722202181199</v>
      </c>
      <c r="D208" s="164">
        <f>+G208-G207</f>
        <v>183.70797761744905</v>
      </c>
      <c r="E208" s="161">
        <v>427.79636811113897</v>
      </c>
      <c r="G208" s="161">
        <v>394.44569448891104</v>
      </c>
      <c r="I208" s="161">
        <v>147.4</v>
      </c>
      <c r="J208" s="161">
        <v>2</v>
      </c>
      <c r="L208" s="181">
        <v>16357.538075795001</v>
      </c>
      <c r="M208" s="181">
        <v>768.50776898899994</v>
      </c>
      <c r="N208" s="169">
        <f t="shared" si="15"/>
        <v>769.55052037161727</v>
      </c>
      <c r="O208" s="181">
        <v>5007.3623026510004</v>
      </c>
      <c r="P208" s="181">
        <v>1681.8190342150001</v>
      </c>
      <c r="Q208" s="169">
        <f t="shared" si="11"/>
        <v>1684.1010139086432</v>
      </c>
      <c r="R208" s="181">
        <v>7194.9193664359991</v>
      </c>
      <c r="S208" s="181">
        <v>119.946167266</v>
      </c>
      <c r="T208" s="169">
        <f t="shared" si="12"/>
        <v>120.10891647531614</v>
      </c>
    </row>
    <row r="209" spans="1:20" x14ac:dyDescent="0.25">
      <c r="A209" s="161">
        <v>3</v>
      </c>
      <c r="C209" s="172">
        <f>+E209-E208</f>
        <v>195.05863188886104</v>
      </c>
      <c r="D209" s="164">
        <f>+G209-G208</f>
        <v>176.76630551108894</v>
      </c>
      <c r="E209" s="161">
        <v>622.85500000000002</v>
      </c>
      <c r="G209" s="161">
        <v>571.21199999999999</v>
      </c>
      <c r="I209" s="161">
        <v>147.30000000000001</v>
      </c>
      <c r="J209" s="161">
        <v>3</v>
      </c>
      <c r="L209" s="181">
        <v>19399</v>
      </c>
      <c r="M209" s="181">
        <v>907</v>
      </c>
      <c r="N209" s="169">
        <f t="shared" si="15"/>
        <v>908.84725050916484</v>
      </c>
      <c r="O209" s="181">
        <v>8892</v>
      </c>
      <c r="P209" s="181">
        <v>954</v>
      </c>
      <c r="Q209" s="169">
        <f t="shared" si="11"/>
        <v>955.94297352342141</v>
      </c>
      <c r="R209" s="181">
        <v>8727</v>
      </c>
      <c r="S209" s="181">
        <v>128</v>
      </c>
      <c r="T209" s="169">
        <f t="shared" si="12"/>
        <v>128.26069246435844</v>
      </c>
    </row>
    <row r="210" spans="1:20" x14ac:dyDescent="0.25">
      <c r="A210" s="161">
        <v>4</v>
      </c>
      <c r="C210" s="172">
        <f>+E210-E209</f>
        <v>225.423</v>
      </c>
      <c r="D210" s="164">
        <f>+G210-G209</f>
        <v>208.21799999999996</v>
      </c>
      <c r="E210" s="161">
        <v>848.27800000000002</v>
      </c>
      <c r="G210" s="161">
        <v>779.43</v>
      </c>
      <c r="I210" s="161">
        <v>148.4</v>
      </c>
      <c r="J210" s="161">
        <v>4</v>
      </c>
      <c r="L210" s="181">
        <v>23333</v>
      </c>
      <c r="M210" s="181">
        <v>1141</v>
      </c>
      <c r="N210" s="169">
        <f t="shared" si="15"/>
        <v>1134.8490566037735</v>
      </c>
      <c r="O210" s="181">
        <v>6366</v>
      </c>
      <c r="P210" s="181">
        <v>1205</v>
      </c>
      <c r="Q210" s="169">
        <f t="shared" si="11"/>
        <v>1198.5040431266843</v>
      </c>
      <c r="R210" s="181">
        <v>7520</v>
      </c>
      <c r="S210" s="181">
        <v>124</v>
      </c>
      <c r="T210" s="169">
        <f t="shared" si="12"/>
        <v>123.33153638814017</v>
      </c>
    </row>
    <row r="211" spans="1:20" x14ac:dyDescent="0.25">
      <c r="A211" s="161">
        <v>1</v>
      </c>
      <c r="B211" s="161">
        <v>2018</v>
      </c>
      <c r="C211" s="172">
        <f>+E211</f>
        <v>241.52799999999999</v>
      </c>
      <c r="D211" s="164">
        <f>+G211</f>
        <v>222.678</v>
      </c>
      <c r="E211" s="161">
        <v>241.52799999999999</v>
      </c>
      <c r="G211" s="161">
        <v>222.678</v>
      </c>
      <c r="I211" s="161">
        <v>149.69999999999999</v>
      </c>
      <c r="J211" s="161">
        <v>1</v>
      </c>
      <c r="K211" s="161">
        <v>2018</v>
      </c>
      <c r="L211" s="181">
        <v>25111</v>
      </c>
      <c r="M211" s="181">
        <v>1175</v>
      </c>
      <c r="N211" s="169">
        <f t="shared" si="15"/>
        <v>1158.5170340681364</v>
      </c>
      <c r="O211" s="181">
        <v>6317</v>
      </c>
      <c r="P211" s="181">
        <v>1262</v>
      </c>
      <c r="Q211" s="169">
        <f t="shared" si="11"/>
        <v>1244.2965931863728</v>
      </c>
      <c r="R211" s="181">
        <v>5433</v>
      </c>
      <c r="S211" s="181">
        <v>116</v>
      </c>
      <c r="T211" s="169">
        <f t="shared" si="12"/>
        <v>114.37274549098197</v>
      </c>
    </row>
    <row r="212" spans="1:20" x14ac:dyDescent="0.25">
      <c r="A212" s="161">
        <v>2</v>
      </c>
      <c r="C212" s="172">
        <f>+E212-E211</f>
        <v>226.77080239162902</v>
      </c>
      <c r="D212" s="164">
        <f>+G212-G211</f>
        <v>208.83864191330298</v>
      </c>
      <c r="E212" s="161">
        <v>468.29880239162901</v>
      </c>
      <c r="G212" s="161">
        <v>431.51664191330298</v>
      </c>
      <c r="I212" s="161">
        <v>150.80000000000001</v>
      </c>
      <c r="J212" s="161">
        <v>2</v>
      </c>
      <c r="L212" s="181">
        <v>20973.437462450995</v>
      </c>
      <c r="M212" s="181">
        <v>1076.7915513600001</v>
      </c>
      <c r="N212" s="169">
        <f t="shared" si="15"/>
        <v>1053.9418632674801</v>
      </c>
      <c r="O212" s="181">
        <v>5869.5992710140017</v>
      </c>
      <c r="P212" s="181">
        <v>1471.9660798479999</v>
      </c>
      <c r="Q212" s="169">
        <f t="shared" si="11"/>
        <v>1440.7307253684667</v>
      </c>
      <c r="R212" s="181">
        <v>9319.6839472049996</v>
      </c>
      <c r="S212" s="181">
        <v>135.61776245999999</v>
      </c>
      <c r="T212" s="169">
        <f t="shared" si="12"/>
        <v>132.73993195687001</v>
      </c>
    </row>
    <row r="213" spans="1:20" x14ac:dyDescent="0.25">
      <c r="E213" s="165" t="s">
        <v>110</v>
      </c>
      <c r="J213" s="183"/>
      <c r="K213" s="184" t="s">
        <v>161</v>
      </c>
      <c r="L213" s="185">
        <f>L215-L211</f>
        <v>20973.437462450995</v>
      </c>
      <c r="M213" s="185">
        <f>M215-M211</f>
        <v>1076.7915513600001</v>
      </c>
      <c r="N213" s="186" t="s">
        <v>175</v>
      </c>
      <c r="O213" s="185">
        <f>O215-O211</f>
        <v>5869.5992710140017</v>
      </c>
      <c r="P213" s="185">
        <f>P215-P211</f>
        <v>1471.9660798479999</v>
      </c>
      <c r="Q213" s="186" t="s">
        <v>175</v>
      </c>
      <c r="R213" s="185">
        <f>R215-R211</f>
        <v>9319.6839472049996</v>
      </c>
      <c r="S213" s="185">
        <f>S215-S211</f>
        <v>135.61776245999999</v>
      </c>
      <c r="T213" s="187" t="s">
        <v>175</v>
      </c>
    </row>
    <row r="214" spans="1:20" x14ac:dyDescent="0.25">
      <c r="E214" s="180">
        <f>IF('Tab5'!E8="",'Tab5'!E7,'Tab5'!E8)/1000</f>
        <v>468.29880239162901</v>
      </c>
      <c r="G214" s="180">
        <f>IF('Tab5'!E10="",'Tab5'!E9,'Tab5'!E10)/1000</f>
        <v>431.51664191330298</v>
      </c>
      <c r="K214" s="167" t="s">
        <v>189</v>
      </c>
      <c r="L214" s="170">
        <f>SUM('Tab7'!E11,'Tab11'!E11)</f>
        <v>98911.528020043712</v>
      </c>
      <c r="M214" s="169">
        <f>SUM('Tab7'!E39,'Tab11'!E39)</f>
        <v>4950.0668831656458</v>
      </c>
      <c r="N214" s="188" t="s">
        <v>174</v>
      </c>
      <c r="O214" s="170">
        <f>SUM('Tab7'!E9,'Tab11'!E9)</f>
        <v>27965.506513466986</v>
      </c>
      <c r="P214" s="169">
        <f>SUM('Tab7'!E37,'Tab11'!E37)</f>
        <v>5225.369750326463</v>
      </c>
      <c r="Q214" s="188" t="s">
        <v>174</v>
      </c>
      <c r="R214" s="170">
        <f>SUM('Tab7'!E13,'Tab11'!E13)</f>
        <v>32229.779593621843</v>
      </c>
      <c r="S214" s="169">
        <f>SUM('Tab7'!E41,'Tab11'!E41)</f>
        <v>503.3562678758351</v>
      </c>
      <c r="T214" s="188" t="s">
        <v>174</v>
      </c>
    </row>
    <row r="215" spans="1:20" x14ac:dyDescent="0.25">
      <c r="K215" s="167" t="s">
        <v>188</v>
      </c>
      <c r="L215" s="170">
        <f>SUM('Tab7'!E12,'Tab11'!E12)</f>
        <v>46084.437462450995</v>
      </c>
      <c r="M215" s="169">
        <f>SUM('Tab7'!E40,'Tab11'!E40)</f>
        <v>2251.7915513600001</v>
      </c>
      <c r="N215" s="188" t="s">
        <v>174</v>
      </c>
      <c r="O215" s="170">
        <f>SUM('Tab7'!E10,'Tab11'!E10)</f>
        <v>12186.599271014002</v>
      </c>
      <c r="P215" s="169">
        <f>SUM('Tab7'!E38,'Tab11'!E38)</f>
        <v>2733.9660798479999</v>
      </c>
      <c r="Q215" s="188" t="s">
        <v>174</v>
      </c>
      <c r="R215" s="170">
        <f>SUM('Tab7'!E14,'Tab11'!E14)</f>
        <v>14752.683947205</v>
      </c>
      <c r="S215" s="169">
        <f>SUM('Tab7'!E42,'Tab11'!E42)</f>
        <v>251.61776245999999</v>
      </c>
      <c r="T215" s="188" t="s">
        <v>174</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ignoredErrors>
    <ignoredError sqref="J6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1" t="s">
        <v>0</v>
      </c>
      <c r="B2" s="2"/>
      <c r="C2" s="2"/>
      <c r="D2" s="2"/>
      <c r="E2" s="2"/>
      <c r="F2" s="2"/>
      <c r="G2" s="2"/>
    </row>
    <row r="3" spans="1:8" ht="6" customHeight="1" x14ac:dyDescent="0.25">
      <c r="A3" s="3"/>
      <c r="B3" s="2"/>
      <c r="C3" s="2"/>
      <c r="D3" s="2"/>
      <c r="E3" s="2"/>
      <c r="F3" s="2"/>
      <c r="G3" s="2"/>
    </row>
    <row r="4" spans="1:8" ht="16.2" thickBot="1" x14ac:dyDescent="0.35">
      <c r="A4" s="4" t="s">
        <v>145</v>
      </c>
      <c r="B4" s="5"/>
      <c r="C4" s="5"/>
      <c r="D4" s="5"/>
      <c r="E4" s="5"/>
      <c r="F4" s="5"/>
      <c r="G4" s="5"/>
      <c r="H4" s="6"/>
    </row>
    <row r="5" spans="1:8" x14ac:dyDescent="0.25">
      <c r="A5" s="7"/>
      <c r="B5" s="8"/>
      <c r="C5" s="9"/>
      <c r="D5" s="8"/>
      <c r="E5" s="10"/>
      <c r="F5" s="11"/>
      <c r="G5" s="214" t="s">
        <v>1</v>
      </c>
      <c r="H5" s="215"/>
    </row>
    <row r="6" spans="1:8" x14ac:dyDescent="0.25">
      <c r="A6" s="12"/>
      <c r="B6" s="13"/>
      <c r="C6" s="14" t="s">
        <v>235</v>
      </c>
      <c r="D6" s="15" t="s">
        <v>236</v>
      </c>
      <c r="E6" s="15" t="s">
        <v>237</v>
      </c>
      <c r="F6" s="16"/>
      <c r="G6" s="17" t="s">
        <v>238</v>
      </c>
      <c r="H6" s="18" t="s">
        <v>239</v>
      </c>
    </row>
    <row r="7" spans="1:8" x14ac:dyDescent="0.25">
      <c r="A7" s="216" t="s">
        <v>2</v>
      </c>
      <c r="B7" s="19" t="s">
        <v>3</v>
      </c>
      <c r="C7" s="20">
        <v>1873571.660366575</v>
      </c>
      <c r="D7" s="20">
        <v>1914669.0099414671</v>
      </c>
      <c r="E7" s="78">
        <v>2084622.8994931444</v>
      </c>
      <c r="F7" s="22" t="s">
        <v>240</v>
      </c>
      <c r="G7" s="23">
        <v>11.264647282574501</v>
      </c>
      <c r="H7" s="24">
        <v>8.8764109446192379</v>
      </c>
    </row>
    <row r="8" spans="1:8" x14ac:dyDescent="0.25">
      <c r="A8" s="217"/>
      <c r="B8" s="25" t="s">
        <v>241</v>
      </c>
      <c r="C8" s="26">
        <v>925120.34114164498</v>
      </c>
      <c r="D8" s="26">
        <v>926212.42606814497</v>
      </c>
      <c r="E8" s="26">
        <v>1015300.201644858</v>
      </c>
      <c r="F8" s="27"/>
      <c r="G8" s="28">
        <v>9.7479059202099592</v>
      </c>
      <c r="H8" s="29">
        <v>9.618503603422667</v>
      </c>
    </row>
    <row r="9" spans="1:8" x14ac:dyDescent="0.25">
      <c r="A9" s="30" t="s">
        <v>4</v>
      </c>
      <c r="B9" s="31" t="s">
        <v>3</v>
      </c>
      <c r="C9" s="20">
        <v>673665.88803002005</v>
      </c>
      <c r="D9" s="20">
        <v>659386.100591928</v>
      </c>
      <c r="E9" s="20">
        <v>694144.91347267618</v>
      </c>
      <c r="F9" s="22" t="s">
        <v>240</v>
      </c>
      <c r="G9" s="32">
        <v>3.0399380177230455</v>
      </c>
      <c r="H9" s="33">
        <v>5.2713899867688099</v>
      </c>
    </row>
    <row r="10" spans="1:8" x14ac:dyDescent="0.25">
      <c r="A10" s="34"/>
      <c r="B10" s="25" t="s">
        <v>241</v>
      </c>
      <c r="C10" s="26">
        <v>352064.64966218203</v>
      </c>
      <c r="D10" s="26">
        <v>347027.69553224498</v>
      </c>
      <c r="E10" s="26">
        <v>364465.66598505201</v>
      </c>
      <c r="F10" s="27"/>
      <c r="G10" s="28">
        <v>3.5223690690812504</v>
      </c>
      <c r="H10" s="29">
        <v>5.0249506530197721</v>
      </c>
    </row>
    <row r="11" spans="1:8" x14ac:dyDescent="0.25">
      <c r="A11" s="30" t="s">
        <v>5</v>
      </c>
      <c r="B11" s="31" t="s">
        <v>3</v>
      </c>
      <c r="C11" s="20">
        <v>142891.254174823</v>
      </c>
      <c r="D11" s="20">
        <v>188881.58277912199</v>
      </c>
      <c r="E11" s="20">
        <v>226797.78362695483</v>
      </c>
      <c r="F11" s="22" t="s">
        <v>240</v>
      </c>
      <c r="G11" s="37">
        <v>58.720549369295043</v>
      </c>
      <c r="H11" s="33">
        <v>20.074059254454696</v>
      </c>
    </row>
    <row r="12" spans="1:8" x14ac:dyDescent="0.25">
      <c r="A12" s="34"/>
      <c r="B12" s="25" t="s">
        <v>241</v>
      </c>
      <c r="C12" s="26">
        <v>76181.962833498997</v>
      </c>
      <c r="D12" s="26">
        <v>80768.672578893995</v>
      </c>
      <c r="E12" s="26">
        <v>103833.136406577</v>
      </c>
      <c r="F12" s="27"/>
      <c r="G12" s="28">
        <v>36.29622097491972</v>
      </c>
      <c r="H12" s="29">
        <v>28.556200184117017</v>
      </c>
    </row>
    <row r="13" spans="1:8" x14ac:dyDescent="0.25">
      <c r="A13" s="30" t="s">
        <v>6</v>
      </c>
      <c r="B13" s="31" t="s">
        <v>3</v>
      </c>
      <c r="C13" s="20">
        <v>334517.38835614501</v>
      </c>
      <c r="D13" s="20">
        <v>312410.11965268</v>
      </c>
      <c r="E13" s="20">
        <v>367105.38150253257</v>
      </c>
      <c r="F13" s="22" t="s">
        <v>240</v>
      </c>
      <c r="G13" s="23">
        <v>9.7417934853935435</v>
      </c>
      <c r="H13" s="24">
        <v>17.507519254068882</v>
      </c>
    </row>
    <row r="14" spans="1:8" x14ac:dyDescent="0.25">
      <c r="A14" s="34"/>
      <c r="B14" s="25" t="s">
        <v>241</v>
      </c>
      <c r="C14" s="26">
        <v>153509.38964753499</v>
      </c>
      <c r="D14" s="26">
        <v>145788.80437477099</v>
      </c>
      <c r="E14" s="26">
        <v>170352.54489963199</v>
      </c>
      <c r="F14" s="27"/>
      <c r="G14" s="38">
        <v>10.972068412733393</v>
      </c>
      <c r="H14" s="24">
        <v>16.84885244117676</v>
      </c>
    </row>
    <row r="15" spans="1:8" x14ac:dyDescent="0.25">
      <c r="A15" s="30" t="s">
        <v>169</v>
      </c>
      <c r="B15" s="31" t="s">
        <v>3</v>
      </c>
      <c r="C15" s="20">
        <v>40113.599095906997</v>
      </c>
      <c r="D15" s="20">
        <v>39410.456254181001</v>
      </c>
      <c r="E15" s="20">
        <v>46256.825043476951</v>
      </c>
      <c r="F15" s="22" t="s">
        <v>240</v>
      </c>
      <c r="G15" s="37">
        <v>15.314571831069571</v>
      </c>
      <c r="H15" s="33">
        <v>17.37196023598338</v>
      </c>
    </row>
    <row r="16" spans="1:8" x14ac:dyDescent="0.25">
      <c r="A16" s="34"/>
      <c r="B16" s="25" t="s">
        <v>241</v>
      </c>
      <c r="C16" s="26">
        <v>20119.271221531999</v>
      </c>
      <c r="D16" s="26">
        <v>19019.623626183002</v>
      </c>
      <c r="E16" s="26">
        <v>22608.497212932001</v>
      </c>
      <c r="F16" s="27"/>
      <c r="G16" s="28">
        <v>12.372346711723779</v>
      </c>
      <c r="H16" s="29">
        <v>18.869319694678111</v>
      </c>
    </row>
    <row r="17" spans="1:8" x14ac:dyDescent="0.25">
      <c r="A17" s="30" t="s">
        <v>7</v>
      </c>
      <c r="B17" s="31" t="s">
        <v>3</v>
      </c>
      <c r="C17" s="20">
        <v>9463</v>
      </c>
      <c r="D17" s="20">
        <v>10163.027167347</v>
      </c>
      <c r="E17" s="20">
        <v>10693.793374770154</v>
      </c>
      <c r="F17" s="22" t="s">
        <v>240</v>
      </c>
      <c r="G17" s="23">
        <v>13.006376146783836</v>
      </c>
      <c r="H17" s="24">
        <v>5.2225207970363812</v>
      </c>
    </row>
    <row r="18" spans="1:8" x14ac:dyDescent="0.25">
      <c r="A18" s="30"/>
      <c r="B18" s="25" t="s">
        <v>241</v>
      </c>
      <c r="C18" s="26">
        <v>4950.7766367349996</v>
      </c>
      <c r="D18" s="26">
        <v>5397.5735274389999</v>
      </c>
      <c r="E18" s="26">
        <v>5650.9223836729998</v>
      </c>
      <c r="F18" s="27"/>
      <c r="G18" s="38">
        <v>14.142139674468154</v>
      </c>
      <c r="H18" s="24">
        <v>4.6937546092902664</v>
      </c>
    </row>
    <row r="19" spans="1:8" x14ac:dyDescent="0.25">
      <c r="A19" s="39" t="s">
        <v>8</v>
      </c>
      <c r="B19" s="31" t="s">
        <v>3</v>
      </c>
      <c r="C19" s="20">
        <v>4979</v>
      </c>
      <c r="D19" s="20">
        <v>4569</v>
      </c>
      <c r="E19" s="20">
        <v>4215.195681697297</v>
      </c>
      <c r="F19" s="22" t="s">
        <v>240</v>
      </c>
      <c r="G19" s="37">
        <v>-15.34051653550317</v>
      </c>
      <c r="H19" s="33">
        <v>-7.7435832414686558</v>
      </c>
    </row>
    <row r="20" spans="1:8" x14ac:dyDescent="0.25">
      <c r="A20" s="34"/>
      <c r="B20" s="25" t="s">
        <v>241</v>
      </c>
      <c r="C20" s="26">
        <v>2612</v>
      </c>
      <c r="D20" s="26">
        <v>2578.0918587430001</v>
      </c>
      <c r="E20" s="26">
        <v>2320</v>
      </c>
      <c r="F20" s="27"/>
      <c r="G20" s="28">
        <v>-11.179173047473199</v>
      </c>
      <c r="H20" s="29">
        <v>-10.010964421913101</v>
      </c>
    </row>
    <row r="21" spans="1:8" x14ac:dyDescent="0.25">
      <c r="A21" s="39" t="s">
        <v>9</v>
      </c>
      <c r="B21" s="31" t="s">
        <v>3</v>
      </c>
      <c r="C21" s="20">
        <v>25480.007092866999</v>
      </c>
      <c r="D21" s="20">
        <v>23196.560000000001</v>
      </c>
      <c r="E21" s="20">
        <v>22146.656217293956</v>
      </c>
      <c r="F21" s="22" t="s">
        <v>240</v>
      </c>
      <c r="G21" s="37">
        <v>-13.082221144695822</v>
      </c>
      <c r="H21" s="33">
        <v>-4.5261184533656973</v>
      </c>
    </row>
    <row r="22" spans="1:8" x14ac:dyDescent="0.25">
      <c r="A22" s="34"/>
      <c r="B22" s="25" t="s">
        <v>241</v>
      </c>
      <c r="C22" s="26">
        <v>13539.56</v>
      </c>
      <c r="D22" s="26">
        <v>12623.589153782999</v>
      </c>
      <c r="E22" s="26">
        <v>11956.071666667</v>
      </c>
      <c r="F22" s="27"/>
      <c r="G22" s="28">
        <v>-11.695271732116851</v>
      </c>
      <c r="H22" s="29">
        <v>-5.2878581438620387</v>
      </c>
    </row>
    <row r="23" spans="1:8" x14ac:dyDescent="0.25">
      <c r="A23" s="39" t="s">
        <v>193</v>
      </c>
      <c r="B23" s="31" t="s">
        <v>3</v>
      </c>
      <c r="C23" s="20">
        <v>5258</v>
      </c>
      <c r="D23" s="20">
        <v>5464</v>
      </c>
      <c r="E23" s="20">
        <v>6085.7850546641776</v>
      </c>
      <c r="F23" s="22" t="s">
        <v>240</v>
      </c>
      <c r="G23" s="37">
        <v>15.743344516245287</v>
      </c>
      <c r="H23" s="33">
        <v>11.379667911130625</v>
      </c>
    </row>
    <row r="24" spans="1:8" x14ac:dyDescent="0.25">
      <c r="A24" s="34"/>
      <c r="B24" s="25" t="s">
        <v>241</v>
      </c>
      <c r="C24" s="26">
        <v>2476</v>
      </c>
      <c r="D24" s="26">
        <v>2999</v>
      </c>
      <c r="E24" s="26">
        <v>3234.8935446539999</v>
      </c>
      <c r="F24" s="27"/>
      <c r="G24" s="28">
        <v>30.649981609612269</v>
      </c>
      <c r="H24" s="29">
        <v>7.8657400684895009</v>
      </c>
    </row>
    <row r="25" spans="1:8" x14ac:dyDescent="0.25">
      <c r="A25" s="39" t="s">
        <v>194</v>
      </c>
      <c r="B25" s="31" t="s">
        <v>3</v>
      </c>
      <c r="C25" s="20">
        <v>918</v>
      </c>
      <c r="D25" s="20">
        <v>978</v>
      </c>
      <c r="E25" s="20">
        <v>1722.2151770342343</v>
      </c>
      <c r="F25" s="22" t="s">
        <v>240</v>
      </c>
      <c r="G25" s="37">
        <v>87.605139110483037</v>
      </c>
      <c r="H25" s="33">
        <v>76.095621373643581</v>
      </c>
    </row>
    <row r="26" spans="1:8" x14ac:dyDescent="0.25">
      <c r="A26" s="34"/>
      <c r="B26" s="25" t="s">
        <v>241</v>
      </c>
      <c r="C26" s="26">
        <v>466</v>
      </c>
      <c r="D26" s="26">
        <v>475</v>
      </c>
      <c r="E26" s="26">
        <v>844.51363636400004</v>
      </c>
      <c r="F26" s="27"/>
      <c r="G26" s="28">
        <v>81.226102224034349</v>
      </c>
      <c r="H26" s="29">
        <v>77.792344497684212</v>
      </c>
    </row>
    <row r="27" spans="1:8" x14ac:dyDescent="0.25">
      <c r="A27" s="39" t="s">
        <v>195</v>
      </c>
      <c r="B27" s="31" t="s">
        <v>3</v>
      </c>
      <c r="C27" s="20">
        <v>247116.93649583799</v>
      </c>
      <c r="D27" s="20">
        <v>269991.33667365101</v>
      </c>
      <c r="E27" s="20">
        <v>278051.65684961982</v>
      </c>
      <c r="F27" s="22" t="s">
        <v>240</v>
      </c>
      <c r="G27" s="37">
        <v>12.51825180112769</v>
      </c>
      <c r="H27" s="33">
        <v>2.9853995595834988</v>
      </c>
    </row>
    <row r="28" spans="1:8" x14ac:dyDescent="0.25">
      <c r="A28" s="34"/>
      <c r="B28" s="25" t="s">
        <v>241</v>
      </c>
      <c r="C28" s="26">
        <v>116037</v>
      </c>
      <c r="D28" s="26">
        <v>121817</v>
      </c>
      <c r="E28" s="26">
        <v>129673.422610183</v>
      </c>
      <c r="F28" s="27"/>
      <c r="G28" s="28">
        <v>11.751788317677111</v>
      </c>
      <c r="H28" s="29">
        <v>6.4493647111511621</v>
      </c>
    </row>
    <row r="29" spans="1:8" x14ac:dyDescent="0.25">
      <c r="A29" s="30" t="s">
        <v>10</v>
      </c>
      <c r="B29" s="31" t="s">
        <v>3</v>
      </c>
      <c r="C29" s="20">
        <v>311962</v>
      </c>
      <c r="D29" s="20">
        <v>320312</v>
      </c>
      <c r="E29" s="20">
        <v>329541.11109461711</v>
      </c>
      <c r="F29" s="22" t="s">
        <v>240</v>
      </c>
      <c r="G29" s="37">
        <v>5.6350167951920724</v>
      </c>
      <c r="H29" s="33">
        <v>2.8812879613055742</v>
      </c>
    </row>
    <row r="30" spans="1:8" x14ac:dyDescent="0.25">
      <c r="A30" s="30"/>
      <c r="B30" s="25" t="s">
        <v>241</v>
      </c>
      <c r="C30" s="26">
        <v>149261.141025641</v>
      </c>
      <c r="D30" s="26">
        <v>148449</v>
      </c>
      <c r="E30" s="26">
        <v>154340</v>
      </c>
      <c r="F30" s="27"/>
      <c r="G30" s="28">
        <v>3.402666587874009</v>
      </c>
      <c r="H30" s="29">
        <v>3.968366240257609</v>
      </c>
    </row>
    <row r="31" spans="1:8" x14ac:dyDescent="0.25">
      <c r="A31" s="39" t="s">
        <v>11</v>
      </c>
      <c r="B31" s="31" t="s">
        <v>3</v>
      </c>
      <c r="C31" s="20">
        <v>10018.849101247</v>
      </c>
      <c r="D31" s="20">
        <v>9835.3017456359994</v>
      </c>
      <c r="E31" s="20">
        <v>11464.339520296331</v>
      </c>
      <c r="F31" s="22" t="s">
        <v>240</v>
      </c>
      <c r="G31" s="37">
        <v>14.427709255241879</v>
      </c>
      <c r="H31" s="33">
        <v>16.563170269617288</v>
      </c>
    </row>
    <row r="32" spans="1:8" x14ac:dyDescent="0.25">
      <c r="A32" s="34"/>
      <c r="B32" s="25" t="s">
        <v>241</v>
      </c>
      <c r="C32" s="26">
        <v>4070.6695760600001</v>
      </c>
      <c r="D32" s="26">
        <v>3833.5464347259999</v>
      </c>
      <c r="E32" s="26">
        <v>4529.9239401499999</v>
      </c>
      <c r="F32" s="27"/>
      <c r="G32" s="28">
        <v>11.282034945575518</v>
      </c>
      <c r="H32" s="29">
        <v>18.165359864064683</v>
      </c>
    </row>
    <row r="33" spans="1:8" x14ac:dyDescent="0.25">
      <c r="A33" s="30" t="s">
        <v>12</v>
      </c>
      <c r="B33" s="31" t="s">
        <v>3</v>
      </c>
      <c r="C33" s="20">
        <v>8825.3934933599994</v>
      </c>
      <c r="D33" s="20">
        <v>9480.0519999999997</v>
      </c>
      <c r="E33" s="20">
        <v>10373.983976370599</v>
      </c>
      <c r="F33" s="22" t="s">
        <v>240</v>
      </c>
      <c r="G33" s="37">
        <v>17.546985119425202</v>
      </c>
      <c r="H33" s="33">
        <v>9.4296104744003344</v>
      </c>
    </row>
    <row r="34" spans="1:8" x14ac:dyDescent="0.25">
      <c r="A34" s="30"/>
      <c r="B34" s="25" t="s">
        <v>241</v>
      </c>
      <c r="C34" s="26">
        <v>4769.7039999999997</v>
      </c>
      <c r="D34" s="26">
        <v>4864.4012554769997</v>
      </c>
      <c r="E34" s="26">
        <v>5414.37</v>
      </c>
      <c r="F34" s="27"/>
      <c r="G34" s="28">
        <v>13.515849201543745</v>
      </c>
      <c r="H34" s="29">
        <v>11.305990514326325</v>
      </c>
    </row>
    <row r="35" spans="1:8" x14ac:dyDescent="0.25">
      <c r="A35" s="39" t="s">
        <v>13</v>
      </c>
      <c r="B35" s="31" t="s">
        <v>3</v>
      </c>
      <c r="C35" s="20">
        <v>73</v>
      </c>
      <c r="D35" s="20">
        <v>104</v>
      </c>
      <c r="E35" s="20">
        <v>123.97255453905699</v>
      </c>
      <c r="F35" s="22" t="s">
        <v>240</v>
      </c>
      <c r="G35" s="23">
        <v>69.825417176790381</v>
      </c>
      <c r="H35" s="24">
        <v>19.204379364477873</v>
      </c>
    </row>
    <row r="36" spans="1:8" x14ac:dyDescent="0.25">
      <c r="A36" s="34"/>
      <c r="B36" s="25" t="s">
        <v>241</v>
      </c>
      <c r="C36" s="26">
        <v>29</v>
      </c>
      <c r="D36" s="26">
        <v>49</v>
      </c>
      <c r="E36" s="26">
        <v>55</v>
      </c>
      <c r="F36" s="27"/>
      <c r="G36" s="28">
        <v>89.65517241379311</v>
      </c>
      <c r="H36" s="29">
        <v>12.24489795918366</v>
      </c>
    </row>
    <row r="37" spans="1:8" x14ac:dyDescent="0.25">
      <c r="A37" s="30" t="s">
        <v>14</v>
      </c>
      <c r="B37" s="31" t="s">
        <v>3</v>
      </c>
      <c r="C37" s="40">
        <v>58289.344526369001</v>
      </c>
      <c r="D37" s="40">
        <v>60487.473076923001</v>
      </c>
      <c r="E37" s="20">
        <v>75549.591479607348</v>
      </c>
      <c r="F37" s="22" t="s">
        <v>240</v>
      </c>
      <c r="G37" s="23">
        <v>29.611324494188011</v>
      </c>
      <c r="H37" s="24">
        <v>24.901219436840378</v>
      </c>
    </row>
    <row r="38" spans="1:8" ht="13.8" thickBot="1" x14ac:dyDescent="0.3">
      <c r="A38" s="41"/>
      <c r="B38" s="42" t="s">
        <v>241</v>
      </c>
      <c r="C38" s="43">
        <v>25033.216538461998</v>
      </c>
      <c r="D38" s="43">
        <v>30521.427725884001</v>
      </c>
      <c r="E38" s="43">
        <v>36021.239358974002</v>
      </c>
      <c r="F38" s="44"/>
      <c r="G38" s="45">
        <v>43.893771316321192</v>
      </c>
      <c r="H38" s="46">
        <v>18.019509711289913</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7"/>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G61" s="53"/>
      <c r="H61" s="219">
        <v>9</v>
      </c>
    </row>
    <row r="62" spans="1:8" ht="12.75" customHeight="1" x14ac:dyDescent="0.25">
      <c r="A62" s="54" t="s">
        <v>243</v>
      </c>
      <c r="G62" s="53"/>
      <c r="H62" s="210"/>
    </row>
    <row r="63" spans="1:8" x14ac:dyDescent="0.25">
      <c r="H63" s="86"/>
    </row>
    <row r="64" spans="1:8" x14ac:dyDescent="0.25">
      <c r="A64" s="218"/>
      <c r="H64" s="53"/>
    </row>
    <row r="65" spans="1:8" x14ac:dyDescent="0.25">
      <c r="A65" s="218"/>
      <c r="H65" s="53"/>
    </row>
    <row r="67" spans="1:8" ht="12.75" customHeight="1" x14ac:dyDescent="0.25"/>
    <row r="68" spans="1:8" ht="12.75" customHeight="1" x14ac:dyDescent="0.25"/>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ignoredErrors>
    <ignoredError sqref="C6:E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10" ht="5.25" customHeight="1" x14ac:dyDescent="0.25"/>
    <row r="2" spans="1:10" x14ac:dyDescent="0.25">
      <c r="A2" s="91" t="s">
        <v>0</v>
      </c>
      <c r="B2" s="2"/>
      <c r="C2" s="2"/>
      <c r="D2" s="2"/>
      <c r="E2" s="2"/>
      <c r="F2" s="2"/>
      <c r="G2" s="2"/>
    </row>
    <row r="3" spans="1:10" ht="6" customHeight="1" x14ac:dyDescent="0.25">
      <c r="A3" s="3"/>
      <c r="B3" s="2"/>
      <c r="C3" s="2"/>
      <c r="D3" s="2"/>
      <c r="E3" s="2"/>
      <c r="F3" s="2"/>
      <c r="G3" s="2"/>
    </row>
    <row r="4" spans="1:10" ht="16.2" thickBot="1" x14ac:dyDescent="0.35">
      <c r="A4" s="4" t="s">
        <v>15</v>
      </c>
      <c r="B4" s="5"/>
      <c r="C4" s="5"/>
      <c r="D4" s="5"/>
      <c r="E4" s="5"/>
      <c r="F4" s="5"/>
      <c r="G4" s="5"/>
      <c r="H4" s="6"/>
    </row>
    <row r="5" spans="1:10" x14ac:dyDescent="0.25">
      <c r="A5" s="7"/>
      <c r="B5" s="8"/>
      <c r="C5" s="220" t="s">
        <v>16</v>
      </c>
      <c r="D5" s="214"/>
      <c r="E5" s="214"/>
      <c r="F5" s="221"/>
      <c r="G5" s="214" t="s">
        <v>1</v>
      </c>
      <c r="H5" s="215"/>
    </row>
    <row r="6" spans="1:10" x14ac:dyDescent="0.25">
      <c r="A6" s="12"/>
      <c r="B6" s="13"/>
      <c r="C6" s="14" t="s">
        <v>235</v>
      </c>
      <c r="D6" s="15" t="s">
        <v>236</v>
      </c>
      <c r="E6" s="15" t="s">
        <v>237</v>
      </c>
      <c r="F6" s="16"/>
      <c r="G6" s="17" t="s">
        <v>238</v>
      </c>
      <c r="H6" s="18" t="s">
        <v>239</v>
      </c>
    </row>
    <row r="7" spans="1:10" x14ac:dyDescent="0.25">
      <c r="A7" s="216" t="s">
        <v>2</v>
      </c>
      <c r="B7" s="19" t="s">
        <v>3</v>
      </c>
      <c r="C7" s="79">
        <v>36539.078417285004</v>
      </c>
      <c r="D7" s="79">
        <v>37568.018908917002</v>
      </c>
      <c r="E7" s="80">
        <v>41062.169072101147</v>
      </c>
      <c r="F7" s="22" t="s">
        <v>240</v>
      </c>
      <c r="G7" s="23">
        <v>12.378775959156314</v>
      </c>
      <c r="H7" s="24">
        <v>9.300863512807652</v>
      </c>
    </row>
    <row r="8" spans="1:10" x14ac:dyDescent="0.25">
      <c r="A8" s="217"/>
      <c r="B8" s="25" t="s">
        <v>241</v>
      </c>
      <c r="C8" s="81">
        <v>18423.935603344999</v>
      </c>
      <c r="D8" s="81">
        <v>19125.284202396</v>
      </c>
      <c r="E8" s="81">
        <v>20837.17245324</v>
      </c>
      <c r="F8" s="27"/>
      <c r="G8" s="28">
        <v>13.098378662683018</v>
      </c>
      <c r="H8" s="29">
        <v>8.9509166647026177</v>
      </c>
      <c r="J8" s="94"/>
    </row>
    <row r="9" spans="1:10" x14ac:dyDescent="0.25">
      <c r="A9" s="30" t="s">
        <v>4</v>
      </c>
      <c r="B9" s="31" t="s">
        <v>3</v>
      </c>
      <c r="C9" s="79">
        <v>9443.6952770820008</v>
      </c>
      <c r="D9" s="79">
        <v>9856.8607873580004</v>
      </c>
      <c r="E9" s="79">
        <v>10432.533000874981</v>
      </c>
      <c r="F9" s="22" t="s">
        <v>240</v>
      </c>
      <c r="G9" s="32">
        <v>10.470877074916814</v>
      </c>
      <c r="H9" s="33">
        <v>5.8403200160370972</v>
      </c>
    </row>
    <row r="10" spans="1:10" x14ac:dyDescent="0.25">
      <c r="A10" s="34"/>
      <c r="B10" s="25" t="s">
        <v>241</v>
      </c>
      <c r="C10" s="81">
        <v>4772.0015874889996</v>
      </c>
      <c r="D10" s="81">
        <v>5065.8214812719998</v>
      </c>
      <c r="E10" s="81">
        <v>5331.3388591789999</v>
      </c>
      <c r="F10" s="27"/>
      <c r="G10" s="35">
        <v>11.721229790795618</v>
      </c>
      <c r="H10" s="29">
        <v>5.2413488885978126</v>
      </c>
      <c r="J10" s="94"/>
    </row>
    <row r="11" spans="1:10" x14ac:dyDescent="0.25">
      <c r="A11" s="30" t="s">
        <v>5</v>
      </c>
      <c r="B11" s="31" t="s">
        <v>3</v>
      </c>
      <c r="C11" s="79">
        <v>3312.059159337</v>
      </c>
      <c r="D11" s="79">
        <v>4022.0593413360002</v>
      </c>
      <c r="E11" s="79">
        <v>4391.9424860567606</v>
      </c>
      <c r="F11" s="22" t="s">
        <v>240</v>
      </c>
      <c r="G11" s="37">
        <v>32.604590521140608</v>
      </c>
      <c r="H11" s="33">
        <v>9.1963621948426351</v>
      </c>
    </row>
    <row r="12" spans="1:10" x14ac:dyDescent="0.25">
      <c r="A12" s="34"/>
      <c r="B12" s="25" t="s">
        <v>241</v>
      </c>
      <c r="C12" s="81">
        <v>2083.4381416269998</v>
      </c>
      <c r="D12" s="81">
        <v>2023.419281293</v>
      </c>
      <c r="E12" s="81">
        <v>2367.5320892549998</v>
      </c>
      <c r="F12" s="27"/>
      <c r="G12" s="28">
        <v>13.635823495395229</v>
      </c>
      <c r="H12" s="29">
        <v>17.006500389879946</v>
      </c>
    </row>
    <row r="13" spans="1:10" x14ac:dyDescent="0.25">
      <c r="A13" s="30" t="s">
        <v>6</v>
      </c>
      <c r="B13" s="31" t="s">
        <v>3</v>
      </c>
      <c r="C13" s="79">
        <v>7461.0390863120001</v>
      </c>
      <c r="D13" s="79">
        <v>7171.7903695670002</v>
      </c>
      <c r="E13" s="79">
        <v>9169.52824867446</v>
      </c>
      <c r="F13" s="22" t="s">
        <v>240</v>
      </c>
      <c r="G13" s="23">
        <v>22.898809972686635</v>
      </c>
      <c r="H13" s="24">
        <v>27.855497388556188</v>
      </c>
    </row>
    <row r="14" spans="1:10" x14ac:dyDescent="0.25">
      <c r="A14" s="34"/>
      <c r="B14" s="25" t="s">
        <v>241</v>
      </c>
      <c r="C14" s="81">
        <v>3395.008061944</v>
      </c>
      <c r="D14" s="81">
        <v>3523.3386332619998</v>
      </c>
      <c r="E14" s="81">
        <v>4388.2652719300004</v>
      </c>
      <c r="F14" s="27"/>
      <c r="G14" s="38">
        <v>29.256402101656732</v>
      </c>
      <c r="H14" s="24">
        <v>24.548495864197676</v>
      </c>
    </row>
    <row r="15" spans="1:10" x14ac:dyDescent="0.25">
      <c r="A15" s="30" t="s">
        <v>169</v>
      </c>
      <c r="B15" s="31" t="s">
        <v>3</v>
      </c>
      <c r="C15" s="79">
        <v>5391.969568126</v>
      </c>
      <c r="D15" s="79">
        <v>5239.1371201700003</v>
      </c>
      <c r="E15" s="79">
        <v>5641.0058583398904</v>
      </c>
      <c r="F15" s="22" t="s">
        <v>240</v>
      </c>
      <c r="G15" s="37">
        <v>4.6186516275247556</v>
      </c>
      <c r="H15" s="33">
        <v>7.6705138451663686</v>
      </c>
    </row>
    <row r="16" spans="1:10" x14ac:dyDescent="0.25">
      <c r="A16" s="34"/>
      <c r="B16" s="25" t="s">
        <v>241</v>
      </c>
      <c r="C16" s="81">
        <v>2460.811699936</v>
      </c>
      <c r="D16" s="81">
        <v>2985.487429965</v>
      </c>
      <c r="E16" s="81">
        <v>2968.4968054679998</v>
      </c>
      <c r="F16" s="27"/>
      <c r="G16" s="28">
        <v>20.63079859158681</v>
      </c>
      <c r="H16" s="29">
        <v>-0.5691072193594664</v>
      </c>
    </row>
    <row r="17" spans="1:8" x14ac:dyDescent="0.25">
      <c r="A17" s="30" t="s">
        <v>7</v>
      </c>
      <c r="B17" s="31" t="s">
        <v>3</v>
      </c>
      <c r="C17" s="79">
        <v>1966.977229306</v>
      </c>
      <c r="D17" s="79">
        <v>1881.452158285</v>
      </c>
      <c r="E17" s="79">
        <v>1741.4661679333192</v>
      </c>
      <c r="F17" s="22" t="s">
        <v>240</v>
      </c>
      <c r="G17" s="23">
        <v>-11.464853685787048</v>
      </c>
      <c r="H17" s="24">
        <v>-7.4403162331420702</v>
      </c>
    </row>
    <row r="18" spans="1:8" x14ac:dyDescent="0.25">
      <c r="A18" s="30"/>
      <c r="B18" s="25" t="s">
        <v>241</v>
      </c>
      <c r="C18" s="81">
        <v>1005.193879384</v>
      </c>
      <c r="D18" s="81">
        <v>1025.8261380930001</v>
      </c>
      <c r="E18" s="81">
        <v>928.78469140599998</v>
      </c>
      <c r="F18" s="27"/>
      <c r="G18" s="38">
        <v>-7.6014378464804082</v>
      </c>
      <c r="H18" s="24">
        <v>-9.4598336972968013</v>
      </c>
    </row>
    <row r="19" spans="1:8" x14ac:dyDescent="0.25">
      <c r="A19" s="39" t="s">
        <v>8</v>
      </c>
      <c r="B19" s="31" t="s">
        <v>3</v>
      </c>
      <c r="C19" s="79">
        <v>1986.7947992970001</v>
      </c>
      <c r="D19" s="79">
        <v>1779.098816145</v>
      </c>
      <c r="E19" s="79">
        <v>1704.4180344988226</v>
      </c>
      <c r="F19" s="22" t="s">
        <v>240</v>
      </c>
      <c r="G19" s="37">
        <v>-14.212678878467599</v>
      </c>
      <c r="H19" s="33">
        <v>-4.1976747423168774</v>
      </c>
    </row>
    <row r="20" spans="1:8" x14ac:dyDescent="0.25">
      <c r="A20" s="34"/>
      <c r="B20" s="25" t="s">
        <v>241</v>
      </c>
      <c r="C20" s="81">
        <v>1159.859386956</v>
      </c>
      <c r="D20" s="81">
        <v>908.11823416300001</v>
      </c>
      <c r="E20" s="81">
        <v>908.02671589399995</v>
      </c>
      <c r="F20" s="27"/>
      <c r="G20" s="28">
        <v>-21.712344952686351</v>
      </c>
      <c r="H20" s="29">
        <v>-1.007779224744354E-2</v>
      </c>
    </row>
    <row r="21" spans="1:8" x14ac:dyDescent="0.25">
      <c r="A21" s="39" t="s">
        <v>9</v>
      </c>
      <c r="B21" s="31" t="s">
        <v>3</v>
      </c>
      <c r="C21" s="79">
        <v>507.423043302</v>
      </c>
      <c r="D21" s="79">
        <v>531.97624857400001</v>
      </c>
      <c r="E21" s="79">
        <v>563.28543203381219</v>
      </c>
      <c r="F21" s="22" t="s">
        <v>240</v>
      </c>
      <c r="G21" s="37">
        <v>11.009036635051842</v>
      </c>
      <c r="H21" s="33">
        <v>5.8854476198399084</v>
      </c>
    </row>
    <row r="22" spans="1:8" x14ac:dyDescent="0.25">
      <c r="A22" s="34"/>
      <c r="B22" s="25" t="s">
        <v>241</v>
      </c>
      <c r="C22" s="81">
        <v>289.64428472700001</v>
      </c>
      <c r="D22" s="81">
        <v>259.13745973699997</v>
      </c>
      <c r="E22" s="81">
        <v>288.48809882500001</v>
      </c>
      <c r="F22" s="27"/>
      <c r="G22" s="28">
        <v>-0.39917442289247163</v>
      </c>
      <c r="H22" s="29">
        <v>11.326281857431255</v>
      </c>
    </row>
    <row r="23" spans="1:8" x14ac:dyDescent="0.25">
      <c r="A23" s="39" t="s">
        <v>193</v>
      </c>
      <c r="B23" s="31" t="s">
        <v>3</v>
      </c>
      <c r="C23" s="79">
        <v>831.72795936499995</v>
      </c>
      <c r="D23" s="79">
        <v>991.88485422999997</v>
      </c>
      <c r="E23" s="79">
        <v>965.06248947206041</v>
      </c>
      <c r="F23" s="22" t="s">
        <v>240</v>
      </c>
      <c r="G23" s="23">
        <v>16.031026564125298</v>
      </c>
      <c r="H23" s="24">
        <v>-2.7041813012420448</v>
      </c>
    </row>
    <row r="24" spans="1:8" x14ac:dyDescent="0.25">
      <c r="A24" s="34"/>
      <c r="B24" s="25" t="s">
        <v>241</v>
      </c>
      <c r="C24" s="81">
        <v>453.81565637</v>
      </c>
      <c r="D24" s="81">
        <v>562.70128167500002</v>
      </c>
      <c r="E24" s="81">
        <v>523.97408594499996</v>
      </c>
      <c r="F24" s="27"/>
      <c r="G24" s="38">
        <v>15.459675881653396</v>
      </c>
      <c r="H24" s="24">
        <v>-6.8823720491128597</v>
      </c>
    </row>
    <row r="25" spans="1:8" x14ac:dyDescent="0.25">
      <c r="A25" s="39" t="s">
        <v>194</v>
      </c>
      <c r="B25" s="31" t="s">
        <v>3</v>
      </c>
      <c r="C25" s="79">
        <v>330.10029545899999</v>
      </c>
      <c r="D25" s="79">
        <v>415.125420281</v>
      </c>
      <c r="E25" s="79">
        <v>602.05025833134539</v>
      </c>
      <c r="F25" s="22" t="s">
        <v>240</v>
      </c>
      <c r="G25" s="37">
        <v>82.384041036437935</v>
      </c>
      <c r="H25" s="33">
        <v>45.028521241560014</v>
      </c>
    </row>
    <row r="26" spans="1:8" x14ac:dyDescent="0.25">
      <c r="A26" s="34"/>
      <c r="B26" s="25" t="s">
        <v>241</v>
      </c>
      <c r="C26" s="81">
        <v>175.15548435400001</v>
      </c>
      <c r="D26" s="81">
        <v>212.16774110200001</v>
      </c>
      <c r="E26" s="81">
        <v>305.444849084</v>
      </c>
      <c r="F26" s="27"/>
      <c r="G26" s="38">
        <v>74.384975846190002</v>
      </c>
      <c r="H26" s="24">
        <v>43.963850252408008</v>
      </c>
    </row>
    <row r="27" spans="1:8" x14ac:dyDescent="0.25">
      <c r="A27" s="39" t="s">
        <v>195</v>
      </c>
      <c r="B27" s="31" t="s">
        <v>3</v>
      </c>
      <c r="C27" s="79">
        <v>889.62084010800004</v>
      </c>
      <c r="D27" s="79">
        <v>982.35582708200002</v>
      </c>
      <c r="E27" s="79">
        <v>1002.8246209470702</v>
      </c>
      <c r="F27" s="22" t="s">
        <v>240</v>
      </c>
      <c r="G27" s="37">
        <v>12.724947048826692</v>
      </c>
      <c r="H27" s="33">
        <v>2.0836435536674145</v>
      </c>
    </row>
    <row r="28" spans="1:8" x14ac:dyDescent="0.25">
      <c r="A28" s="34"/>
      <c r="B28" s="25" t="s">
        <v>241</v>
      </c>
      <c r="C28" s="81">
        <v>428.955324152</v>
      </c>
      <c r="D28" s="81">
        <v>483.07478021600002</v>
      </c>
      <c r="E28" s="81">
        <v>495.86716792999999</v>
      </c>
      <c r="F28" s="27"/>
      <c r="G28" s="38">
        <v>15.598790832186964</v>
      </c>
      <c r="H28" s="24">
        <v>2.6481174836492301</v>
      </c>
    </row>
    <row r="29" spans="1:8" x14ac:dyDescent="0.25">
      <c r="A29" s="30" t="s">
        <v>10</v>
      </c>
      <c r="B29" s="31" t="s">
        <v>3</v>
      </c>
      <c r="C29" s="79">
        <v>2043.508105676</v>
      </c>
      <c r="D29" s="79">
        <v>2078.891997967</v>
      </c>
      <c r="E29" s="79">
        <v>2189.7452616496676</v>
      </c>
      <c r="F29" s="22" t="s">
        <v>240</v>
      </c>
      <c r="G29" s="37">
        <v>7.1561818408002722</v>
      </c>
      <c r="H29" s="33">
        <v>5.3323243242589626</v>
      </c>
    </row>
    <row r="30" spans="1:8" x14ac:dyDescent="0.25">
      <c r="A30" s="30"/>
      <c r="B30" s="25" t="s">
        <v>241</v>
      </c>
      <c r="C30" s="81">
        <v>1054.3515800069999</v>
      </c>
      <c r="D30" s="81">
        <v>1010.191873648</v>
      </c>
      <c r="E30" s="81">
        <v>1085.1063746960001</v>
      </c>
      <c r="F30" s="27"/>
      <c r="G30" s="28">
        <v>2.9169392138432642</v>
      </c>
      <c r="H30" s="29">
        <v>7.4158685099563399</v>
      </c>
    </row>
    <row r="31" spans="1:8" x14ac:dyDescent="0.25">
      <c r="A31" s="39" t="s">
        <v>11</v>
      </c>
      <c r="B31" s="31" t="s">
        <v>3</v>
      </c>
      <c r="C31" s="79">
        <v>453.98179332199999</v>
      </c>
      <c r="D31" s="79">
        <v>468.76565664700001</v>
      </c>
      <c r="E31" s="79">
        <v>516.03233023186817</v>
      </c>
      <c r="F31" s="22" t="s">
        <v>240</v>
      </c>
      <c r="G31" s="23">
        <v>13.668067271115646</v>
      </c>
      <c r="H31" s="24">
        <v>10.083220243342609</v>
      </c>
    </row>
    <row r="32" spans="1:8" x14ac:dyDescent="0.25">
      <c r="A32" s="34"/>
      <c r="B32" s="25" t="s">
        <v>241</v>
      </c>
      <c r="C32" s="81">
        <v>182.68802268300001</v>
      </c>
      <c r="D32" s="81">
        <v>194.09698577200001</v>
      </c>
      <c r="E32" s="81">
        <v>211.626502254</v>
      </c>
      <c r="F32" s="27"/>
      <c r="G32" s="38">
        <v>15.840381403226417</v>
      </c>
      <c r="H32" s="24">
        <v>9.0313182413823654</v>
      </c>
    </row>
    <row r="33" spans="1:8" x14ac:dyDescent="0.25">
      <c r="A33" s="30" t="s">
        <v>12</v>
      </c>
      <c r="B33" s="31" t="s">
        <v>3</v>
      </c>
      <c r="C33" s="79">
        <v>1026.4393155570001</v>
      </c>
      <c r="D33" s="79">
        <v>963.64843128899997</v>
      </c>
      <c r="E33" s="79">
        <v>1042.6085938175415</v>
      </c>
      <c r="F33" s="22" t="s">
        <v>240</v>
      </c>
      <c r="G33" s="37">
        <v>1.5752785396540645</v>
      </c>
      <c r="H33" s="33">
        <v>8.1938765181117361</v>
      </c>
    </row>
    <row r="34" spans="1:8" x14ac:dyDescent="0.25">
      <c r="A34" s="30"/>
      <c r="B34" s="25" t="s">
        <v>241</v>
      </c>
      <c r="C34" s="81">
        <v>523.92029056199999</v>
      </c>
      <c r="D34" s="81">
        <v>461.43342745899997</v>
      </c>
      <c r="E34" s="81">
        <v>509.75726957000001</v>
      </c>
      <c r="F34" s="27"/>
      <c r="G34" s="28">
        <v>-2.7032778167090186</v>
      </c>
      <c r="H34" s="29">
        <v>10.472549068910666</v>
      </c>
    </row>
    <row r="35" spans="1:8" x14ac:dyDescent="0.25">
      <c r="A35" s="39" t="s">
        <v>13</v>
      </c>
      <c r="B35" s="31" t="s">
        <v>3</v>
      </c>
      <c r="C35" s="79">
        <v>144.28091435900001</v>
      </c>
      <c r="D35" s="79">
        <v>211.045543735</v>
      </c>
      <c r="E35" s="79">
        <v>431.48219919637893</v>
      </c>
      <c r="F35" s="22" t="s">
        <v>240</v>
      </c>
      <c r="G35" s="23">
        <v>199.05701742557869</v>
      </c>
      <c r="H35" s="24">
        <v>104.44980337427586</v>
      </c>
    </row>
    <row r="36" spans="1:8" x14ac:dyDescent="0.25">
      <c r="A36" s="34"/>
      <c r="B36" s="25" t="s">
        <v>241</v>
      </c>
      <c r="C36" s="81">
        <v>72.478043400999994</v>
      </c>
      <c r="D36" s="81">
        <v>46.489193006000001</v>
      </c>
      <c r="E36" s="81">
        <v>116.932610199</v>
      </c>
      <c r="F36" s="27"/>
      <c r="G36" s="28">
        <v>61.335219208451548</v>
      </c>
      <c r="H36" s="29">
        <v>151.52643579747323</v>
      </c>
    </row>
    <row r="37" spans="1:8" x14ac:dyDescent="0.25">
      <c r="A37" s="30" t="s">
        <v>14</v>
      </c>
      <c r="B37" s="31" t="s">
        <v>3</v>
      </c>
      <c r="C37" s="84">
        <v>749.46103067699994</v>
      </c>
      <c r="D37" s="84">
        <v>973.92633625099995</v>
      </c>
      <c r="E37" s="82">
        <v>1004.6742590666416</v>
      </c>
      <c r="F37" s="22" t="s">
        <v>240</v>
      </c>
      <c r="G37" s="23">
        <v>34.052901744484785</v>
      </c>
      <c r="H37" s="24">
        <v>3.1571096982551836</v>
      </c>
    </row>
    <row r="38" spans="1:8" ht="13.8" thickBot="1" x14ac:dyDescent="0.3">
      <c r="A38" s="41"/>
      <c r="B38" s="42" t="s">
        <v>241</v>
      </c>
      <c r="C38" s="85">
        <v>366.61415975100005</v>
      </c>
      <c r="D38" s="85">
        <v>363.98026173099998</v>
      </c>
      <c r="E38" s="85">
        <v>407.53106160599998</v>
      </c>
      <c r="F38" s="44"/>
      <c r="G38" s="45">
        <v>11.160753278812322</v>
      </c>
      <c r="H38" s="46">
        <v>11.965154282785335</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7"/>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H61" s="209">
        <v>10</v>
      </c>
    </row>
    <row r="62" spans="1:8" ht="12.75" customHeight="1" x14ac:dyDescent="0.25">
      <c r="A62" s="54" t="s">
        <v>243</v>
      </c>
      <c r="H62" s="210"/>
    </row>
    <row r="67" ht="12.75" customHeight="1" x14ac:dyDescent="0.25"/>
    <row r="68" ht="12.75" customHeight="1" x14ac:dyDescent="0.25"/>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ignoredErrors>
    <ignoredError sqref="C6:E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1" t="s">
        <v>0</v>
      </c>
      <c r="B2" s="2"/>
      <c r="C2" s="2"/>
      <c r="D2" s="2"/>
      <c r="E2" s="2"/>
      <c r="F2" s="2"/>
      <c r="G2" s="2"/>
    </row>
    <row r="3" spans="1:8" ht="6" customHeight="1" x14ac:dyDescent="0.25">
      <c r="A3" s="3"/>
      <c r="B3" s="2"/>
      <c r="C3" s="2"/>
      <c r="D3" s="2"/>
      <c r="E3" s="2"/>
      <c r="F3" s="2"/>
      <c r="G3" s="2"/>
    </row>
    <row r="4" spans="1:8" ht="16.2" thickBot="1" x14ac:dyDescent="0.35">
      <c r="A4" s="4" t="s">
        <v>146</v>
      </c>
      <c r="B4" s="5"/>
      <c r="C4" s="5"/>
      <c r="D4" s="5"/>
      <c r="E4" s="5"/>
      <c r="F4" s="5"/>
      <c r="G4" s="5"/>
      <c r="H4" s="6"/>
    </row>
    <row r="5" spans="1:8" x14ac:dyDescent="0.25">
      <c r="A5" s="7"/>
      <c r="B5" s="8"/>
      <c r="C5" s="9"/>
      <c r="D5" s="8"/>
      <c r="E5" s="10"/>
      <c r="F5" s="11"/>
      <c r="G5" s="214" t="s">
        <v>1</v>
      </c>
      <c r="H5" s="215"/>
    </row>
    <row r="6" spans="1:8" x14ac:dyDescent="0.25">
      <c r="A6" s="12"/>
      <c r="B6" s="13"/>
      <c r="C6" s="14" t="s">
        <v>235</v>
      </c>
      <c r="D6" s="15" t="s">
        <v>236</v>
      </c>
      <c r="E6" s="15" t="s">
        <v>237</v>
      </c>
      <c r="F6" s="16"/>
      <c r="G6" s="17" t="s">
        <v>238</v>
      </c>
      <c r="H6" s="18" t="s">
        <v>239</v>
      </c>
    </row>
    <row r="7" spans="1:8" x14ac:dyDescent="0.25">
      <c r="A7" s="216" t="s">
        <v>26</v>
      </c>
      <c r="B7" s="19" t="s">
        <v>3</v>
      </c>
      <c r="C7" s="20">
        <v>816557.142204843</v>
      </c>
      <c r="D7" s="20">
        <v>848267.68337105005</v>
      </c>
      <c r="E7" s="21">
        <v>916694.84581278008</v>
      </c>
      <c r="F7" s="22" t="s">
        <v>240</v>
      </c>
      <c r="G7" s="23">
        <v>12.263404290059626</v>
      </c>
      <c r="H7" s="24">
        <v>8.0666944860845859</v>
      </c>
    </row>
    <row r="8" spans="1:8" x14ac:dyDescent="0.25">
      <c r="A8" s="217"/>
      <c r="B8" s="25" t="s">
        <v>241</v>
      </c>
      <c r="C8" s="26">
        <v>428246.61249568098</v>
      </c>
      <c r="D8" s="26">
        <v>427796.36811113899</v>
      </c>
      <c r="E8" s="26">
        <v>468298.80239162903</v>
      </c>
      <c r="F8" s="27"/>
      <c r="G8" s="28">
        <v>9.3525993498318627</v>
      </c>
      <c r="H8" s="29">
        <v>9.4676900739764562</v>
      </c>
    </row>
    <row r="9" spans="1:8" x14ac:dyDescent="0.25">
      <c r="A9" s="30" t="s">
        <v>28</v>
      </c>
      <c r="B9" s="31" t="s">
        <v>3</v>
      </c>
      <c r="C9" s="20">
        <v>748186.313763874</v>
      </c>
      <c r="D9" s="20">
        <v>779419.45431275503</v>
      </c>
      <c r="E9" s="21">
        <v>841527.98116184247</v>
      </c>
      <c r="F9" s="22" t="s">
        <v>240</v>
      </c>
      <c r="G9" s="32">
        <v>12.475725054150999</v>
      </c>
      <c r="H9" s="33">
        <v>7.968562563510929</v>
      </c>
    </row>
    <row r="10" spans="1:8" x14ac:dyDescent="0.25">
      <c r="A10" s="34"/>
      <c r="B10" s="25" t="s">
        <v>241</v>
      </c>
      <c r="C10" s="26">
        <v>394089.88968551601</v>
      </c>
      <c r="D10" s="26">
        <v>394445.69448891102</v>
      </c>
      <c r="E10" s="26">
        <v>431516.641913303</v>
      </c>
      <c r="F10" s="27"/>
      <c r="G10" s="35">
        <v>9.4970089838269018</v>
      </c>
      <c r="H10" s="29">
        <v>9.3982385769035659</v>
      </c>
    </row>
    <row r="11" spans="1:8" x14ac:dyDescent="0.25">
      <c r="A11" s="30" t="s">
        <v>29</v>
      </c>
      <c r="B11" s="31" t="s">
        <v>3</v>
      </c>
      <c r="C11" s="20">
        <v>34519.914220484003</v>
      </c>
      <c r="D11" s="20">
        <v>34984.614529147999</v>
      </c>
      <c r="E11" s="21">
        <v>35222.602040373822</v>
      </c>
      <c r="F11" s="22" t="s">
        <v>240</v>
      </c>
      <c r="G11" s="37">
        <v>2.0356012920589706</v>
      </c>
      <c r="H11" s="33">
        <v>0.68026335127271409</v>
      </c>
    </row>
    <row r="12" spans="1:8" x14ac:dyDescent="0.25">
      <c r="A12" s="34"/>
      <c r="B12" s="25" t="s">
        <v>241</v>
      </c>
      <c r="C12" s="26">
        <v>18077.861405082</v>
      </c>
      <c r="D12" s="26">
        <v>17755.336811114001</v>
      </c>
      <c r="E12" s="26">
        <v>18062.080239162999</v>
      </c>
      <c r="F12" s="27"/>
      <c r="G12" s="28">
        <v>-8.7295535491620058E-2</v>
      </c>
      <c r="H12" s="29">
        <v>1.7276125556626454</v>
      </c>
    </row>
    <row r="13" spans="1:8" x14ac:dyDescent="0.25">
      <c r="A13" s="30" t="s">
        <v>27</v>
      </c>
      <c r="B13" s="31" t="s">
        <v>3</v>
      </c>
      <c r="C13" s="20">
        <v>9364.5742661450004</v>
      </c>
      <c r="D13" s="20">
        <v>9150.1843587439998</v>
      </c>
      <c r="E13" s="21">
        <v>8538.5764767847832</v>
      </c>
      <c r="F13" s="22" t="s">
        <v>240</v>
      </c>
      <c r="G13" s="23">
        <v>-8.8204521197122716</v>
      </c>
      <c r="H13" s="24">
        <v>-6.6841044724389462</v>
      </c>
    </row>
    <row r="14" spans="1:8" x14ac:dyDescent="0.25">
      <c r="A14" s="34"/>
      <c r="B14" s="25" t="s">
        <v>241</v>
      </c>
      <c r="C14" s="26">
        <v>3814.7584215249999</v>
      </c>
      <c r="D14" s="26">
        <v>3905.0010433339999</v>
      </c>
      <c r="E14" s="26">
        <v>3587.0240717490001</v>
      </c>
      <c r="F14" s="27"/>
      <c r="G14" s="38">
        <v>-5.9698236326315026</v>
      </c>
      <c r="H14" s="24">
        <v>-8.1428139981626799</v>
      </c>
    </row>
    <row r="15" spans="1:8" x14ac:dyDescent="0.25">
      <c r="A15" s="30" t="s">
        <v>30</v>
      </c>
      <c r="B15" s="31" t="s">
        <v>3</v>
      </c>
      <c r="C15" s="20">
        <v>12045.765688194</v>
      </c>
      <c r="D15" s="20">
        <v>11925.245811659001</v>
      </c>
      <c r="E15" s="21">
        <v>15589.99867609039</v>
      </c>
      <c r="F15" s="22" t="s">
        <v>240</v>
      </c>
      <c r="G15" s="37">
        <v>29.423061012801156</v>
      </c>
      <c r="H15" s="33">
        <v>30.731046741598021</v>
      </c>
    </row>
    <row r="16" spans="1:8" x14ac:dyDescent="0.25">
      <c r="A16" s="34"/>
      <c r="B16" s="25" t="s">
        <v>241</v>
      </c>
      <c r="C16" s="26">
        <v>6333.3445620330003</v>
      </c>
      <c r="D16" s="26">
        <v>5869.3347244460001</v>
      </c>
      <c r="E16" s="26">
        <v>7840.0320956650003</v>
      </c>
      <c r="F16" s="27"/>
      <c r="G16" s="28">
        <v>23.789760984492432</v>
      </c>
      <c r="H16" s="29">
        <v>33.5761626102354</v>
      </c>
    </row>
    <row r="17" spans="1:9" x14ac:dyDescent="0.25">
      <c r="A17" s="30" t="s">
        <v>31</v>
      </c>
      <c r="B17" s="31" t="s">
        <v>3</v>
      </c>
      <c r="C17" s="20">
        <v>12440.574266145</v>
      </c>
      <c r="D17" s="20">
        <v>12788.184358744</v>
      </c>
      <c r="E17" s="21">
        <v>15780.756470081064</v>
      </c>
      <c r="F17" s="22" t="s">
        <v>240</v>
      </c>
      <c r="G17" s="37">
        <v>26.849099828340115</v>
      </c>
      <c r="H17" s="33">
        <v>23.401071077700507</v>
      </c>
    </row>
    <row r="18" spans="1:9" ht="13.8" thickBot="1" x14ac:dyDescent="0.3">
      <c r="A18" s="56"/>
      <c r="B18" s="42" t="s">
        <v>241</v>
      </c>
      <c r="C18" s="43">
        <v>5930.7584215249999</v>
      </c>
      <c r="D18" s="43">
        <v>5821.0010433340003</v>
      </c>
      <c r="E18" s="43">
        <v>7293.0240717489996</v>
      </c>
      <c r="F18" s="44"/>
      <c r="G18" s="57">
        <v>22.969501594936219</v>
      </c>
      <c r="H18" s="46">
        <v>25.288142322199164</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32</v>
      </c>
      <c r="B32" s="5"/>
      <c r="C32" s="5"/>
      <c r="D32" s="5"/>
      <c r="E32" s="5"/>
      <c r="F32" s="5"/>
      <c r="G32" s="5"/>
      <c r="H32" s="6"/>
    </row>
    <row r="33" spans="1:9" x14ac:dyDescent="0.25">
      <c r="A33" s="7"/>
      <c r="B33" s="8"/>
      <c r="C33" s="220" t="s">
        <v>16</v>
      </c>
      <c r="D33" s="214"/>
      <c r="E33" s="214"/>
      <c r="F33" s="221"/>
      <c r="G33" s="214" t="s">
        <v>1</v>
      </c>
      <c r="H33" s="215"/>
    </row>
    <row r="34" spans="1:9" x14ac:dyDescent="0.25">
      <c r="A34" s="12"/>
      <c r="B34" s="13"/>
      <c r="C34" s="14" t="s">
        <v>235</v>
      </c>
      <c r="D34" s="15" t="s">
        <v>236</v>
      </c>
      <c r="E34" s="15" t="s">
        <v>237</v>
      </c>
      <c r="F34" s="16"/>
      <c r="G34" s="17" t="s">
        <v>238</v>
      </c>
      <c r="H34" s="18" t="s">
        <v>239</v>
      </c>
    </row>
    <row r="35" spans="1:9" ht="12.75" customHeight="1" x14ac:dyDescent="0.25">
      <c r="A35" s="216" t="s">
        <v>26</v>
      </c>
      <c r="B35" s="19" t="s">
        <v>3</v>
      </c>
      <c r="C35" s="79">
        <v>12755.754436417999</v>
      </c>
      <c r="D35" s="79">
        <v>13878.920128694999</v>
      </c>
      <c r="E35" s="82">
        <v>14823.315715126202</v>
      </c>
      <c r="F35" s="22" t="s">
        <v>240</v>
      </c>
      <c r="G35" s="23">
        <v>16.208851377737915</v>
      </c>
      <c r="H35" s="24">
        <v>6.804532180271309</v>
      </c>
    </row>
    <row r="36" spans="1:9" ht="12.75" customHeight="1" x14ac:dyDescent="0.25">
      <c r="A36" s="217"/>
      <c r="B36" s="25" t="s">
        <v>241</v>
      </c>
      <c r="C36" s="81">
        <v>6855.4397291160003</v>
      </c>
      <c r="D36" s="81">
        <v>7089.2407625659998</v>
      </c>
      <c r="E36" s="81">
        <v>7698.8709484339997</v>
      </c>
      <c r="F36" s="27"/>
      <c r="G36" s="28">
        <v>12.303094369509665</v>
      </c>
      <c r="H36" s="29">
        <v>8.5993720101465385</v>
      </c>
    </row>
    <row r="37" spans="1:9" x14ac:dyDescent="0.25">
      <c r="A37" s="30" t="s">
        <v>28</v>
      </c>
      <c r="B37" s="31" t="s">
        <v>3</v>
      </c>
      <c r="C37" s="79">
        <v>10754.520929132999</v>
      </c>
      <c r="D37" s="79">
        <v>11593.81259068</v>
      </c>
      <c r="E37" s="82">
        <v>12313.435569163343</v>
      </c>
      <c r="F37" s="22" t="s">
        <v>240</v>
      </c>
      <c r="G37" s="32">
        <v>14.495435457356251</v>
      </c>
      <c r="H37" s="33">
        <v>6.2069571407582771</v>
      </c>
    </row>
    <row r="38" spans="1:9" x14ac:dyDescent="0.25">
      <c r="A38" s="34"/>
      <c r="B38" s="25" t="s">
        <v>241</v>
      </c>
      <c r="C38" s="81">
        <v>5814.7349713929998</v>
      </c>
      <c r="D38" s="81">
        <v>6009.0058625640004</v>
      </c>
      <c r="E38" s="81">
        <v>6471.2856837640002</v>
      </c>
      <c r="F38" s="27"/>
      <c r="G38" s="35">
        <v>11.291154551343467</v>
      </c>
      <c r="H38" s="29">
        <v>7.6931164950261461</v>
      </c>
    </row>
    <row r="39" spans="1:9" x14ac:dyDescent="0.25">
      <c r="A39" s="30" t="s">
        <v>29</v>
      </c>
      <c r="B39" s="31" t="s">
        <v>3</v>
      </c>
      <c r="C39" s="79">
        <v>892.27423895000004</v>
      </c>
      <c r="D39" s="79">
        <v>1063.2701054940001</v>
      </c>
      <c r="E39" s="82">
        <v>1049.3002131299118</v>
      </c>
      <c r="F39" s="22" t="s">
        <v>240</v>
      </c>
      <c r="G39" s="37">
        <v>17.598398264270742</v>
      </c>
      <c r="H39" s="33">
        <v>-1.3138611056498917</v>
      </c>
    </row>
    <row r="40" spans="1:9" x14ac:dyDescent="0.25">
      <c r="A40" s="34"/>
      <c r="B40" s="25" t="s">
        <v>241</v>
      </c>
      <c r="C40" s="81">
        <v>501.07172931700001</v>
      </c>
      <c r="D40" s="81">
        <v>531.83261151199997</v>
      </c>
      <c r="E40" s="81">
        <v>544.69057256899998</v>
      </c>
      <c r="F40" s="27"/>
      <c r="G40" s="28">
        <v>8.7051096080507051</v>
      </c>
      <c r="H40" s="29">
        <v>2.4176706690559655</v>
      </c>
    </row>
    <row r="41" spans="1:9" x14ac:dyDescent="0.25">
      <c r="A41" s="30" t="s">
        <v>27</v>
      </c>
      <c r="B41" s="31" t="s">
        <v>3</v>
      </c>
      <c r="C41" s="79">
        <v>244.73397585800001</v>
      </c>
      <c r="D41" s="79">
        <v>269.44769335199999</v>
      </c>
      <c r="E41" s="82">
        <v>300.76437220803177</v>
      </c>
      <c r="F41" s="22" t="s">
        <v>240</v>
      </c>
      <c r="G41" s="23">
        <v>22.894408573062947</v>
      </c>
      <c r="H41" s="24">
        <v>11.62254479392422</v>
      </c>
    </row>
    <row r="42" spans="1:9" x14ac:dyDescent="0.25">
      <c r="A42" s="34"/>
      <c r="B42" s="25" t="s">
        <v>241</v>
      </c>
      <c r="C42" s="81">
        <v>108.44637422</v>
      </c>
      <c r="D42" s="81">
        <v>110.82627223</v>
      </c>
      <c r="E42" s="81">
        <v>126.739878547</v>
      </c>
      <c r="F42" s="27"/>
      <c r="G42" s="38">
        <v>16.868709957871758</v>
      </c>
      <c r="H42" s="24">
        <v>14.359055841898368</v>
      </c>
    </row>
    <row r="43" spans="1:9" x14ac:dyDescent="0.25">
      <c r="A43" s="30" t="s">
        <v>30</v>
      </c>
      <c r="B43" s="31" t="s">
        <v>3</v>
      </c>
      <c r="C43" s="79">
        <v>547.12021663999997</v>
      </c>
      <c r="D43" s="79">
        <v>587.55197540400002</v>
      </c>
      <c r="E43" s="82">
        <v>768.5302086524955</v>
      </c>
      <c r="F43" s="22" t="s">
        <v>240</v>
      </c>
      <c r="G43" s="37">
        <v>40.468252731041247</v>
      </c>
      <c r="H43" s="33">
        <v>30.802080637045805</v>
      </c>
    </row>
    <row r="44" spans="1:9" x14ac:dyDescent="0.25">
      <c r="A44" s="34"/>
      <c r="B44" s="25" t="s">
        <v>241</v>
      </c>
      <c r="C44" s="81">
        <v>273.30937222900002</v>
      </c>
      <c r="D44" s="81">
        <v>277.45812061300001</v>
      </c>
      <c r="E44" s="81">
        <v>369.65849159800001</v>
      </c>
      <c r="F44" s="27"/>
      <c r="G44" s="28">
        <v>35.252768166424659</v>
      </c>
      <c r="H44" s="29">
        <v>33.230373932216452</v>
      </c>
    </row>
    <row r="45" spans="1:9" x14ac:dyDescent="0.25">
      <c r="A45" s="30" t="s">
        <v>31</v>
      </c>
      <c r="B45" s="31" t="s">
        <v>3</v>
      </c>
      <c r="C45" s="79">
        <v>317.10507583600003</v>
      </c>
      <c r="D45" s="79">
        <v>364.83776376499998</v>
      </c>
      <c r="E45" s="82">
        <v>408.15766524126013</v>
      </c>
      <c r="F45" s="22" t="s">
        <v>240</v>
      </c>
      <c r="G45" s="37">
        <v>28.713696608360351</v>
      </c>
      <c r="H45" s="33">
        <v>11.873743833207868</v>
      </c>
    </row>
    <row r="46" spans="1:9" ht="13.8" thickBot="1" x14ac:dyDescent="0.3">
      <c r="A46" s="56"/>
      <c r="B46" s="42" t="s">
        <v>241</v>
      </c>
      <c r="C46" s="85">
        <v>157.87728195700001</v>
      </c>
      <c r="D46" s="85">
        <v>160.11789564700001</v>
      </c>
      <c r="E46" s="85">
        <v>186.49632195500001</v>
      </c>
      <c r="F46" s="44"/>
      <c r="G46" s="57">
        <v>18.127395938951366</v>
      </c>
      <c r="H46" s="46">
        <v>16.474377333908109</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6"/>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58"/>
      <c r="B58" s="58"/>
      <c r="C58" s="64"/>
      <c r="D58" s="64"/>
      <c r="E58" s="21"/>
      <c r="F58" s="59"/>
      <c r="G58" s="38"/>
      <c r="H58" s="60"/>
      <c r="I58" s="61"/>
    </row>
    <row r="59" spans="1:9" x14ac:dyDescent="0.25">
      <c r="A59" s="65"/>
      <c r="B59" s="62"/>
      <c r="C59" s="21"/>
      <c r="D59" s="21"/>
      <c r="E59" s="21"/>
      <c r="F59" s="63"/>
      <c r="G59" s="38"/>
      <c r="H59" s="60"/>
      <c r="I59" s="61"/>
    </row>
    <row r="60" spans="1:9" x14ac:dyDescent="0.25">
      <c r="A60" s="52"/>
      <c r="B60" s="52"/>
      <c r="C60" s="52"/>
      <c r="D60" s="52"/>
      <c r="E60" s="52"/>
      <c r="F60" s="52"/>
      <c r="G60" s="52"/>
      <c r="H60" s="52"/>
    </row>
    <row r="61" spans="1:9" ht="12.75" customHeight="1" x14ac:dyDescent="0.25">
      <c r="A61" s="54" t="s">
        <v>242</v>
      </c>
      <c r="G61" s="53"/>
      <c r="H61" s="219">
        <v>11</v>
      </c>
    </row>
    <row r="62" spans="1:9" ht="12.75" customHeight="1" x14ac:dyDescent="0.25">
      <c r="A62" s="54" t="s">
        <v>243</v>
      </c>
      <c r="G62" s="53"/>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ignoredErrors>
    <ignoredError sqref="C6:E6 C34:E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1" t="s">
        <v>0</v>
      </c>
      <c r="B2" s="2"/>
      <c r="C2" s="2"/>
      <c r="D2" s="2"/>
      <c r="E2" s="2"/>
      <c r="F2" s="2"/>
      <c r="G2" s="2"/>
    </row>
    <row r="3" spans="1:8" ht="6" customHeight="1" x14ac:dyDescent="0.25">
      <c r="A3" s="3"/>
      <c r="B3" s="2"/>
      <c r="C3" s="2"/>
      <c r="D3" s="2"/>
      <c r="E3" s="2"/>
      <c r="F3" s="2"/>
      <c r="G3" s="2"/>
    </row>
    <row r="4" spans="1:8" ht="16.2" thickBot="1" x14ac:dyDescent="0.35">
      <c r="A4" s="4" t="s">
        <v>147</v>
      </c>
      <c r="B4" s="5"/>
      <c r="C4" s="5"/>
      <c r="D4" s="5"/>
      <c r="E4" s="5"/>
      <c r="F4" s="5"/>
      <c r="G4" s="5"/>
      <c r="H4" s="6"/>
    </row>
    <row r="5" spans="1:8" x14ac:dyDescent="0.25">
      <c r="A5" s="7"/>
      <c r="B5" s="8"/>
      <c r="C5" s="9"/>
      <c r="D5" s="8"/>
      <c r="E5" s="10"/>
      <c r="F5" s="11"/>
      <c r="G5" s="214" t="s">
        <v>1</v>
      </c>
      <c r="H5" s="215"/>
    </row>
    <row r="6" spans="1:8" x14ac:dyDescent="0.25">
      <c r="A6" s="12"/>
      <c r="B6" s="13"/>
      <c r="C6" s="14" t="s">
        <v>235</v>
      </c>
      <c r="D6" s="15" t="s">
        <v>236</v>
      </c>
      <c r="E6" s="15" t="s">
        <v>237</v>
      </c>
      <c r="F6" s="16"/>
      <c r="G6" s="17" t="s">
        <v>238</v>
      </c>
      <c r="H6" s="18" t="s">
        <v>239</v>
      </c>
    </row>
    <row r="7" spans="1:8" ht="12.75" customHeight="1" x14ac:dyDescent="0.25">
      <c r="A7" s="216" t="s">
        <v>26</v>
      </c>
      <c r="B7" s="19" t="s">
        <v>3</v>
      </c>
      <c r="C7" s="20">
        <v>816557.142204843</v>
      </c>
      <c r="D7" s="20">
        <v>848267.68337105005</v>
      </c>
      <c r="E7" s="21">
        <v>916694.84581278008</v>
      </c>
      <c r="F7" s="22" t="s">
        <v>240</v>
      </c>
      <c r="G7" s="23">
        <v>12.263404290059626</v>
      </c>
      <c r="H7" s="24">
        <v>8.0666944860845859</v>
      </c>
    </row>
    <row r="8" spans="1:8" ht="12.75" customHeight="1" x14ac:dyDescent="0.25">
      <c r="A8" s="217"/>
      <c r="B8" s="25" t="s">
        <v>241</v>
      </c>
      <c r="C8" s="26">
        <v>428246.61249568098</v>
      </c>
      <c r="D8" s="26">
        <v>427796.36811113899</v>
      </c>
      <c r="E8" s="26">
        <v>468298.80239162903</v>
      </c>
      <c r="F8" s="27"/>
      <c r="G8" s="28">
        <v>9.3525993498318627</v>
      </c>
      <c r="H8" s="29">
        <v>9.4676900739764562</v>
      </c>
    </row>
    <row r="9" spans="1:8" x14ac:dyDescent="0.25">
      <c r="A9" s="30" t="s">
        <v>34</v>
      </c>
      <c r="B9" s="31" t="s">
        <v>3</v>
      </c>
      <c r="C9" s="20">
        <v>11095.500766880001</v>
      </c>
      <c r="D9" s="20">
        <v>9972.7764000000006</v>
      </c>
      <c r="E9" s="21">
        <v>9817.1404948369745</v>
      </c>
      <c r="F9" s="22" t="s">
        <v>240</v>
      </c>
      <c r="G9" s="32">
        <v>-11.521429261299531</v>
      </c>
      <c r="H9" s="33">
        <v>-1.5606075873016323</v>
      </c>
    </row>
    <row r="10" spans="1:8" x14ac:dyDescent="0.25">
      <c r="A10" s="34"/>
      <c r="B10" s="25" t="s">
        <v>241</v>
      </c>
      <c r="C10" s="26">
        <v>5516.3516</v>
      </c>
      <c r="D10" s="26">
        <v>4944.6029082940004</v>
      </c>
      <c r="E10" s="26">
        <v>4871.8796000000002</v>
      </c>
      <c r="F10" s="27"/>
      <c r="G10" s="35">
        <v>-11.682939136801934</v>
      </c>
      <c r="H10" s="29">
        <v>-1.4707613461136617</v>
      </c>
    </row>
    <row r="11" spans="1:8" x14ac:dyDescent="0.25">
      <c r="A11" s="30" t="s">
        <v>35</v>
      </c>
      <c r="B11" s="31" t="s">
        <v>3</v>
      </c>
      <c r="C11" s="20">
        <v>3859.4800613500001</v>
      </c>
      <c r="D11" s="20">
        <v>3488.0621120000001</v>
      </c>
      <c r="E11" s="21">
        <v>3624.4493763948199</v>
      </c>
      <c r="F11" s="22" t="s">
        <v>240</v>
      </c>
      <c r="G11" s="37">
        <v>-6.0896981256322249</v>
      </c>
      <c r="H11" s="33">
        <v>3.9101157036626688</v>
      </c>
    </row>
    <row r="12" spans="1:8" x14ac:dyDescent="0.25">
      <c r="A12" s="34"/>
      <c r="B12" s="25" t="s">
        <v>241</v>
      </c>
      <c r="C12" s="26">
        <v>1850.0681279999999</v>
      </c>
      <c r="D12" s="26">
        <v>1773.5682326640001</v>
      </c>
      <c r="E12" s="26">
        <v>1806.3503679999999</v>
      </c>
      <c r="F12" s="27"/>
      <c r="G12" s="28">
        <v>-2.3630351411577806</v>
      </c>
      <c r="H12" s="29">
        <v>1.8483718152054962</v>
      </c>
    </row>
    <row r="13" spans="1:8" x14ac:dyDescent="0.25">
      <c r="A13" s="30" t="s">
        <v>36</v>
      </c>
      <c r="B13" s="31" t="s">
        <v>3</v>
      </c>
      <c r="C13" s="20">
        <v>162594.069018432</v>
      </c>
      <c r="D13" s="20">
        <v>165320.38096000001</v>
      </c>
      <c r="E13" s="21">
        <v>172011.50525420878</v>
      </c>
      <c r="F13" s="22" t="s">
        <v>240</v>
      </c>
      <c r="G13" s="23">
        <v>5.7919924709610484</v>
      </c>
      <c r="H13" s="24">
        <v>4.047368059131017</v>
      </c>
    </row>
    <row r="14" spans="1:8" x14ac:dyDescent="0.25">
      <c r="A14" s="34"/>
      <c r="B14" s="25" t="s">
        <v>241</v>
      </c>
      <c r="C14" s="26">
        <v>81798.611573332993</v>
      </c>
      <c r="D14" s="26">
        <v>81061.782252101999</v>
      </c>
      <c r="E14" s="26">
        <v>85061.430773333006</v>
      </c>
      <c r="F14" s="27"/>
      <c r="G14" s="38">
        <v>3.9888442324902655</v>
      </c>
      <c r="H14" s="24">
        <v>4.9340742457303861</v>
      </c>
    </row>
    <row r="15" spans="1:8" x14ac:dyDescent="0.25">
      <c r="A15" s="30" t="s">
        <v>18</v>
      </c>
      <c r="B15" s="31" t="s">
        <v>3</v>
      </c>
      <c r="C15" s="20">
        <v>3290.914329536</v>
      </c>
      <c r="D15" s="20">
        <v>3320.3300800000002</v>
      </c>
      <c r="E15" s="21">
        <v>3028.7788302603421</v>
      </c>
      <c r="F15" s="22" t="s">
        <v>240</v>
      </c>
      <c r="G15" s="37">
        <v>-7.9654306684008134</v>
      </c>
      <c r="H15" s="33">
        <v>-8.7807911477180056</v>
      </c>
    </row>
    <row r="16" spans="1:8" x14ac:dyDescent="0.25">
      <c r="A16" s="34"/>
      <c r="B16" s="25" t="s">
        <v>241</v>
      </c>
      <c r="C16" s="26">
        <v>1745.1915200000001</v>
      </c>
      <c r="D16" s="26">
        <v>1880.5487376169999</v>
      </c>
      <c r="E16" s="26">
        <v>1677.39312</v>
      </c>
      <c r="F16" s="27"/>
      <c r="G16" s="28">
        <v>-3.8848687506801554</v>
      </c>
      <c r="H16" s="29">
        <v>-10.802996676089094</v>
      </c>
    </row>
    <row r="17" spans="1:9" x14ac:dyDescent="0.25">
      <c r="A17" s="30" t="s">
        <v>37</v>
      </c>
      <c r="B17" s="31" t="s">
        <v>3</v>
      </c>
      <c r="C17" s="20">
        <v>3854.2200920260002</v>
      </c>
      <c r="D17" s="20">
        <v>3147.0931679999999</v>
      </c>
      <c r="E17" s="21">
        <v>2934.2759513294595</v>
      </c>
      <c r="F17" s="22" t="s">
        <v>240</v>
      </c>
      <c r="G17" s="37">
        <v>-23.868490089598509</v>
      </c>
      <c r="H17" s="33">
        <v>-6.7623424318825442</v>
      </c>
    </row>
    <row r="18" spans="1:9" x14ac:dyDescent="0.25">
      <c r="A18" s="34"/>
      <c r="B18" s="25" t="s">
        <v>241</v>
      </c>
      <c r="C18" s="26">
        <v>1692.6021920000001</v>
      </c>
      <c r="D18" s="26">
        <v>1384.3523489950001</v>
      </c>
      <c r="E18" s="26">
        <v>1290.0255520000001</v>
      </c>
      <c r="F18" s="27"/>
      <c r="G18" s="28">
        <v>-23.784480600507223</v>
      </c>
      <c r="H18" s="29">
        <v>-6.8137853100389236</v>
      </c>
    </row>
    <row r="19" spans="1:9" x14ac:dyDescent="0.25">
      <c r="A19" s="30" t="s">
        <v>38</v>
      </c>
      <c r="B19" s="31" t="s">
        <v>3</v>
      </c>
      <c r="C19" s="20">
        <v>5040.1334355839999</v>
      </c>
      <c r="D19" s="20">
        <v>4884.1035199999997</v>
      </c>
      <c r="E19" s="21">
        <v>4822.3632665809664</v>
      </c>
      <c r="F19" s="22" t="s">
        <v>240</v>
      </c>
      <c r="G19" s="23">
        <v>-4.3207222940874601</v>
      </c>
      <c r="H19" s="24">
        <v>-1.2641061592206739</v>
      </c>
    </row>
    <row r="20" spans="1:9" x14ac:dyDescent="0.25">
      <c r="A20" s="30"/>
      <c r="B20" s="25" t="s">
        <v>241</v>
      </c>
      <c r="C20" s="26">
        <v>2141.1135466669998</v>
      </c>
      <c r="D20" s="26">
        <v>2252.9470544390001</v>
      </c>
      <c r="E20" s="26">
        <v>2162.583946667</v>
      </c>
      <c r="F20" s="27"/>
      <c r="G20" s="38">
        <v>1.0027679304267707</v>
      </c>
      <c r="H20" s="24">
        <v>-4.0108846585611957</v>
      </c>
    </row>
    <row r="21" spans="1:9" x14ac:dyDescent="0.25">
      <c r="A21" s="39" t="s">
        <v>39</v>
      </c>
      <c r="B21" s="31" t="s">
        <v>3</v>
      </c>
      <c r="C21" s="20">
        <v>249681.80214726401</v>
      </c>
      <c r="D21" s="20">
        <v>256979.17392</v>
      </c>
      <c r="E21" s="21">
        <v>245654.41399624335</v>
      </c>
      <c r="F21" s="22" t="s">
        <v>240</v>
      </c>
      <c r="G21" s="37">
        <v>-1.6130082834972796</v>
      </c>
      <c r="H21" s="33">
        <v>-4.4068784839670201</v>
      </c>
    </row>
    <row r="22" spans="1:9" x14ac:dyDescent="0.25">
      <c r="A22" s="34"/>
      <c r="B22" s="25" t="s">
        <v>241</v>
      </c>
      <c r="C22" s="26">
        <v>137875.38448000001</v>
      </c>
      <c r="D22" s="26">
        <v>141816.88814322301</v>
      </c>
      <c r="E22" s="26">
        <v>135595.26287999999</v>
      </c>
      <c r="F22" s="27"/>
      <c r="G22" s="28">
        <v>-1.6537553883164406</v>
      </c>
      <c r="H22" s="29">
        <v>-4.3870834741062055</v>
      </c>
    </row>
    <row r="23" spans="1:9" x14ac:dyDescent="0.25">
      <c r="A23" s="39" t="s">
        <v>40</v>
      </c>
      <c r="B23" s="31" t="s">
        <v>3</v>
      </c>
      <c r="C23" s="20">
        <v>187068.53734760301</v>
      </c>
      <c r="D23" s="20">
        <v>182046.64367957099</v>
      </c>
      <c r="E23" s="21">
        <v>223578.0215484027</v>
      </c>
      <c r="F23" s="22" t="s">
        <v>240</v>
      </c>
      <c r="G23" s="23">
        <v>19.516635303006225</v>
      </c>
      <c r="H23" s="24">
        <v>22.813591632006734</v>
      </c>
    </row>
    <row r="24" spans="1:9" x14ac:dyDescent="0.25">
      <c r="A24" s="34"/>
      <c r="B24" s="25" t="s">
        <v>241</v>
      </c>
      <c r="C24" s="26">
        <v>92313.403289716996</v>
      </c>
      <c r="D24" s="26">
        <v>81362.411633176001</v>
      </c>
      <c r="E24" s="26">
        <v>103167.5184</v>
      </c>
      <c r="F24" s="27"/>
      <c r="G24" s="38">
        <v>11.757897253791398</v>
      </c>
      <c r="H24" s="24">
        <v>26.799975970639551</v>
      </c>
    </row>
    <row r="25" spans="1:9" x14ac:dyDescent="0.25">
      <c r="A25" s="30" t="s">
        <v>41</v>
      </c>
      <c r="B25" s="31" t="s">
        <v>3</v>
      </c>
      <c r="C25" s="20">
        <v>266816.75268407998</v>
      </c>
      <c r="D25" s="20">
        <v>276481.21740000002</v>
      </c>
      <c r="E25" s="21">
        <v>327573.38312445109</v>
      </c>
      <c r="F25" s="22" t="s">
        <v>240</v>
      </c>
      <c r="G25" s="37">
        <v>22.770920427290037</v>
      </c>
      <c r="H25" s="33">
        <v>18.479434590499991</v>
      </c>
    </row>
    <row r="26" spans="1:9" x14ac:dyDescent="0.25">
      <c r="A26" s="34"/>
      <c r="B26" s="25" t="s">
        <v>241</v>
      </c>
      <c r="C26" s="26">
        <v>132537.23060000001</v>
      </c>
      <c r="D26" s="26">
        <v>135934.110179029</v>
      </c>
      <c r="E26" s="26">
        <v>161604.57860000001</v>
      </c>
      <c r="F26" s="27"/>
      <c r="G26" s="28">
        <v>21.931458706667726</v>
      </c>
      <c r="H26" s="29">
        <v>18.884493661791211</v>
      </c>
    </row>
    <row r="27" spans="1:9" x14ac:dyDescent="0.25">
      <c r="A27" s="30" t="s">
        <v>24</v>
      </c>
      <c r="B27" s="31" t="s">
        <v>3</v>
      </c>
      <c r="C27" s="20">
        <v>182927.66871167999</v>
      </c>
      <c r="D27" s="20">
        <v>160991.0704</v>
      </c>
      <c r="E27" s="21">
        <v>169326.69854500174</v>
      </c>
      <c r="F27" s="22" t="s">
        <v>240</v>
      </c>
      <c r="G27" s="23">
        <v>-7.4351629048065462</v>
      </c>
      <c r="H27" s="24">
        <v>5.1776959580993775</v>
      </c>
    </row>
    <row r="28" spans="1:9" ht="13.8" thickBot="1" x14ac:dyDescent="0.3">
      <c r="A28" s="56"/>
      <c r="B28" s="42" t="s">
        <v>241</v>
      </c>
      <c r="C28" s="43">
        <v>97367.270933332999</v>
      </c>
      <c r="D28" s="43">
        <v>82689.941088784006</v>
      </c>
      <c r="E28" s="43">
        <v>87998.678933332994</v>
      </c>
      <c r="F28" s="44"/>
      <c r="G28" s="57">
        <v>-9.6219108435468428</v>
      </c>
      <c r="H28" s="46">
        <v>6.4200527593180965</v>
      </c>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33</v>
      </c>
      <c r="B32" s="5"/>
      <c r="C32" s="5"/>
      <c r="D32" s="5"/>
      <c r="E32" s="5"/>
      <c r="F32" s="5"/>
      <c r="G32" s="5"/>
      <c r="H32" s="6"/>
    </row>
    <row r="33" spans="1:8" x14ac:dyDescent="0.25">
      <c r="A33" s="7"/>
      <c r="B33" s="8"/>
      <c r="C33" s="220" t="s">
        <v>16</v>
      </c>
      <c r="D33" s="214"/>
      <c r="E33" s="214"/>
      <c r="F33" s="221"/>
      <c r="G33" s="214" t="s">
        <v>1</v>
      </c>
      <c r="H33" s="215"/>
    </row>
    <row r="34" spans="1:8" x14ac:dyDescent="0.25">
      <c r="A34" s="12"/>
      <c r="B34" s="13"/>
      <c r="C34" s="14" t="s">
        <v>235</v>
      </c>
      <c r="D34" s="15" t="s">
        <v>236</v>
      </c>
      <c r="E34" s="15" t="s">
        <v>237</v>
      </c>
      <c r="F34" s="16"/>
      <c r="G34" s="17" t="s">
        <v>238</v>
      </c>
      <c r="H34" s="18" t="s">
        <v>239</v>
      </c>
    </row>
    <row r="35" spans="1:8" ht="12.75" customHeight="1" x14ac:dyDescent="0.25">
      <c r="A35" s="216" t="s">
        <v>26</v>
      </c>
      <c r="B35" s="19" t="s">
        <v>3</v>
      </c>
      <c r="C35" s="79">
        <v>12755.754436417999</v>
      </c>
      <c r="D35" s="79">
        <v>13878.920128694999</v>
      </c>
      <c r="E35" s="82">
        <v>14823.315715126202</v>
      </c>
      <c r="F35" s="22" t="s">
        <v>240</v>
      </c>
      <c r="G35" s="23">
        <v>16.208851377737915</v>
      </c>
      <c r="H35" s="24">
        <v>6.804532180271309</v>
      </c>
    </row>
    <row r="36" spans="1:8" ht="12.75" customHeight="1" x14ac:dyDescent="0.25">
      <c r="A36" s="217"/>
      <c r="B36" s="25" t="s">
        <v>241</v>
      </c>
      <c r="C36" s="81">
        <v>6855.4397291160003</v>
      </c>
      <c r="D36" s="81">
        <v>7089.2407625659998</v>
      </c>
      <c r="E36" s="81">
        <v>7698.8709484339997</v>
      </c>
      <c r="F36" s="27"/>
      <c r="G36" s="28">
        <v>12.303094369509665</v>
      </c>
      <c r="H36" s="29">
        <v>8.5993720101465385</v>
      </c>
    </row>
    <row r="37" spans="1:8" x14ac:dyDescent="0.25">
      <c r="A37" s="30" t="s">
        <v>34</v>
      </c>
      <c r="B37" s="31" t="s">
        <v>3</v>
      </c>
      <c r="C37" s="83">
        <v>1136.098904063</v>
      </c>
      <c r="D37" s="83">
        <v>1227.235793329</v>
      </c>
      <c r="E37" s="82">
        <v>1020.161958441113</v>
      </c>
      <c r="F37" s="22" t="s">
        <v>240</v>
      </c>
      <c r="G37" s="32">
        <v>-10.204828576743168</v>
      </c>
      <c r="H37" s="33">
        <v>-16.8731906299912</v>
      </c>
    </row>
    <row r="38" spans="1:8" x14ac:dyDescent="0.25">
      <c r="A38" s="34"/>
      <c r="B38" s="25" t="s">
        <v>241</v>
      </c>
      <c r="C38" s="81">
        <v>789.28248065599996</v>
      </c>
      <c r="D38" s="81">
        <v>714.28855110799998</v>
      </c>
      <c r="E38" s="81">
        <v>627.707791069</v>
      </c>
      <c r="F38" s="27"/>
      <c r="G38" s="35">
        <v>-20.471085263758766</v>
      </c>
      <c r="H38" s="29">
        <v>-12.121258265262185</v>
      </c>
    </row>
    <row r="39" spans="1:8" x14ac:dyDescent="0.25">
      <c r="A39" s="30" t="s">
        <v>35</v>
      </c>
      <c r="B39" s="31" t="s">
        <v>3</v>
      </c>
      <c r="C39" s="83">
        <v>42.049639632000002</v>
      </c>
      <c r="D39" s="83">
        <v>38.949811253999997</v>
      </c>
      <c r="E39" s="82">
        <v>33.157885814075286</v>
      </c>
      <c r="F39" s="22" t="s">
        <v>240</v>
      </c>
      <c r="G39" s="37">
        <v>-21.145850227829399</v>
      </c>
      <c r="H39" s="33">
        <v>-14.870227232050837</v>
      </c>
    </row>
    <row r="40" spans="1:8" x14ac:dyDescent="0.25">
      <c r="A40" s="34"/>
      <c r="B40" s="25" t="s">
        <v>241</v>
      </c>
      <c r="C40" s="81">
        <v>27.921601794000001</v>
      </c>
      <c r="D40" s="81">
        <v>35.664358720000003</v>
      </c>
      <c r="E40" s="81">
        <v>26.955932859000001</v>
      </c>
      <c r="F40" s="27"/>
      <c r="G40" s="28">
        <v>-3.4585012067878864</v>
      </c>
      <c r="H40" s="29">
        <v>-24.417727315299956</v>
      </c>
    </row>
    <row r="41" spans="1:8" x14ac:dyDescent="0.25">
      <c r="A41" s="30" t="s">
        <v>36</v>
      </c>
      <c r="B41" s="31" t="s">
        <v>3</v>
      </c>
      <c r="C41" s="83">
        <v>2640.3074502240001</v>
      </c>
      <c r="D41" s="83">
        <v>2731.971247384</v>
      </c>
      <c r="E41" s="82">
        <v>2941.9297881055095</v>
      </c>
      <c r="F41" s="22" t="s">
        <v>240</v>
      </c>
      <c r="G41" s="23">
        <v>11.423758163312385</v>
      </c>
      <c r="H41" s="24">
        <v>7.68523976680045</v>
      </c>
    </row>
    <row r="42" spans="1:8" x14ac:dyDescent="0.25">
      <c r="A42" s="34"/>
      <c r="B42" s="25" t="s">
        <v>241</v>
      </c>
      <c r="C42" s="81">
        <v>1346.050693383</v>
      </c>
      <c r="D42" s="81">
        <v>1375.45509812</v>
      </c>
      <c r="E42" s="81">
        <v>1487.3297080509999</v>
      </c>
      <c r="F42" s="27"/>
      <c r="G42" s="38">
        <v>10.49581678925675</v>
      </c>
      <c r="H42" s="24">
        <v>8.1336431908182618</v>
      </c>
    </row>
    <row r="43" spans="1:8" x14ac:dyDescent="0.25">
      <c r="A43" s="30" t="s">
        <v>18</v>
      </c>
      <c r="B43" s="31" t="s">
        <v>3</v>
      </c>
      <c r="C43" s="83">
        <v>196.17641437899999</v>
      </c>
      <c r="D43" s="83">
        <v>225.16202559000001</v>
      </c>
      <c r="E43" s="82">
        <v>262.57620581392717</v>
      </c>
      <c r="F43" s="22" t="s">
        <v>240</v>
      </c>
      <c r="G43" s="37">
        <v>33.846979844706055</v>
      </c>
      <c r="H43" s="33">
        <v>16.616558731824099</v>
      </c>
    </row>
    <row r="44" spans="1:8" x14ac:dyDescent="0.25">
      <c r="A44" s="34"/>
      <c r="B44" s="25" t="s">
        <v>241</v>
      </c>
      <c r="C44" s="81">
        <v>100.954190002</v>
      </c>
      <c r="D44" s="81">
        <v>121.011253078</v>
      </c>
      <c r="E44" s="81">
        <v>139.06257217300001</v>
      </c>
      <c r="F44" s="27"/>
      <c r="G44" s="28">
        <v>37.748192690412395</v>
      </c>
      <c r="H44" s="29">
        <v>14.91705823702587</v>
      </c>
    </row>
    <row r="45" spans="1:8" x14ac:dyDescent="0.25">
      <c r="A45" s="30" t="s">
        <v>37</v>
      </c>
      <c r="B45" s="31" t="s">
        <v>3</v>
      </c>
      <c r="C45" s="83">
        <v>141.65397763000001</v>
      </c>
      <c r="D45" s="83">
        <v>128.70785007200001</v>
      </c>
      <c r="E45" s="82">
        <v>120.07993662964377</v>
      </c>
      <c r="F45" s="22" t="s">
        <v>240</v>
      </c>
      <c r="G45" s="37">
        <v>-15.23009897872943</v>
      </c>
      <c r="H45" s="33">
        <v>-6.7034865686356682</v>
      </c>
    </row>
    <row r="46" spans="1:8" x14ac:dyDescent="0.25">
      <c r="A46" s="34"/>
      <c r="B46" s="25" t="s">
        <v>241</v>
      </c>
      <c r="C46" s="81">
        <v>63.261022515999997</v>
      </c>
      <c r="D46" s="81">
        <v>52.509752182</v>
      </c>
      <c r="E46" s="81">
        <v>50.443553641000001</v>
      </c>
      <c r="F46" s="27"/>
      <c r="G46" s="28">
        <v>-20.261242017955368</v>
      </c>
      <c r="H46" s="29">
        <v>-3.9348853406096964</v>
      </c>
    </row>
    <row r="47" spans="1:8" x14ac:dyDescent="0.25">
      <c r="A47" s="30" t="s">
        <v>38</v>
      </c>
      <c r="B47" s="31" t="s">
        <v>3</v>
      </c>
      <c r="C47" s="83">
        <v>81.554477374000001</v>
      </c>
      <c r="D47" s="83">
        <v>88.781088354999994</v>
      </c>
      <c r="E47" s="82">
        <v>99.091130681184609</v>
      </c>
      <c r="F47" s="22" t="s">
        <v>240</v>
      </c>
      <c r="G47" s="23">
        <v>21.502992688878891</v>
      </c>
      <c r="H47" s="24">
        <v>11.612881208393034</v>
      </c>
    </row>
    <row r="48" spans="1:8" x14ac:dyDescent="0.25">
      <c r="A48" s="30"/>
      <c r="B48" s="25" t="s">
        <v>241</v>
      </c>
      <c r="C48" s="81">
        <v>32.230168055</v>
      </c>
      <c r="D48" s="81">
        <v>40.268083939</v>
      </c>
      <c r="E48" s="81">
        <v>42.835532346000001</v>
      </c>
      <c r="F48" s="27"/>
      <c r="G48" s="38">
        <v>32.905085300524064</v>
      </c>
      <c r="H48" s="24">
        <v>6.3758891803476132</v>
      </c>
    </row>
    <row r="49" spans="1:9" x14ac:dyDescent="0.25">
      <c r="A49" s="39" t="s">
        <v>39</v>
      </c>
      <c r="B49" s="31" t="s">
        <v>3</v>
      </c>
      <c r="C49" s="83">
        <v>1471.146694841</v>
      </c>
      <c r="D49" s="83">
        <v>1584.2496189420001</v>
      </c>
      <c r="E49" s="82">
        <v>1525.7382884473648</v>
      </c>
      <c r="F49" s="22" t="s">
        <v>240</v>
      </c>
      <c r="G49" s="37">
        <v>3.7108191724051665</v>
      </c>
      <c r="H49" s="33">
        <v>-3.6933151060948717</v>
      </c>
    </row>
    <row r="50" spans="1:9" x14ac:dyDescent="0.25">
      <c r="A50" s="34"/>
      <c r="B50" s="25" t="s">
        <v>241</v>
      </c>
      <c r="C50" s="81">
        <v>800.29901959899996</v>
      </c>
      <c r="D50" s="81">
        <v>835.24716621200002</v>
      </c>
      <c r="E50" s="81">
        <v>812.75420314799999</v>
      </c>
      <c r="F50" s="27"/>
      <c r="G50" s="28">
        <v>1.5563162323053632</v>
      </c>
      <c r="H50" s="29">
        <v>-2.6929708921982609</v>
      </c>
    </row>
    <row r="51" spans="1:9" x14ac:dyDescent="0.25">
      <c r="A51" s="39" t="s">
        <v>40</v>
      </c>
      <c r="B51" s="31" t="s">
        <v>3</v>
      </c>
      <c r="C51" s="83">
        <v>679.94174092699996</v>
      </c>
      <c r="D51" s="83">
        <v>713.86243103899994</v>
      </c>
      <c r="E51" s="82">
        <v>832.54774712149219</v>
      </c>
      <c r="F51" s="22" t="s">
        <v>240</v>
      </c>
      <c r="G51" s="23">
        <v>22.443982625104979</v>
      </c>
      <c r="H51" s="24">
        <v>16.62579664120301</v>
      </c>
    </row>
    <row r="52" spans="1:9" x14ac:dyDescent="0.25">
      <c r="A52" s="34"/>
      <c r="B52" s="25" t="s">
        <v>241</v>
      </c>
      <c r="C52" s="81">
        <v>343.93383920899998</v>
      </c>
      <c r="D52" s="81">
        <v>329.76536009599999</v>
      </c>
      <c r="E52" s="81">
        <v>396.04442313599998</v>
      </c>
      <c r="F52" s="27"/>
      <c r="G52" s="38">
        <v>15.151339585208333</v>
      </c>
      <c r="H52" s="24">
        <v>20.098855447007864</v>
      </c>
    </row>
    <row r="53" spans="1:9" x14ac:dyDescent="0.25">
      <c r="A53" s="30" t="s">
        <v>41</v>
      </c>
      <c r="B53" s="31" t="s">
        <v>3</v>
      </c>
      <c r="C53" s="83">
        <v>5704.8063058059997</v>
      </c>
      <c r="D53" s="83">
        <v>6408.9540404290001</v>
      </c>
      <c r="E53" s="82">
        <v>7280.614888213805</v>
      </c>
      <c r="F53" s="22" t="s">
        <v>240</v>
      </c>
      <c r="G53" s="37">
        <v>27.622473015500006</v>
      </c>
      <c r="H53" s="33">
        <v>13.600672469894292</v>
      </c>
    </row>
    <row r="54" spans="1:9" x14ac:dyDescent="0.25">
      <c r="A54" s="34"/>
      <c r="B54" s="25" t="s">
        <v>241</v>
      </c>
      <c r="C54" s="81">
        <v>3010.3203150260001</v>
      </c>
      <c r="D54" s="81">
        <v>3218.1398981759999</v>
      </c>
      <c r="E54" s="81">
        <v>3715.79980759</v>
      </c>
      <c r="F54" s="27"/>
      <c r="G54" s="28">
        <v>23.435362975913307</v>
      </c>
      <c r="H54" s="29">
        <v>15.464209921267468</v>
      </c>
    </row>
    <row r="55" spans="1:9" x14ac:dyDescent="0.25">
      <c r="A55" s="30" t="s">
        <v>24</v>
      </c>
      <c r="B55" s="31" t="s">
        <v>3</v>
      </c>
      <c r="C55" s="83">
        <v>662.01883154200004</v>
      </c>
      <c r="D55" s="83">
        <v>731.04622230099994</v>
      </c>
      <c r="E55" s="82">
        <v>789.93346749236196</v>
      </c>
      <c r="F55" s="22" t="s">
        <v>240</v>
      </c>
      <c r="G55" s="23">
        <v>19.321902921162845</v>
      </c>
      <c r="H55" s="24">
        <v>8.0552013532074369</v>
      </c>
    </row>
    <row r="56" spans="1:9" ht="13.8" thickBot="1" x14ac:dyDescent="0.3">
      <c r="A56" s="56"/>
      <c r="B56" s="42" t="s">
        <v>241</v>
      </c>
      <c r="C56" s="85">
        <v>341.186398876</v>
      </c>
      <c r="D56" s="85">
        <v>366.891210435</v>
      </c>
      <c r="E56" s="85">
        <v>399.937424421</v>
      </c>
      <c r="F56" s="44"/>
      <c r="G56" s="57">
        <v>17.219627083186381</v>
      </c>
      <c r="H56" s="46">
        <v>9.0070879449031054</v>
      </c>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242</v>
      </c>
      <c r="H61" s="209">
        <v>12</v>
      </c>
    </row>
    <row r="62" spans="1:9" ht="12.75" customHeight="1" x14ac:dyDescent="0.25">
      <c r="A62" s="54" t="s">
        <v>243</v>
      </c>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ignoredErrors>
    <ignoredError sqref="C6:E6 C34:F3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1" t="s">
        <v>0</v>
      </c>
      <c r="B2" s="2"/>
      <c r="C2" s="2"/>
      <c r="D2" s="2"/>
      <c r="E2" s="2"/>
      <c r="F2" s="2"/>
      <c r="G2" s="2"/>
    </row>
    <row r="3" spans="1:8" ht="6" customHeight="1" x14ac:dyDescent="0.25">
      <c r="A3" s="3"/>
      <c r="B3" s="2"/>
      <c r="C3" s="2"/>
      <c r="D3" s="2"/>
      <c r="E3" s="2"/>
      <c r="F3" s="2"/>
      <c r="G3" s="2"/>
    </row>
    <row r="4" spans="1:8" ht="16.2" thickBot="1" x14ac:dyDescent="0.35">
      <c r="A4" s="4" t="s">
        <v>148</v>
      </c>
      <c r="B4" s="5"/>
      <c r="C4" s="5"/>
      <c r="D4" s="5"/>
      <c r="E4" s="5"/>
      <c r="F4" s="5"/>
      <c r="G4" s="5"/>
      <c r="H4" s="6"/>
    </row>
    <row r="5" spans="1:8" x14ac:dyDescent="0.25">
      <c r="A5" s="7"/>
      <c r="B5" s="8"/>
      <c r="C5" s="9"/>
      <c r="D5" s="8"/>
      <c r="E5" s="10"/>
      <c r="F5" s="11"/>
      <c r="G5" s="214" t="s">
        <v>1</v>
      </c>
      <c r="H5" s="215"/>
    </row>
    <row r="6" spans="1:8" x14ac:dyDescent="0.25">
      <c r="A6" s="12"/>
      <c r="B6" s="13"/>
      <c r="C6" s="204">
        <v>2016</v>
      </c>
      <c r="D6" s="205">
        <v>2017</v>
      </c>
      <c r="E6" s="205">
        <v>2018</v>
      </c>
      <c r="F6" s="16"/>
      <c r="G6" s="17" t="s">
        <v>238</v>
      </c>
      <c r="H6" s="18" t="s">
        <v>239</v>
      </c>
    </row>
    <row r="7" spans="1:8" x14ac:dyDescent="0.25">
      <c r="A7" s="216" t="s">
        <v>17</v>
      </c>
      <c r="B7" s="19" t="s">
        <v>3</v>
      </c>
      <c r="C7" s="20">
        <v>334517.38835614501</v>
      </c>
      <c r="D7" s="20">
        <v>312410.11965268</v>
      </c>
      <c r="E7" s="21">
        <v>367105.38150253257</v>
      </c>
      <c r="F7" s="22" t="s">
        <v>240</v>
      </c>
      <c r="G7" s="23">
        <v>9.7417934853935435</v>
      </c>
      <c r="H7" s="24">
        <v>17.507519254068882</v>
      </c>
    </row>
    <row r="8" spans="1:8" x14ac:dyDescent="0.25">
      <c r="A8" s="217"/>
      <c r="B8" s="25" t="s">
        <v>241</v>
      </c>
      <c r="C8" s="26">
        <v>153509.38964753499</v>
      </c>
      <c r="D8" s="26">
        <v>145788.80437477099</v>
      </c>
      <c r="E8" s="26">
        <v>170352.54489963199</v>
      </c>
      <c r="F8" s="27"/>
      <c r="G8" s="28">
        <v>10.972068412733393</v>
      </c>
      <c r="H8" s="29">
        <v>16.84885244117676</v>
      </c>
    </row>
    <row r="9" spans="1:8" x14ac:dyDescent="0.25">
      <c r="A9" s="30" t="s">
        <v>18</v>
      </c>
      <c r="B9" s="31" t="s">
        <v>3</v>
      </c>
      <c r="C9" s="20">
        <v>23536.523630186999</v>
      </c>
      <c r="D9" s="20">
        <v>22734.102206588999</v>
      </c>
      <c r="E9" s="21">
        <v>23753.319134582023</v>
      </c>
      <c r="F9" s="22" t="s">
        <v>240</v>
      </c>
      <c r="G9" s="32">
        <v>0.9211024865072801</v>
      </c>
      <c r="H9" s="33">
        <v>4.4832072924244386</v>
      </c>
    </row>
    <row r="10" spans="1:8" x14ac:dyDescent="0.25">
      <c r="A10" s="34"/>
      <c r="B10" s="25" t="s">
        <v>241</v>
      </c>
      <c r="C10" s="26">
        <v>9635.4716260869991</v>
      </c>
      <c r="D10" s="26">
        <v>9757.944815027</v>
      </c>
      <c r="E10" s="26">
        <v>10033.357495652001</v>
      </c>
      <c r="F10" s="27"/>
      <c r="G10" s="35">
        <v>4.1293865521617903</v>
      </c>
      <c r="H10" s="29">
        <v>2.8224455645708559</v>
      </c>
    </row>
    <row r="11" spans="1:8" x14ac:dyDescent="0.25">
      <c r="A11" s="30" t="s">
        <v>19</v>
      </c>
      <c r="B11" s="31" t="s">
        <v>3</v>
      </c>
      <c r="C11" s="20">
        <v>65001.412100624002</v>
      </c>
      <c r="D11" s="20">
        <v>60163.007355296002</v>
      </c>
      <c r="E11" s="21">
        <v>77182.338949514902</v>
      </c>
      <c r="F11" s="22" t="s">
        <v>240</v>
      </c>
      <c r="G11" s="37">
        <v>18.739480351649121</v>
      </c>
      <c r="H11" s="33">
        <v>28.288698225655992</v>
      </c>
    </row>
    <row r="12" spans="1:8" x14ac:dyDescent="0.25">
      <c r="A12" s="34"/>
      <c r="B12" s="25" t="s">
        <v>241</v>
      </c>
      <c r="C12" s="26">
        <v>30235.572086957</v>
      </c>
      <c r="D12" s="26">
        <v>27622.482716757</v>
      </c>
      <c r="E12" s="26">
        <v>35590.191652173999</v>
      </c>
      <c r="F12" s="27"/>
      <c r="G12" s="28">
        <v>17.709668432326026</v>
      </c>
      <c r="H12" s="29">
        <v>28.845013741590435</v>
      </c>
    </row>
    <row r="13" spans="1:8" x14ac:dyDescent="0.25">
      <c r="A13" s="30" t="s">
        <v>20</v>
      </c>
      <c r="B13" s="31" t="s">
        <v>3</v>
      </c>
      <c r="C13" s="20">
        <v>31805.624809821002</v>
      </c>
      <c r="D13" s="20">
        <v>26862.717788236001</v>
      </c>
      <c r="E13" s="21">
        <v>29529.910325631514</v>
      </c>
      <c r="F13" s="22" t="s">
        <v>240</v>
      </c>
      <c r="G13" s="23">
        <v>-7.1550692614810316</v>
      </c>
      <c r="H13" s="24">
        <v>9.928975014447559</v>
      </c>
    </row>
    <row r="14" spans="1:8" x14ac:dyDescent="0.25">
      <c r="A14" s="34"/>
      <c r="B14" s="25" t="s">
        <v>241</v>
      </c>
      <c r="C14" s="26">
        <v>14920.558136645999</v>
      </c>
      <c r="D14" s="26">
        <v>11981.896531789</v>
      </c>
      <c r="E14" s="26">
        <v>13391.138881987999</v>
      </c>
      <c r="F14" s="27"/>
      <c r="G14" s="38">
        <v>-10.250415840018974</v>
      </c>
      <c r="H14" s="24">
        <v>11.761429807544729</v>
      </c>
    </row>
    <row r="15" spans="1:8" x14ac:dyDescent="0.25">
      <c r="A15" s="30" t="s">
        <v>21</v>
      </c>
      <c r="B15" s="31" t="s">
        <v>3</v>
      </c>
      <c r="C15" s="20">
        <v>7423.0572361980003</v>
      </c>
      <c r="D15" s="20">
        <v>4938.2510215689999</v>
      </c>
      <c r="E15" s="21">
        <v>4601.1586835934704</v>
      </c>
      <c r="F15" s="22" t="s">
        <v>240</v>
      </c>
      <c r="G15" s="37">
        <v>-38.015314483145112</v>
      </c>
      <c r="H15" s="33">
        <v>-6.8261482962935247</v>
      </c>
    </row>
    <row r="16" spans="1:8" x14ac:dyDescent="0.25">
      <c r="A16" s="34"/>
      <c r="B16" s="25" t="s">
        <v>241</v>
      </c>
      <c r="C16" s="26">
        <v>2600.162789855</v>
      </c>
      <c r="D16" s="26">
        <v>2745.8448217720002</v>
      </c>
      <c r="E16" s="26">
        <v>2139.49884058</v>
      </c>
      <c r="F16" s="27"/>
      <c r="G16" s="28">
        <v>-17.716734931842069</v>
      </c>
      <c r="H16" s="29">
        <v>-22.082310565558529</v>
      </c>
    </row>
    <row r="17" spans="1:8" x14ac:dyDescent="0.25">
      <c r="A17" s="30" t="s">
        <v>22</v>
      </c>
      <c r="B17" s="31" t="s">
        <v>3</v>
      </c>
      <c r="C17" s="20">
        <v>6049.0572361980003</v>
      </c>
      <c r="D17" s="20">
        <v>6123.2510215689999</v>
      </c>
      <c r="E17" s="21">
        <v>7476.4776143565305</v>
      </c>
      <c r="F17" s="22" t="s">
        <v>240</v>
      </c>
      <c r="G17" s="37">
        <v>23.597402412011292</v>
      </c>
      <c r="H17" s="33">
        <v>22.099805936761754</v>
      </c>
    </row>
    <row r="18" spans="1:8" x14ac:dyDescent="0.25">
      <c r="A18" s="34"/>
      <c r="B18" s="25" t="s">
        <v>241</v>
      </c>
      <c r="C18" s="26">
        <v>2289.162789855</v>
      </c>
      <c r="D18" s="26">
        <v>2502.8448217720002</v>
      </c>
      <c r="E18" s="26">
        <v>2976.49884058</v>
      </c>
      <c r="F18" s="27"/>
      <c r="G18" s="28">
        <v>30.025651900821657</v>
      </c>
      <c r="H18" s="29">
        <v>18.92462587723098</v>
      </c>
    </row>
    <row r="19" spans="1:8" x14ac:dyDescent="0.25">
      <c r="A19" s="30" t="s">
        <v>190</v>
      </c>
      <c r="B19" s="31" t="s">
        <v>3</v>
      </c>
      <c r="C19" s="20">
        <v>141955.06202455299</v>
      </c>
      <c r="D19" s="20">
        <v>123601.29447059</v>
      </c>
      <c r="E19" s="21">
        <v>151207.67874171605</v>
      </c>
      <c r="F19" s="22" t="s">
        <v>240</v>
      </c>
      <c r="G19" s="23">
        <v>6.5179899788023761</v>
      </c>
      <c r="H19" s="24">
        <v>22.335028439119455</v>
      </c>
    </row>
    <row r="20" spans="1:8" x14ac:dyDescent="0.25">
      <c r="A20" s="30"/>
      <c r="B20" s="25" t="s">
        <v>241</v>
      </c>
      <c r="C20" s="26">
        <v>64784.395341615003</v>
      </c>
      <c r="D20" s="26">
        <v>57320.241329472003</v>
      </c>
      <c r="E20" s="26">
        <v>69746.847204969003</v>
      </c>
      <c r="F20" s="27"/>
      <c r="G20" s="38">
        <v>7.6599493399397716</v>
      </c>
      <c r="H20" s="24">
        <v>21.679263009501113</v>
      </c>
    </row>
    <row r="21" spans="1:8" x14ac:dyDescent="0.25">
      <c r="A21" s="39" t="s">
        <v>12</v>
      </c>
      <c r="B21" s="31" t="s">
        <v>3</v>
      </c>
      <c r="C21" s="20">
        <v>1743.0343417189999</v>
      </c>
      <c r="D21" s="20">
        <v>1834.7506129410001</v>
      </c>
      <c r="E21" s="21">
        <v>1997.8968551359096</v>
      </c>
      <c r="F21" s="22" t="s">
        <v>240</v>
      </c>
      <c r="G21" s="37">
        <v>14.621772349336595</v>
      </c>
      <c r="H21" s="33">
        <v>8.8920118649474347</v>
      </c>
    </row>
    <row r="22" spans="1:8" x14ac:dyDescent="0.25">
      <c r="A22" s="34"/>
      <c r="B22" s="25" t="s">
        <v>241</v>
      </c>
      <c r="C22" s="26">
        <v>798.29767391300004</v>
      </c>
      <c r="D22" s="26">
        <v>826.70689306300005</v>
      </c>
      <c r="E22" s="26">
        <v>905.09930434800003</v>
      </c>
      <c r="F22" s="27"/>
      <c r="G22" s="28">
        <v>13.378672383134045</v>
      </c>
      <c r="H22" s="29">
        <v>9.4824915508507956</v>
      </c>
    </row>
    <row r="23" spans="1:8" x14ac:dyDescent="0.25">
      <c r="A23" s="39" t="s">
        <v>23</v>
      </c>
      <c r="B23" s="31" t="s">
        <v>3</v>
      </c>
      <c r="C23" s="20">
        <v>12473.057236197999</v>
      </c>
      <c r="D23" s="20">
        <v>12935.251021569</v>
      </c>
      <c r="E23" s="21">
        <v>13580.539879430547</v>
      </c>
      <c r="F23" s="22" t="s">
        <v>240</v>
      </c>
      <c r="G23" s="23">
        <v>8.8789991279646188</v>
      </c>
      <c r="H23" s="24">
        <v>4.9886071540904453</v>
      </c>
    </row>
    <row r="24" spans="1:8" x14ac:dyDescent="0.25">
      <c r="A24" s="34"/>
      <c r="B24" s="25" t="s">
        <v>241</v>
      </c>
      <c r="C24" s="26">
        <v>5932.1627898549996</v>
      </c>
      <c r="D24" s="26">
        <v>6312.8448217719997</v>
      </c>
      <c r="E24" s="26">
        <v>6570.4988405800004</v>
      </c>
      <c r="F24" s="27"/>
      <c r="G24" s="28">
        <v>10.760595643407882</v>
      </c>
      <c r="H24" s="29">
        <v>4.081424873923595</v>
      </c>
    </row>
    <row r="25" spans="1:8" x14ac:dyDescent="0.25">
      <c r="A25" s="30" t="s">
        <v>24</v>
      </c>
      <c r="B25" s="31" t="s">
        <v>3</v>
      </c>
      <c r="C25" s="20">
        <v>51892.114472396002</v>
      </c>
      <c r="D25" s="20">
        <v>59331.502043138004</v>
      </c>
      <c r="E25" s="21">
        <v>68247.776997320892</v>
      </c>
      <c r="F25" s="22" t="s">
        <v>240</v>
      </c>
      <c r="G25" s="23">
        <v>31.518589464349702</v>
      </c>
      <c r="H25" s="24">
        <v>15.027893525601542</v>
      </c>
    </row>
    <row r="26" spans="1:8" ht="13.8" thickBot="1" x14ac:dyDescent="0.3">
      <c r="A26" s="41"/>
      <c r="B26" s="42" t="s">
        <v>241</v>
      </c>
      <c r="C26" s="43">
        <v>24751.325579709999</v>
      </c>
      <c r="D26" s="43">
        <v>29277.689643542999</v>
      </c>
      <c r="E26" s="43">
        <v>33293.997681159002</v>
      </c>
      <c r="F26" s="44"/>
      <c r="G26" s="45">
        <v>34.513998347029514</v>
      </c>
      <c r="H26" s="46">
        <v>13.717981461360878</v>
      </c>
    </row>
    <row r="31" spans="1:8" x14ac:dyDescent="0.25">
      <c r="A31" s="47"/>
      <c r="B31" s="48"/>
      <c r="C31" s="49"/>
      <c r="D31" s="55"/>
      <c r="E31" s="49"/>
      <c r="F31" s="49"/>
      <c r="G31" s="50"/>
      <c r="H31" s="51"/>
    </row>
    <row r="32" spans="1:8" ht="16.2" thickBot="1" x14ac:dyDescent="0.35">
      <c r="A32" s="4" t="s">
        <v>25</v>
      </c>
      <c r="B32" s="5"/>
      <c r="C32" s="5"/>
      <c r="D32" s="5"/>
      <c r="E32" s="5"/>
      <c r="F32" s="5"/>
      <c r="G32" s="5"/>
      <c r="H32" s="6"/>
    </row>
    <row r="33" spans="1:8" x14ac:dyDescent="0.25">
      <c r="A33" s="7"/>
      <c r="B33" s="8"/>
      <c r="C33" s="220" t="s">
        <v>16</v>
      </c>
      <c r="D33" s="214"/>
      <c r="E33" s="214"/>
      <c r="F33" s="221"/>
      <c r="G33" s="214" t="s">
        <v>1</v>
      </c>
      <c r="H33" s="215"/>
    </row>
    <row r="34" spans="1:8" x14ac:dyDescent="0.25">
      <c r="A34" s="12"/>
      <c r="B34" s="13"/>
      <c r="C34" s="204">
        <v>2016</v>
      </c>
      <c r="D34" s="205">
        <v>2017</v>
      </c>
      <c r="E34" s="205">
        <v>2018</v>
      </c>
      <c r="F34" s="16"/>
      <c r="G34" s="17" t="s">
        <v>238</v>
      </c>
      <c r="H34" s="18" t="s">
        <v>239</v>
      </c>
    </row>
    <row r="35" spans="1:8" x14ac:dyDescent="0.25">
      <c r="A35" s="216" t="s">
        <v>17</v>
      </c>
      <c r="B35" s="19" t="s">
        <v>3</v>
      </c>
      <c r="C35" s="79">
        <v>7461.0390863120001</v>
      </c>
      <c r="D35" s="79">
        <v>7171.7903695670002</v>
      </c>
      <c r="E35" s="82">
        <v>9169.52824867446</v>
      </c>
      <c r="F35" s="22" t="s">
        <v>240</v>
      </c>
      <c r="G35" s="23">
        <v>22.898809972686635</v>
      </c>
      <c r="H35" s="24">
        <v>27.855497388556188</v>
      </c>
    </row>
    <row r="36" spans="1:8" x14ac:dyDescent="0.25">
      <c r="A36" s="217"/>
      <c r="B36" s="25" t="s">
        <v>241</v>
      </c>
      <c r="C36" s="81">
        <v>3395.008061944</v>
      </c>
      <c r="D36" s="81">
        <v>3523.3386332619998</v>
      </c>
      <c r="E36" s="81">
        <v>4388.2652719300004</v>
      </c>
      <c r="F36" s="27"/>
      <c r="G36" s="28">
        <v>29.256402101656732</v>
      </c>
      <c r="H36" s="29">
        <v>24.548495864197676</v>
      </c>
    </row>
    <row r="37" spans="1:8" x14ac:dyDescent="0.25">
      <c r="A37" s="30" t="s">
        <v>18</v>
      </c>
      <c r="B37" s="31" t="s">
        <v>3</v>
      </c>
      <c r="C37" s="79">
        <v>2583.8458609519998</v>
      </c>
      <c r="D37" s="79">
        <v>2543.9606140870001</v>
      </c>
      <c r="E37" s="82">
        <v>2941.3857735311899</v>
      </c>
      <c r="F37" s="22" t="s">
        <v>240</v>
      </c>
      <c r="G37" s="32">
        <v>13.837509349240236</v>
      </c>
      <c r="H37" s="33">
        <v>15.622300016890065</v>
      </c>
    </row>
    <row r="38" spans="1:8" x14ac:dyDescent="0.25">
      <c r="A38" s="34"/>
      <c r="B38" s="25" t="s">
        <v>241</v>
      </c>
      <c r="C38" s="81">
        <v>1279.428249975</v>
      </c>
      <c r="D38" s="81">
        <v>1318.175234374</v>
      </c>
      <c r="E38" s="81">
        <v>1500.8721099649999</v>
      </c>
      <c r="F38" s="27"/>
      <c r="G38" s="35">
        <v>17.308032708698363</v>
      </c>
      <c r="H38" s="29">
        <v>13.859832200364664</v>
      </c>
    </row>
    <row r="39" spans="1:8" x14ac:dyDescent="0.25">
      <c r="A39" s="30" t="s">
        <v>19</v>
      </c>
      <c r="B39" s="31" t="s">
        <v>3</v>
      </c>
      <c r="C39" s="79">
        <v>2736.5334327549999</v>
      </c>
      <c r="D39" s="79">
        <v>2463.262500242</v>
      </c>
      <c r="E39" s="82">
        <v>3316.441760508681</v>
      </c>
      <c r="F39" s="22" t="s">
        <v>240</v>
      </c>
      <c r="G39" s="37">
        <v>21.191348178409044</v>
      </c>
      <c r="H39" s="33">
        <v>34.636148611155392</v>
      </c>
    </row>
    <row r="40" spans="1:8" x14ac:dyDescent="0.25">
      <c r="A40" s="34"/>
      <c r="B40" s="25" t="s">
        <v>241</v>
      </c>
      <c r="C40" s="81">
        <v>1118.709504791</v>
      </c>
      <c r="D40" s="81">
        <v>1126.2878727039999</v>
      </c>
      <c r="E40" s="81">
        <v>1458.7859096489999</v>
      </c>
      <c r="F40" s="27"/>
      <c r="G40" s="28">
        <v>30.398991284295363</v>
      </c>
      <c r="H40" s="29">
        <v>29.521585467020628</v>
      </c>
    </row>
    <row r="41" spans="1:8" x14ac:dyDescent="0.25">
      <c r="A41" s="30" t="s">
        <v>20</v>
      </c>
      <c r="B41" s="31" t="s">
        <v>3</v>
      </c>
      <c r="C41" s="79">
        <v>423.23251028499999</v>
      </c>
      <c r="D41" s="79">
        <v>364.95528732499997</v>
      </c>
      <c r="E41" s="82">
        <v>367.33023889994087</v>
      </c>
      <c r="F41" s="22" t="s">
        <v>240</v>
      </c>
      <c r="G41" s="23">
        <v>-13.208406733078036</v>
      </c>
      <c r="H41" s="24">
        <v>0.65075138172363722</v>
      </c>
    </row>
    <row r="42" spans="1:8" x14ac:dyDescent="0.25">
      <c r="A42" s="34"/>
      <c r="B42" s="25" t="s">
        <v>241</v>
      </c>
      <c r="C42" s="81">
        <v>207.32400623199999</v>
      </c>
      <c r="D42" s="81">
        <v>179.174242556</v>
      </c>
      <c r="E42" s="81">
        <v>180.206552496</v>
      </c>
      <c r="F42" s="27"/>
      <c r="G42" s="38">
        <v>-13.079746156195242</v>
      </c>
      <c r="H42" s="24">
        <v>0.57614862787956156</v>
      </c>
    </row>
    <row r="43" spans="1:8" x14ac:dyDescent="0.25">
      <c r="A43" s="30" t="s">
        <v>21</v>
      </c>
      <c r="B43" s="31" t="s">
        <v>3</v>
      </c>
      <c r="C43" s="79">
        <v>44.045885796999997</v>
      </c>
      <c r="D43" s="79">
        <v>41.787927756000002</v>
      </c>
      <c r="E43" s="82">
        <v>66.006819657806631</v>
      </c>
      <c r="F43" s="22" t="s">
        <v>240</v>
      </c>
      <c r="G43" s="37">
        <v>49.859217185507049</v>
      </c>
      <c r="H43" s="33">
        <v>57.956671226247209</v>
      </c>
    </row>
    <row r="44" spans="1:8" x14ac:dyDescent="0.25">
      <c r="A44" s="34"/>
      <c r="B44" s="25" t="s">
        <v>241</v>
      </c>
      <c r="C44" s="81">
        <v>19.073100650000001</v>
      </c>
      <c r="D44" s="81">
        <v>21.515225994000001</v>
      </c>
      <c r="E44" s="81">
        <v>31.970662682</v>
      </c>
      <c r="F44" s="27"/>
      <c r="G44" s="28">
        <v>67.621737381226467</v>
      </c>
      <c r="H44" s="29">
        <v>48.595523425669484</v>
      </c>
    </row>
    <row r="45" spans="1:8" x14ac:dyDescent="0.25">
      <c r="A45" s="30" t="s">
        <v>22</v>
      </c>
      <c r="B45" s="31" t="s">
        <v>3</v>
      </c>
      <c r="C45" s="79">
        <v>29.401197695</v>
      </c>
      <c r="D45" s="79">
        <v>29.436083674999999</v>
      </c>
      <c r="E45" s="82">
        <v>35.423808435632964</v>
      </c>
      <c r="F45" s="22" t="s">
        <v>240</v>
      </c>
      <c r="G45" s="37">
        <v>20.484236061094791</v>
      </c>
      <c r="H45" s="33">
        <v>20.341444965106973</v>
      </c>
    </row>
    <row r="46" spans="1:8" x14ac:dyDescent="0.25">
      <c r="A46" s="34"/>
      <c r="B46" s="25" t="s">
        <v>241</v>
      </c>
      <c r="C46" s="81">
        <v>11.825020024000001</v>
      </c>
      <c r="D46" s="81">
        <v>12.518163087</v>
      </c>
      <c r="E46" s="81">
        <v>14.781898404</v>
      </c>
      <c r="F46" s="27"/>
      <c r="G46" s="28">
        <v>25.005271652806798</v>
      </c>
      <c r="H46" s="29">
        <v>18.083606206975105</v>
      </c>
    </row>
    <row r="47" spans="1:8" x14ac:dyDescent="0.25">
      <c r="A47" s="30" t="s">
        <v>190</v>
      </c>
      <c r="B47" s="31" t="s">
        <v>3</v>
      </c>
      <c r="C47" s="79">
        <v>862.62571507600001</v>
      </c>
      <c r="D47" s="79">
        <v>820.152483082</v>
      </c>
      <c r="E47" s="82">
        <v>1326.1202769298482</v>
      </c>
      <c r="F47" s="22" t="s">
        <v>240</v>
      </c>
      <c r="G47" s="23">
        <v>53.730668325023544</v>
      </c>
      <c r="H47" s="24">
        <v>61.691917574461655</v>
      </c>
    </row>
    <row r="48" spans="1:8" x14ac:dyDescent="0.25">
      <c r="A48" s="30"/>
      <c r="B48" s="25" t="s">
        <v>241</v>
      </c>
      <c r="C48" s="81">
        <v>394.58733530900003</v>
      </c>
      <c r="D48" s="81">
        <v>425.26182601599999</v>
      </c>
      <c r="E48" s="81">
        <v>658.30810524699996</v>
      </c>
      <c r="F48" s="27"/>
      <c r="G48" s="38">
        <v>66.834575349835063</v>
      </c>
      <c r="H48" s="24">
        <v>54.80065808263538</v>
      </c>
    </row>
    <row r="49" spans="1:8" x14ac:dyDescent="0.25">
      <c r="A49" s="39" t="s">
        <v>12</v>
      </c>
      <c r="B49" s="31" t="s">
        <v>3</v>
      </c>
      <c r="C49" s="79">
        <v>19.688462147999999</v>
      </c>
      <c r="D49" s="79">
        <v>20.946257252999999</v>
      </c>
      <c r="E49" s="82">
        <v>25.459698277374528</v>
      </c>
      <c r="F49" s="22" t="s">
        <v>240</v>
      </c>
      <c r="G49" s="37">
        <v>29.31278271503183</v>
      </c>
      <c r="H49" s="33">
        <v>21.547720768721575</v>
      </c>
    </row>
    <row r="50" spans="1:8" x14ac:dyDescent="0.25">
      <c r="A50" s="34"/>
      <c r="B50" s="25" t="s">
        <v>241</v>
      </c>
      <c r="C50" s="81">
        <v>8.5815985379999997</v>
      </c>
      <c r="D50" s="81">
        <v>11.143323734000001</v>
      </c>
      <c r="E50" s="81">
        <v>12.616943624999999</v>
      </c>
      <c r="F50" s="27"/>
      <c r="G50" s="28">
        <v>47.023233132279159</v>
      </c>
      <c r="H50" s="29">
        <v>13.224240147522195</v>
      </c>
    </row>
    <row r="51" spans="1:8" x14ac:dyDescent="0.25">
      <c r="A51" s="39" t="s">
        <v>23</v>
      </c>
      <c r="B51" s="31" t="s">
        <v>3</v>
      </c>
      <c r="C51" s="79">
        <v>284.09974607999999</v>
      </c>
      <c r="D51" s="79">
        <v>307.54379769000002</v>
      </c>
      <c r="E51" s="82">
        <v>331.80616712756245</v>
      </c>
      <c r="F51" s="22" t="s">
        <v>240</v>
      </c>
      <c r="G51" s="23">
        <v>16.792137869116132</v>
      </c>
      <c r="H51" s="24">
        <v>7.8890777898302957</v>
      </c>
    </row>
    <row r="52" spans="1:8" x14ac:dyDescent="0.25">
      <c r="A52" s="34"/>
      <c r="B52" s="25" t="s">
        <v>241</v>
      </c>
      <c r="C52" s="81">
        <v>129.72508993400001</v>
      </c>
      <c r="D52" s="81">
        <v>146.077926281</v>
      </c>
      <c r="E52" s="81">
        <v>155.51724806600001</v>
      </c>
      <c r="F52" s="27"/>
      <c r="G52" s="28">
        <v>19.882166314259024</v>
      </c>
      <c r="H52" s="29">
        <v>6.4618399407192015</v>
      </c>
    </row>
    <row r="53" spans="1:8" x14ac:dyDescent="0.25">
      <c r="A53" s="30" t="s">
        <v>24</v>
      </c>
      <c r="B53" s="31" t="s">
        <v>3</v>
      </c>
      <c r="C53" s="79">
        <v>477.56627552399999</v>
      </c>
      <c r="D53" s="79">
        <v>579.74541845700003</v>
      </c>
      <c r="E53" s="82">
        <v>776.66271988453514</v>
      </c>
      <c r="F53" s="22" t="s">
        <v>240</v>
      </c>
      <c r="G53" s="23">
        <v>62.629306064871855</v>
      </c>
      <c r="H53" s="24">
        <v>33.966167762331452</v>
      </c>
    </row>
    <row r="54" spans="1:8" ht="13.8" thickBot="1" x14ac:dyDescent="0.3">
      <c r="A54" s="41"/>
      <c r="B54" s="42" t="s">
        <v>241</v>
      </c>
      <c r="C54" s="85">
        <v>225.75415649000001</v>
      </c>
      <c r="D54" s="85">
        <v>283.18481851500002</v>
      </c>
      <c r="E54" s="85">
        <v>375.20584179700001</v>
      </c>
      <c r="F54" s="44"/>
      <c r="G54" s="45">
        <v>66.201078035796911</v>
      </c>
      <c r="H54" s="46">
        <v>32.4950411411711</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G61" s="53"/>
      <c r="H61" s="219">
        <v>13</v>
      </c>
    </row>
    <row r="62" spans="1:8" ht="12.75" customHeight="1" x14ac:dyDescent="0.25">
      <c r="A62" s="54" t="s">
        <v>243</v>
      </c>
      <c r="G62" s="53"/>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1" t="s">
        <v>0</v>
      </c>
      <c r="B2" s="2"/>
      <c r="C2" s="2"/>
      <c r="D2" s="2"/>
      <c r="E2" s="2"/>
      <c r="F2" s="2"/>
      <c r="G2" s="2"/>
    </row>
    <row r="3" spans="1:8" ht="6" customHeight="1" x14ac:dyDescent="0.25">
      <c r="A3" s="3"/>
      <c r="B3" s="2"/>
      <c r="C3" s="2"/>
      <c r="D3" s="2"/>
      <c r="E3" s="2"/>
      <c r="F3" s="2"/>
      <c r="G3" s="2"/>
    </row>
    <row r="4" spans="1:8" ht="16.2" thickBot="1" x14ac:dyDescent="0.35">
      <c r="A4" s="4" t="s">
        <v>149</v>
      </c>
      <c r="B4" s="5"/>
      <c r="C4" s="5"/>
      <c r="D4" s="5"/>
      <c r="E4" s="5"/>
      <c r="F4" s="5"/>
      <c r="G4" s="5"/>
      <c r="H4" s="6"/>
    </row>
    <row r="5" spans="1:8" x14ac:dyDescent="0.25">
      <c r="A5" s="7"/>
      <c r="B5" s="8"/>
      <c r="C5" s="9"/>
      <c r="D5" s="8"/>
      <c r="E5" s="10"/>
      <c r="F5" s="11"/>
      <c r="G5" s="214" t="s">
        <v>1</v>
      </c>
      <c r="H5" s="215"/>
    </row>
    <row r="6" spans="1:8" x14ac:dyDescent="0.25">
      <c r="A6" s="12"/>
      <c r="B6" s="13"/>
      <c r="C6" s="204">
        <v>2016</v>
      </c>
      <c r="D6" s="205">
        <v>2017</v>
      </c>
      <c r="E6" s="205">
        <v>2018</v>
      </c>
      <c r="F6" s="16"/>
      <c r="G6" s="17" t="s">
        <v>238</v>
      </c>
      <c r="H6" s="18" t="s">
        <v>239</v>
      </c>
    </row>
    <row r="7" spans="1:8" x14ac:dyDescent="0.25">
      <c r="A7" s="216" t="s">
        <v>42</v>
      </c>
      <c r="B7" s="19" t="s">
        <v>3</v>
      </c>
      <c r="C7" s="20">
        <v>135636.54006907999</v>
      </c>
      <c r="D7" s="20">
        <v>154164.24328635001</v>
      </c>
      <c r="E7" s="21">
        <v>176702.70994948683</v>
      </c>
      <c r="F7" s="22" t="s">
        <v>240</v>
      </c>
      <c r="G7" s="23">
        <v>30.276627418755851</v>
      </c>
      <c r="H7" s="24">
        <v>14.619775755181493</v>
      </c>
    </row>
    <row r="8" spans="1:8" x14ac:dyDescent="0.25">
      <c r="A8" s="217"/>
      <c r="B8" s="25" t="s">
        <v>241</v>
      </c>
      <c r="C8" s="26">
        <v>61041.058319816999</v>
      </c>
      <c r="D8" s="26">
        <v>69216.435027458996</v>
      </c>
      <c r="E8" s="26">
        <v>79397.795165593998</v>
      </c>
      <c r="F8" s="27"/>
      <c r="G8" s="28">
        <v>30.072769625977259</v>
      </c>
      <c r="H8" s="29">
        <v>14.709454675173504</v>
      </c>
    </row>
    <row r="9" spans="1:8" x14ac:dyDescent="0.25">
      <c r="A9" s="30" t="s">
        <v>18</v>
      </c>
      <c r="B9" s="31" t="s">
        <v>3</v>
      </c>
      <c r="C9" s="20">
        <v>10335.766454119999</v>
      </c>
      <c r="D9" s="20">
        <v>9654.8295664630004</v>
      </c>
      <c r="E9" s="21">
        <v>9403.7126812967072</v>
      </c>
      <c r="F9" s="22" t="s">
        <v>240</v>
      </c>
      <c r="G9" s="32">
        <v>-9.0177518712389286</v>
      </c>
      <c r="H9" s="33">
        <v>-2.6009458109811874</v>
      </c>
    </row>
    <row r="10" spans="1:8" x14ac:dyDescent="0.25">
      <c r="A10" s="34"/>
      <c r="B10" s="25" t="s">
        <v>241</v>
      </c>
      <c r="C10" s="26">
        <v>3987.3642260870001</v>
      </c>
      <c r="D10" s="26">
        <v>3966.398034844</v>
      </c>
      <c r="E10" s="26">
        <v>3781.4303565219998</v>
      </c>
      <c r="F10" s="27"/>
      <c r="G10" s="35">
        <v>-5.1646616132455421</v>
      </c>
      <c r="H10" s="29">
        <v>-4.6633665279454277</v>
      </c>
    </row>
    <row r="11" spans="1:8" x14ac:dyDescent="0.25">
      <c r="A11" s="30" t="s">
        <v>19</v>
      </c>
      <c r="B11" s="31" t="s">
        <v>3</v>
      </c>
      <c r="C11" s="20">
        <v>6803.5548470659996</v>
      </c>
      <c r="D11" s="20">
        <v>6431.7652215440003</v>
      </c>
      <c r="E11" s="21">
        <v>7342.3699069166369</v>
      </c>
      <c r="F11" s="22" t="s">
        <v>240</v>
      </c>
      <c r="G11" s="37">
        <v>7.919610732365868</v>
      </c>
      <c r="H11" s="33">
        <v>14.157927940566807</v>
      </c>
    </row>
    <row r="12" spans="1:8" x14ac:dyDescent="0.25">
      <c r="A12" s="34"/>
      <c r="B12" s="25" t="s">
        <v>241</v>
      </c>
      <c r="C12" s="26">
        <v>2632.2140869569998</v>
      </c>
      <c r="D12" s="26">
        <v>2746.3267828150001</v>
      </c>
      <c r="E12" s="26">
        <v>3030.434521739</v>
      </c>
      <c r="F12" s="27"/>
      <c r="G12" s="28">
        <v>15.128725157852458</v>
      </c>
      <c r="H12" s="29">
        <v>10.345008492863613</v>
      </c>
    </row>
    <row r="13" spans="1:8" x14ac:dyDescent="0.25">
      <c r="A13" s="30" t="s">
        <v>20</v>
      </c>
      <c r="B13" s="31" t="s">
        <v>3</v>
      </c>
      <c r="C13" s="20">
        <v>22348.216593841</v>
      </c>
      <c r="D13" s="20">
        <v>20706.316772163998</v>
      </c>
      <c r="E13" s="21">
        <v>23143.323394352057</v>
      </c>
      <c r="F13" s="22" t="s">
        <v>240</v>
      </c>
      <c r="G13" s="23">
        <v>3.5578087279241117</v>
      </c>
      <c r="H13" s="24">
        <v>11.769387327562697</v>
      </c>
    </row>
    <row r="14" spans="1:8" x14ac:dyDescent="0.25">
      <c r="A14" s="34"/>
      <c r="B14" s="25" t="s">
        <v>241</v>
      </c>
      <c r="C14" s="26">
        <v>10404.578136646</v>
      </c>
      <c r="D14" s="26">
        <v>9026.6318013399996</v>
      </c>
      <c r="E14" s="26">
        <v>10307.68310559</v>
      </c>
      <c r="F14" s="27"/>
      <c r="G14" s="38">
        <v>-0.93127303945871631</v>
      </c>
      <c r="H14" s="24">
        <v>14.191908260397071</v>
      </c>
    </row>
    <row r="15" spans="1:8" x14ac:dyDescent="0.25">
      <c r="A15" s="30" t="s">
        <v>21</v>
      </c>
      <c r="B15" s="31" t="s">
        <v>3</v>
      </c>
      <c r="C15" s="20">
        <v>1871.35483987</v>
      </c>
      <c r="D15" s="20">
        <v>1533.384058548</v>
      </c>
      <c r="E15" s="21">
        <v>1060.2009607380628</v>
      </c>
      <c r="F15" s="22" t="s">
        <v>240</v>
      </c>
      <c r="G15" s="37">
        <v>-43.345808173306501</v>
      </c>
      <c r="H15" s="33">
        <v>-30.858746389864393</v>
      </c>
    </row>
    <row r="16" spans="1:8" x14ac:dyDescent="0.25">
      <c r="A16" s="34"/>
      <c r="B16" s="25" t="s">
        <v>241</v>
      </c>
      <c r="C16" s="26">
        <v>882.16862318799997</v>
      </c>
      <c r="D16" s="26">
        <v>877.18427539100003</v>
      </c>
      <c r="E16" s="26">
        <v>566.19923913000002</v>
      </c>
      <c r="F16" s="27"/>
      <c r="G16" s="28">
        <v>-35.81734554513433</v>
      </c>
      <c r="H16" s="29">
        <v>-35.452646038642243</v>
      </c>
    </row>
    <row r="17" spans="1:8" x14ac:dyDescent="0.25">
      <c r="A17" s="30" t="s">
        <v>22</v>
      </c>
      <c r="B17" s="31" t="s">
        <v>3</v>
      </c>
      <c r="C17" s="20">
        <v>5157.3548398700004</v>
      </c>
      <c r="D17" s="20">
        <v>5296.3840585480002</v>
      </c>
      <c r="E17" s="21">
        <v>6759.2099825130535</v>
      </c>
      <c r="F17" s="22" t="s">
        <v>240</v>
      </c>
      <c r="G17" s="37">
        <v>31.059626346816003</v>
      </c>
      <c r="H17" s="33">
        <v>27.619332506753409</v>
      </c>
    </row>
    <row r="18" spans="1:8" x14ac:dyDescent="0.25">
      <c r="A18" s="34"/>
      <c r="B18" s="25" t="s">
        <v>241</v>
      </c>
      <c r="C18" s="26">
        <v>1928.1686231880001</v>
      </c>
      <c r="D18" s="26">
        <v>2116.184275391</v>
      </c>
      <c r="E18" s="26">
        <v>2640.19923913</v>
      </c>
      <c r="F18" s="27"/>
      <c r="G18" s="28">
        <v>36.927818831775255</v>
      </c>
      <c r="H18" s="29">
        <v>24.762255812631423</v>
      </c>
    </row>
    <row r="19" spans="1:8" x14ac:dyDescent="0.25">
      <c r="A19" s="30" t="s">
        <v>190</v>
      </c>
      <c r="B19" s="31" t="s">
        <v>3</v>
      </c>
      <c r="C19" s="20">
        <v>64641.041484601999</v>
      </c>
      <c r="D19" s="20">
        <v>78412.291930410007</v>
      </c>
      <c r="E19" s="21">
        <v>92282.041018897071</v>
      </c>
      <c r="F19" s="22" t="s">
        <v>240</v>
      </c>
      <c r="G19" s="23">
        <v>42.760758334748317</v>
      </c>
      <c r="H19" s="24">
        <v>17.688233243834148</v>
      </c>
    </row>
    <row r="20" spans="1:8" x14ac:dyDescent="0.25">
      <c r="A20" s="30"/>
      <c r="B20" s="25" t="s">
        <v>241</v>
      </c>
      <c r="C20" s="26">
        <v>29321.445341614999</v>
      </c>
      <c r="D20" s="26">
        <v>35140.579503351</v>
      </c>
      <c r="E20" s="26">
        <v>41522.707763974999</v>
      </c>
      <c r="F20" s="27"/>
      <c r="G20" s="38">
        <v>41.612077031697794</v>
      </c>
      <c r="H20" s="24">
        <v>18.161704646946419</v>
      </c>
    </row>
    <row r="21" spans="1:8" x14ac:dyDescent="0.25">
      <c r="A21" s="39" t="s">
        <v>12</v>
      </c>
      <c r="B21" s="31" t="s">
        <v>3</v>
      </c>
      <c r="C21" s="20">
        <v>1255.2129039219999</v>
      </c>
      <c r="D21" s="20">
        <v>1364.2304351289999</v>
      </c>
      <c r="E21" s="21">
        <v>1497.9727118864553</v>
      </c>
      <c r="F21" s="22" t="s">
        <v>240</v>
      </c>
      <c r="G21" s="37">
        <v>19.340130045344139</v>
      </c>
      <c r="H21" s="33">
        <v>9.8034960453589974</v>
      </c>
    </row>
    <row r="22" spans="1:8" x14ac:dyDescent="0.25">
      <c r="A22" s="34"/>
      <c r="B22" s="25" t="s">
        <v>241</v>
      </c>
      <c r="C22" s="26">
        <v>571.10117391300003</v>
      </c>
      <c r="D22" s="26">
        <v>620.11056523499997</v>
      </c>
      <c r="E22" s="26">
        <v>681.11954347799997</v>
      </c>
      <c r="F22" s="27"/>
      <c r="G22" s="28">
        <v>19.264252043327062</v>
      </c>
      <c r="H22" s="29">
        <v>9.8384032885941508</v>
      </c>
    </row>
    <row r="23" spans="1:8" x14ac:dyDescent="0.25">
      <c r="A23" s="39" t="s">
        <v>23</v>
      </c>
      <c r="B23" s="31" t="s">
        <v>3</v>
      </c>
      <c r="C23" s="20">
        <v>4258.3548398700004</v>
      </c>
      <c r="D23" s="20">
        <v>4566.3840585480002</v>
      </c>
      <c r="E23" s="21">
        <v>4965.513748747916</v>
      </c>
      <c r="F23" s="22" t="s">
        <v>240</v>
      </c>
      <c r="G23" s="23">
        <v>16.606387571485314</v>
      </c>
      <c r="H23" s="24">
        <v>8.7406071211370886</v>
      </c>
    </row>
    <row r="24" spans="1:8" x14ac:dyDescent="0.25">
      <c r="A24" s="34"/>
      <c r="B24" s="25" t="s">
        <v>241</v>
      </c>
      <c r="C24" s="26">
        <v>2045.1686231880001</v>
      </c>
      <c r="D24" s="26">
        <v>2199.184275391</v>
      </c>
      <c r="E24" s="26">
        <v>2389.19923913</v>
      </c>
      <c r="F24" s="27"/>
      <c r="G24" s="28">
        <v>16.821625955014241</v>
      </c>
      <c r="H24" s="29">
        <v>8.6402474710863544</v>
      </c>
    </row>
    <row r="25" spans="1:8" x14ac:dyDescent="0.25">
      <c r="A25" s="30" t="s">
        <v>24</v>
      </c>
      <c r="B25" s="31" t="s">
        <v>3</v>
      </c>
      <c r="C25" s="20">
        <v>20760.709679741001</v>
      </c>
      <c r="D25" s="20">
        <v>27731.768117095999</v>
      </c>
      <c r="E25" s="21">
        <v>31901.22085847655</v>
      </c>
      <c r="F25" s="22" t="s">
        <v>240</v>
      </c>
      <c r="G25" s="23">
        <v>53.661514228518087</v>
      </c>
      <c r="H25" s="24">
        <v>15.034932946847263</v>
      </c>
    </row>
    <row r="26" spans="1:8" ht="13.8" thickBot="1" x14ac:dyDescent="0.3">
      <c r="A26" s="41"/>
      <c r="B26" s="42" t="s">
        <v>241</v>
      </c>
      <c r="C26" s="43">
        <v>9893.3372463769992</v>
      </c>
      <c r="D26" s="43">
        <v>13270.368550781999</v>
      </c>
      <c r="E26" s="43">
        <v>15244.398478261</v>
      </c>
      <c r="F26" s="44"/>
      <c r="G26" s="45">
        <v>54.087524751504787</v>
      </c>
      <c r="H26" s="46">
        <v>14.875471769491085</v>
      </c>
    </row>
    <row r="31" spans="1:8" x14ac:dyDescent="0.25">
      <c r="A31" s="47"/>
      <c r="B31" s="48"/>
      <c r="C31" s="49"/>
      <c r="D31" s="55"/>
      <c r="E31" s="49"/>
      <c r="F31" s="49"/>
      <c r="G31" s="50"/>
      <c r="H31" s="51"/>
    </row>
    <row r="32" spans="1:8" ht="16.8" thickBot="1" x14ac:dyDescent="0.4">
      <c r="A32" s="4" t="s">
        <v>43</v>
      </c>
      <c r="B32" s="5"/>
      <c r="C32" s="5"/>
      <c r="D32" s="5"/>
      <c r="E32" s="5"/>
      <c r="F32" s="5"/>
      <c r="G32" s="5"/>
      <c r="H32" s="6"/>
    </row>
    <row r="33" spans="1:8" x14ac:dyDescent="0.25">
      <c r="A33" s="7"/>
      <c r="B33" s="8"/>
      <c r="C33" s="220" t="s">
        <v>16</v>
      </c>
      <c r="D33" s="214"/>
      <c r="E33" s="214"/>
      <c r="F33" s="221"/>
      <c r="G33" s="214" t="s">
        <v>1</v>
      </c>
      <c r="H33" s="215"/>
    </row>
    <row r="34" spans="1:8" x14ac:dyDescent="0.25">
      <c r="A34" s="12"/>
      <c r="B34" s="13"/>
      <c r="C34" s="204">
        <v>2016</v>
      </c>
      <c r="D34" s="205">
        <v>2017</v>
      </c>
      <c r="E34" s="205">
        <v>2018</v>
      </c>
      <c r="F34" s="16"/>
      <c r="G34" s="17" t="s">
        <v>238</v>
      </c>
      <c r="H34" s="18" t="s">
        <v>239</v>
      </c>
    </row>
    <row r="35" spans="1:8" ht="12.75" customHeight="1" x14ac:dyDescent="0.25">
      <c r="A35" s="216" t="s">
        <v>42</v>
      </c>
      <c r="B35" s="19" t="s">
        <v>3</v>
      </c>
      <c r="C35" s="79">
        <v>1365.661892734</v>
      </c>
      <c r="D35" s="79">
        <v>1382.319529115</v>
      </c>
      <c r="E35" s="82">
        <v>1566.8186640434351</v>
      </c>
      <c r="F35" s="22" t="s">
        <v>240</v>
      </c>
      <c r="G35" s="23">
        <v>14.729617365739571</v>
      </c>
      <c r="H35" s="24">
        <v>13.347068535344846</v>
      </c>
    </row>
    <row r="36" spans="1:8" ht="12.75" customHeight="1" x14ac:dyDescent="0.25">
      <c r="A36" s="217"/>
      <c r="B36" s="25" t="s">
        <v>241</v>
      </c>
      <c r="C36" s="81">
        <v>612.58934535399999</v>
      </c>
      <c r="D36" s="81">
        <v>661.83725309399995</v>
      </c>
      <c r="E36" s="81">
        <v>733.69584512400002</v>
      </c>
      <c r="F36" s="27"/>
      <c r="G36" s="28">
        <v>19.769605966622805</v>
      </c>
      <c r="H36" s="29">
        <v>10.857441416914938</v>
      </c>
    </row>
    <row r="37" spans="1:8" x14ac:dyDescent="0.25">
      <c r="A37" s="30" t="s">
        <v>18</v>
      </c>
      <c r="B37" s="31" t="s">
        <v>3</v>
      </c>
      <c r="C37" s="79">
        <v>429.32155007400002</v>
      </c>
      <c r="D37" s="79">
        <v>442.97258612100001</v>
      </c>
      <c r="E37" s="82">
        <v>478.44885461347917</v>
      </c>
      <c r="F37" s="22" t="s">
        <v>240</v>
      </c>
      <c r="G37" s="32">
        <v>11.443009215589427</v>
      </c>
      <c r="H37" s="33">
        <v>8.0086826146818595</v>
      </c>
    </row>
    <row r="38" spans="1:8" x14ac:dyDescent="0.25">
      <c r="A38" s="34"/>
      <c r="B38" s="25" t="s">
        <v>241</v>
      </c>
      <c r="C38" s="81">
        <v>208.96809085500001</v>
      </c>
      <c r="D38" s="81">
        <v>229.662477043</v>
      </c>
      <c r="E38" s="81">
        <v>242.78198106400001</v>
      </c>
      <c r="F38" s="27"/>
      <c r="G38" s="35">
        <v>16.181365332213787</v>
      </c>
      <c r="H38" s="29">
        <v>5.7125152484285024</v>
      </c>
    </row>
    <row r="39" spans="1:8" x14ac:dyDescent="0.25">
      <c r="A39" s="30" t="s">
        <v>19</v>
      </c>
      <c r="B39" s="31" t="s">
        <v>3</v>
      </c>
      <c r="C39" s="79">
        <v>206.89560650799999</v>
      </c>
      <c r="D39" s="79">
        <v>139.92775588699999</v>
      </c>
      <c r="E39" s="82">
        <v>173.16332569777006</v>
      </c>
      <c r="F39" s="22" t="s">
        <v>240</v>
      </c>
      <c r="G39" s="37">
        <v>-16.304010210543353</v>
      </c>
      <c r="H39" s="33">
        <v>23.751949425680621</v>
      </c>
    </row>
    <row r="40" spans="1:8" x14ac:dyDescent="0.25">
      <c r="A40" s="34"/>
      <c r="B40" s="25" t="s">
        <v>241</v>
      </c>
      <c r="C40" s="81">
        <v>52.414600847999999</v>
      </c>
      <c r="D40" s="81">
        <v>55.494148508000002</v>
      </c>
      <c r="E40" s="81">
        <v>57.783624658000001</v>
      </c>
      <c r="F40" s="27"/>
      <c r="G40" s="28">
        <v>10.243374409298525</v>
      </c>
      <c r="H40" s="29">
        <v>4.1256172255169474</v>
      </c>
    </row>
    <row r="41" spans="1:8" x14ac:dyDescent="0.25">
      <c r="A41" s="30" t="s">
        <v>20</v>
      </c>
      <c r="B41" s="31" t="s">
        <v>3</v>
      </c>
      <c r="C41" s="79">
        <v>272.00910261600001</v>
      </c>
      <c r="D41" s="79">
        <v>246.863922788</v>
      </c>
      <c r="E41" s="82">
        <v>248.19725006477691</v>
      </c>
      <c r="F41" s="22" t="s">
        <v>240</v>
      </c>
      <c r="G41" s="23">
        <v>-8.7540645964479751</v>
      </c>
      <c r="H41" s="24">
        <v>0.54010616930928279</v>
      </c>
    </row>
    <row r="42" spans="1:8" x14ac:dyDescent="0.25">
      <c r="A42" s="34"/>
      <c r="B42" s="25" t="s">
        <v>241</v>
      </c>
      <c r="C42" s="81">
        <v>133.85634097299999</v>
      </c>
      <c r="D42" s="81">
        <v>112.553456457</v>
      </c>
      <c r="E42" s="81">
        <v>116.003425828</v>
      </c>
      <c r="F42" s="27"/>
      <c r="G42" s="38">
        <v>-13.337369761661918</v>
      </c>
      <c r="H42" s="24">
        <v>3.0651829624779481</v>
      </c>
    </row>
    <row r="43" spans="1:8" x14ac:dyDescent="0.25">
      <c r="A43" s="30" t="s">
        <v>21</v>
      </c>
      <c r="B43" s="31" t="s">
        <v>3</v>
      </c>
      <c r="C43" s="79">
        <v>9.4231151929999992</v>
      </c>
      <c r="D43" s="79">
        <v>8.9882224829999995</v>
      </c>
      <c r="E43" s="82">
        <v>27.6155379175487</v>
      </c>
      <c r="F43" s="22" t="s">
        <v>240</v>
      </c>
      <c r="G43" s="37">
        <v>193.06166115917824</v>
      </c>
      <c r="H43" s="33">
        <v>207.24137024622758</v>
      </c>
    </row>
    <row r="44" spans="1:8" x14ac:dyDescent="0.25">
      <c r="A44" s="34"/>
      <c r="B44" s="25" t="s">
        <v>241</v>
      </c>
      <c r="C44" s="81">
        <v>4.6739146800000002</v>
      </c>
      <c r="D44" s="81">
        <v>4.7521733499999996</v>
      </c>
      <c r="E44" s="81">
        <v>14.286629177</v>
      </c>
      <c r="F44" s="27"/>
      <c r="G44" s="28">
        <v>205.66730792355838</v>
      </c>
      <c r="H44" s="29">
        <v>200.63358646207638</v>
      </c>
    </row>
    <row r="45" spans="1:8" x14ac:dyDescent="0.25">
      <c r="A45" s="30" t="s">
        <v>22</v>
      </c>
      <c r="B45" s="31" t="s">
        <v>3</v>
      </c>
      <c r="C45" s="79">
        <v>23.602795477000001</v>
      </c>
      <c r="D45" s="79">
        <v>24.568454492000001</v>
      </c>
      <c r="E45" s="82">
        <v>30.444724569822739</v>
      </c>
      <c r="F45" s="22" t="s">
        <v>240</v>
      </c>
      <c r="G45" s="37">
        <v>28.987791295696013</v>
      </c>
      <c r="H45" s="33">
        <v>23.917947625627704</v>
      </c>
    </row>
    <row r="46" spans="1:8" x14ac:dyDescent="0.25">
      <c r="A46" s="34"/>
      <c r="B46" s="25" t="s">
        <v>241</v>
      </c>
      <c r="C46" s="81">
        <v>9.4795169880000003</v>
      </c>
      <c r="D46" s="81">
        <v>9.9519347790000001</v>
      </c>
      <c r="E46" s="81">
        <v>12.297096324</v>
      </c>
      <c r="F46" s="27"/>
      <c r="G46" s="28">
        <v>29.72281540891521</v>
      </c>
      <c r="H46" s="29">
        <v>23.564880569239904</v>
      </c>
    </row>
    <row r="47" spans="1:8" x14ac:dyDescent="0.25">
      <c r="A47" s="30" t="s">
        <v>190</v>
      </c>
      <c r="B47" s="31" t="s">
        <v>3</v>
      </c>
      <c r="C47" s="79">
        <v>233.15142418299999</v>
      </c>
      <c r="D47" s="79">
        <v>265.384559319</v>
      </c>
      <c r="E47" s="82">
        <v>311.45580134597083</v>
      </c>
      <c r="F47" s="22" t="s">
        <v>240</v>
      </c>
      <c r="G47" s="23">
        <v>33.585202165228878</v>
      </c>
      <c r="H47" s="24">
        <v>17.360181822632654</v>
      </c>
    </row>
    <row r="48" spans="1:8" x14ac:dyDescent="0.25">
      <c r="A48" s="30"/>
      <c r="B48" s="25" t="s">
        <v>241</v>
      </c>
      <c r="C48" s="81">
        <v>110.255762565</v>
      </c>
      <c r="D48" s="81">
        <v>128.12103210699999</v>
      </c>
      <c r="E48" s="81">
        <v>149.322985934</v>
      </c>
      <c r="F48" s="27"/>
      <c r="G48" s="38">
        <v>35.433271205183843</v>
      </c>
      <c r="H48" s="24">
        <v>16.548378886999004</v>
      </c>
    </row>
    <row r="49" spans="1:8" x14ac:dyDescent="0.25">
      <c r="A49" s="39" t="s">
        <v>12</v>
      </c>
      <c r="B49" s="31" t="s">
        <v>3</v>
      </c>
      <c r="C49" s="79">
        <v>13.56127234</v>
      </c>
      <c r="D49" s="79">
        <v>11.175463042000001</v>
      </c>
      <c r="E49" s="82">
        <v>15.307797719393575</v>
      </c>
      <c r="F49" s="22" t="s">
        <v>240</v>
      </c>
      <c r="G49" s="37">
        <v>12.878772253854564</v>
      </c>
      <c r="H49" s="33">
        <v>36.976854219492253</v>
      </c>
    </row>
    <row r="50" spans="1:8" x14ac:dyDescent="0.25">
      <c r="A50" s="34"/>
      <c r="B50" s="25" t="s">
        <v>241</v>
      </c>
      <c r="C50" s="81">
        <v>6.2161308809999998</v>
      </c>
      <c r="D50" s="81">
        <v>8.4809494230000002</v>
      </c>
      <c r="E50" s="81">
        <v>9.5335032490000007</v>
      </c>
      <c r="F50" s="27"/>
      <c r="G50" s="28">
        <v>53.367157666190081</v>
      </c>
      <c r="H50" s="29">
        <v>12.410801827747207</v>
      </c>
    </row>
    <row r="51" spans="1:8" x14ac:dyDescent="0.25">
      <c r="A51" s="39" t="s">
        <v>23</v>
      </c>
      <c r="B51" s="31" t="s">
        <v>3</v>
      </c>
      <c r="C51" s="79">
        <v>86.480130617</v>
      </c>
      <c r="D51" s="79">
        <v>97.447353648999993</v>
      </c>
      <c r="E51" s="82">
        <v>99.918412203265547</v>
      </c>
      <c r="F51" s="22" t="s">
        <v>240</v>
      </c>
      <c r="G51" s="23">
        <v>15.53915505259873</v>
      </c>
      <c r="H51" s="24">
        <v>2.5357882607732734</v>
      </c>
    </row>
    <row r="52" spans="1:8" x14ac:dyDescent="0.25">
      <c r="A52" s="34"/>
      <c r="B52" s="25" t="s">
        <v>241</v>
      </c>
      <c r="C52" s="81">
        <v>42.019468586999999</v>
      </c>
      <c r="D52" s="81">
        <v>45.456790511999998</v>
      </c>
      <c r="E52" s="81">
        <v>47.238515454000002</v>
      </c>
      <c r="F52" s="27"/>
      <c r="G52" s="38">
        <v>12.420544672510857</v>
      </c>
      <c r="H52" s="24">
        <v>3.9196012783385044</v>
      </c>
    </row>
    <row r="53" spans="1:8" x14ac:dyDescent="0.25">
      <c r="A53" s="30" t="s">
        <v>24</v>
      </c>
      <c r="B53" s="31" t="s">
        <v>3</v>
      </c>
      <c r="C53" s="79">
        <v>91.216895726999994</v>
      </c>
      <c r="D53" s="79">
        <v>144.991211333</v>
      </c>
      <c r="E53" s="82">
        <v>178.61008939979681</v>
      </c>
      <c r="F53" s="22" t="s">
        <v>240</v>
      </c>
      <c r="G53" s="37">
        <v>95.808120827037328</v>
      </c>
      <c r="H53" s="33">
        <v>23.18683853849916</v>
      </c>
    </row>
    <row r="54" spans="1:8" ht="13.8" thickBot="1" x14ac:dyDescent="0.3">
      <c r="A54" s="41"/>
      <c r="B54" s="42" t="s">
        <v>241</v>
      </c>
      <c r="C54" s="85">
        <v>44.705518976</v>
      </c>
      <c r="D54" s="85">
        <v>67.364290913999994</v>
      </c>
      <c r="E54" s="85">
        <v>84.448083436000005</v>
      </c>
      <c r="F54" s="44"/>
      <c r="G54" s="45">
        <v>88.898564137764879</v>
      </c>
      <c r="H54" s="46">
        <v>25.360309282866012</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H61" s="209">
        <v>14</v>
      </c>
    </row>
    <row r="62" spans="1:8" ht="12.75" customHeight="1" x14ac:dyDescent="0.25">
      <c r="A62" s="54" t="s">
        <v>243</v>
      </c>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1" t="s">
        <v>0</v>
      </c>
      <c r="B2" s="2"/>
      <c r="C2" s="2"/>
      <c r="D2" s="2"/>
      <c r="E2" s="2"/>
      <c r="F2" s="2"/>
      <c r="G2" s="2"/>
    </row>
    <row r="3" spans="1:8" ht="6" customHeight="1" x14ac:dyDescent="0.25">
      <c r="A3" s="3"/>
      <c r="B3" s="2"/>
      <c r="C3" s="2"/>
      <c r="D3" s="2"/>
      <c r="E3" s="2"/>
      <c r="F3" s="2"/>
      <c r="G3" s="2"/>
    </row>
    <row r="4" spans="1:8" ht="16.2" thickBot="1" x14ac:dyDescent="0.35">
      <c r="A4" s="4" t="s">
        <v>150</v>
      </c>
      <c r="B4" s="5"/>
      <c r="C4" s="5"/>
      <c r="D4" s="5"/>
      <c r="E4" s="5"/>
      <c r="F4" s="5"/>
      <c r="G4" s="5"/>
      <c r="H4" s="6"/>
    </row>
    <row r="5" spans="1:8" x14ac:dyDescent="0.25">
      <c r="A5" s="7"/>
      <c r="B5" s="8"/>
      <c r="C5" s="9"/>
      <c r="D5" s="8"/>
      <c r="E5" s="10"/>
      <c r="F5" s="11"/>
      <c r="G5" s="214" t="s">
        <v>1</v>
      </c>
      <c r="H5" s="215"/>
    </row>
    <row r="6" spans="1:8" x14ac:dyDescent="0.25">
      <c r="A6" s="12"/>
      <c r="B6" s="13"/>
      <c r="C6" s="204">
        <v>2016</v>
      </c>
      <c r="D6" s="205">
        <v>2017</v>
      </c>
      <c r="E6" s="205">
        <v>2018</v>
      </c>
      <c r="F6" s="16"/>
      <c r="G6" s="17" t="s">
        <v>238</v>
      </c>
      <c r="H6" s="18" t="s">
        <v>239</v>
      </c>
    </row>
    <row r="7" spans="1:8" x14ac:dyDescent="0.25">
      <c r="A7" s="216" t="s">
        <v>44</v>
      </c>
      <c r="B7" s="19" t="s">
        <v>3</v>
      </c>
      <c r="C7" s="20">
        <v>110745.20394415699</v>
      </c>
      <c r="D7" s="20">
        <v>110274.261442823</v>
      </c>
      <c r="E7" s="21">
        <v>136116.85514847963</v>
      </c>
      <c r="F7" s="22" t="s">
        <v>240</v>
      </c>
      <c r="G7" s="23">
        <v>22.909932259564243</v>
      </c>
      <c r="H7" s="24">
        <v>23.434837257156289</v>
      </c>
    </row>
    <row r="8" spans="1:8" x14ac:dyDescent="0.25">
      <c r="A8" s="217"/>
      <c r="B8" s="25" t="s">
        <v>241</v>
      </c>
      <c r="C8" s="26">
        <v>52562.962486265998</v>
      </c>
      <c r="D8" s="26">
        <v>52500.265517266002</v>
      </c>
      <c r="E8" s="26">
        <v>64737.309980990001</v>
      </c>
      <c r="F8" s="27"/>
      <c r="G8" s="28">
        <v>23.161456125889018</v>
      </c>
      <c r="H8" s="29">
        <v>23.308538239105744</v>
      </c>
    </row>
    <row r="9" spans="1:8" x14ac:dyDescent="0.25">
      <c r="A9" s="30" t="s">
        <v>18</v>
      </c>
      <c r="B9" s="31" t="s">
        <v>3</v>
      </c>
      <c r="C9" s="20">
        <v>11306.750091579999</v>
      </c>
      <c r="D9" s="20">
        <v>11102.81945597</v>
      </c>
      <c r="E9" s="21">
        <v>12228.947566171082</v>
      </c>
      <c r="F9" s="22" t="s">
        <v>240</v>
      </c>
      <c r="G9" s="32">
        <v>8.156167485101065</v>
      </c>
      <c r="H9" s="33">
        <v>10.142721987571917</v>
      </c>
    </row>
    <row r="10" spans="1:8" x14ac:dyDescent="0.25">
      <c r="A10" s="34"/>
      <c r="B10" s="25" t="s">
        <v>241</v>
      </c>
      <c r="C10" s="26">
        <v>4819.7791652169999</v>
      </c>
      <c r="D10" s="26">
        <v>4871.9730856440001</v>
      </c>
      <c r="E10" s="26">
        <v>5314.0540521740004</v>
      </c>
      <c r="F10" s="27"/>
      <c r="G10" s="35">
        <v>10.255135557331016</v>
      </c>
      <c r="H10" s="29">
        <v>9.0739615913039131</v>
      </c>
    </row>
    <row r="11" spans="1:8" x14ac:dyDescent="0.25">
      <c r="A11" s="30" t="s">
        <v>19</v>
      </c>
      <c r="B11" s="31" t="s">
        <v>3</v>
      </c>
      <c r="C11" s="20">
        <v>49166.166971933999</v>
      </c>
      <c r="D11" s="20">
        <v>49201.064853235002</v>
      </c>
      <c r="E11" s="21">
        <v>62283.1448294648</v>
      </c>
      <c r="F11" s="22" t="s">
        <v>240</v>
      </c>
      <c r="G11" s="37">
        <v>26.67887017716572</v>
      </c>
      <c r="H11" s="33">
        <v>26.589017971975125</v>
      </c>
    </row>
    <row r="12" spans="1:8" x14ac:dyDescent="0.25">
      <c r="A12" s="34"/>
      <c r="B12" s="25" t="s">
        <v>241</v>
      </c>
      <c r="C12" s="26">
        <v>22954.597217391001</v>
      </c>
      <c r="D12" s="26">
        <v>22622.576952144998</v>
      </c>
      <c r="E12" s="26">
        <v>28783.180173912999</v>
      </c>
      <c r="F12" s="27"/>
      <c r="G12" s="28">
        <v>25.391789284397078</v>
      </c>
      <c r="H12" s="29">
        <v>27.232101960797507</v>
      </c>
    </row>
    <row r="13" spans="1:8" x14ac:dyDescent="0.25">
      <c r="A13" s="30" t="s">
        <v>20</v>
      </c>
      <c r="B13" s="31" t="s">
        <v>3</v>
      </c>
      <c r="C13" s="20">
        <v>4341.9366533020002</v>
      </c>
      <c r="D13" s="20">
        <v>3289.2213586829998</v>
      </c>
      <c r="E13" s="21">
        <v>2928.0699964984697</v>
      </c>
      <c r="F13" s="22" t="s">
        <v>240</v>
      </c>
      <c r="G13" s="23">
        <v>-32.563042017858521</v>
      </c>
      <c r="H13" s="24">
        <v>-10.979843640840727</v>
      </c>
    </row>
    <row r="14" spans="1:8" x14ac:dyDescent="0.25">
      <c r="A14" s="34"/>
      <c r="B14" s="25" t="s">
        <v>241</v>
      </c>
      <c r="C14" s="26">
        <v>2112.5224844720001</v>
      </c>
      <c r="D14" s="26">
        <v>1616.41759626</v>
      </c>
      <c r="E14" s="26">
        <v>1434.1334161489999</v>
      </c>
      <c r="F14" s="27"/>
      <c r="G14" s="38">
        <v>-32.112750198375068</v>
      </c>
      <c r="H14" s="24">
        <v>-11.277047498911273</v>
      </c>
    </row>
    <row r="15" spans="1:8" x14ac:dyDescent="0.25">
      <c r="A15" s="30" t="s">
        <v>21</v>
      </c>
      <c r="B15" s="31" t="s">
        <v>3</v>
      </c>
      <c r="C15" s="20">
        <v>2942.6065238800002</v>
      </c>
      <c r="D15" s="20">
        <v>2811.564562949</v>
      </c>
      <c r="E15" s="21">
        <v>2669.4570133969169</v>
      </c>
      <c r="F15" s="22" t="s">
        <v>240</v>
      </c>
      <c r="G15" s="37">
        <v>-9.2825700026967723</v>
      </c>
      <c r="H15" s="33">
        <v>-5.054393963588339</v>
      </c>
    </row>
    <row r="16" spans="1:8" x14ac:dyDescent="0.25">
      <c r="A16" s="34"/>
      <c r="B16" s="25" t="s">
        <v>241</v>
      </c>
      <c r="C16" s="26">
        <v>1488.527391304</v>
      </c>
      <c r="D16" s="26">
        <v>1464.080132242</v>
      </c>
      <c r="E16" s="26">
        <v>1376.5805797099999</v>
      </c>
      <c r="F16" s="27"/>
      <c r="G16" s="28">
        <v>-7.520641692453566</v>
      </c>
      <c r="H16" s="29">
        <v>-5.976418271451351</v>
      </c>
    </row>
    <row r="17" spans="1:8" x14ac:dyDescent="0.25">
      <c r="A17" s="30" t="s">
        <v>22</v>
      </c>
      <c r="B17" s="31" t="s">
        <v>3</v>
      </c>
      <c r="C17" s="20">
        <v>587.60652388000005</v>
      </c>
      <c r="D17" s="20">
        <v>492.56456294899999</v>
      </c>
      <c r="E17" s="21">
        <v>414.45786012241751</v>
      </c>
      <c r="F17" s="22" t="s">
        <v>240</v>
      </c>
      <c r="G17" s="37">
        <v>-29.466770146504132</v>
      </c>
      <c r="H17" s="33">
        <v>-15.857150250305281</v>
      </c>
    </row>
    <row r="18" spans="1:8" x14ac:dyDescent="0.25">
      <c r="A18" s="34"/>
      <c r="B18" s="25" t="s">
        <v>241</v>
      </c>
      <c r="C18" s="26">
        <v>225.52739130399999</v>
      </c>
      <c r="D18" s="26">
        <v>222.08013224199999</v>
      </c>
      <c r="E18" s="26">
        <v>176.58057970999999</v>
      </c>
      <c r="F18" s="27"/>
      <c r="G18" s="28">
        <v>-21.703266867491962</v>
      </c>
      <c r="H18" s="29">
        <v>-20.487898702446415</v>
      </c>
    </row>
    <row r="19" spans="1:8" x14ac:dyDescent="0.25">
      <c r="A19" s="30" t="s">
        <v>190</v>
      </c>
      <c r="B19" s="31" t="s">
        <v>3</v>
      </c>
      <c r="C19" s="20">
        <v>30023.341633255</v>
      </c>
      <c r="D19" s="20">
        <v>29414.553396708001</v>
      </c>
      <c r="E19" s="21">
        <v>41503.054511762391</v>
      </c>
      <c r="F19" s="22" t="s">
        <v>240</v>
      </c>
      <c r="G19" s="23">
        <v>38.235959936558231</v>
      </c>
      <c r="H19" s="24">
        <v>41.097007158392898</v>
      </c>
    </row>
    <row r="20" spans="1:8" x14ac:dyDescent="0.25">
      <c r="A20" s="30"/>
      <c r="B20" s="25" t="s">
        <v>241</v>
      </c>
      <c r="C20" s="26">
        <v>14344.806211180001</v>
      </c>
      <c r="D20" s="26">
        <v>14629.543990648999</v>
      </c>
      <c r="E20" s="26">
        <v>20363.833540373002</v>
      </c>
      <c r="F20" s="27"/>
      <c r="G20" s="38">
        <v>41.95962803946361</v>
      </c>
      <c r="H20" s="24">
        <v>39.196639029824041</v>
      </c>
    </row>
    <row r="21" spans="1:8" x14ac:dyDescent="0.25">
      <c r="A21" s="39" t="s">
        <v>12</v>
      </c>
      <c r="B21" s="31" t="s">
        <v>3</v>
      </c>
      <c r="C21" s="20">
        <v>423.763914328</v>
      </c>
      <c r="D21" s="20">
        <v>397.33873777000002</v>
      </c>
      <c r="E21" s="21">
        <v>429.80186066860222</v>
      </c>
      <c r="F21" s="22" t="s">
        <v>240</v>
      </c>
      <c r="G21" s="37">
        <v>1.4248373059742647</v>
      </c>
      <c r="H21" s="33">
        <v>8.1701379233236224</v>
      </c>
    </row>
    <row r="22" spans="1:8" x14ac:dyDescent="0.25">
      <c r="A22" s="34"/>
      <c r="B22" s="25" t="s">
        <v>241</v>
      </c>
      <c r="C22" s="26">
        <v>200.71643478300001</v>
      </c>
      <c r="D22" s="26">
        <v>173.04807934499999</v>
      </c>
      <c r="E22" s="26">
        <v>192.34834782600001</v>
      </c>
      <c r="F22" s="27"/>
      <c r="G22" s="28">
        <v>-4.1691090049735919</v>
      </c>
      <c r="H22" s="29">
        <v>11.15312493155254</v>
      </c>
    </row>
    <row r="23" spans="1:8" x14ac:dyDescent="0.25">
      <c r="A23" s="39" t="s">
        <v>23</v>
      </c>
      <c r="B23" s="31" t="s">
        <v>3</v>
      </c>
      <c r="C23" s="20">
        <v>6162.6065238800002</v>
      </c>
      <c r="D23" s="20">
        <v>6183.564562949</v>
      </c>
      <c r="E23" s="21">
        <v>6190.3985977767479</v>
      </c>
      <c r="F23" s="22" t="s">
        <v>240</v>
      </c>
      <c r="G23" s="23">
        <v>0.45097920480650089</v>
      </c>
      <c r="H23" s="24">
        <v>0.11051934136334296</v>
      </c>
    </row>
    <row r="24" spans="1:8" x14ac:dyDescent="0.25">
      <c r="A24" s="34"/>
      <c r="B24" s="25" t="s">
        <v>241</v>
      </c>
      <c r="C24" s="26">
        <v>2934.527391304</v>
      </c>
      <c r="D24" s="26">
        <v>3078.0801322420002</v>
      </c>
      <c r="E24" s="26">
        <v>3035.5805797100002</v>
      </c>
      <c r="F24" s="27"/>
      <c r="G24" s="28">
        <v>3.4435932922437473</v>
      </c>
      <c r="H24" s="29">
        <v>-1.3807162486391888</v>
      </c>
    </row>
    <row r="25" spans="1:8" x14ac:dyDescent="0.25">
      <c r="A25" s="30" t="s">
        <v>24</v>
      </c>
      <c r="B25" s="31" t="s">
        <v>3</v>
      </c>
      <c r="C25" s="20">
        <v>10837.213047759</v>
      </c>
      <c r="D25" s="20">
        <v>11500.129125899</v>
      </c>
      <c r="E25" s="21">
        <v>15175.865226710983</v>
      </c>
      <c r="F25" s="22" t="s">
        <v>240</v>
      </c>
      <c r="G25" s="23">
        <v>40.034759488733698</v>
      </c>
      <c r="H25" s="24">
        <v>31.962563729254128</v>
      </c>
    </row>
    <row r="26" spans="1:8" ht="13.8" thickBot="1" x14ac:dyDescent="0.3">
      <c r="A26" s="41"/>
      <c r="B26" s="42" t="s">
        <v>241</v>
      </c>
      <c r="C26" s="43">
        <v>5064.0547826089996</v>
      </c>
      <c r="D26" s="43">
        <v>5474.160264485</v>
      </c>
      <c r="E26" s="43">
        <v>7179.1611594200003</v>
      </c>
      <c r="F26" s="44"/>
      <c r="G26" s="45">
        <v>41.767051653443957</v>
      </c>
      <c r="H26" s="46">
        <v>31.146345970113885</v>
      </c>
    </row>
    <row r="31" spans="1:8" x14ac:dyDescent="0.25">
      <c r="A31" s="47"/>
      <c r="B31" s="48"/>
      <c r="C31" s="49"/>
      <c r="D31" s="55"/>
      <c r="E31" s="49"/>
      <c r="F31" s="49"/>
      <c r="G31" s="50"/>
      <c r="H31" s="51"/>
    </row>
    <row r="32" spans="1:8" ht="16.8" thickBot="1" x14ac:dyDescent="0.4">
      <c r="A32" s="4" t="s">
        <v>99</v>
      </c>
      <c r="B32" s="5"/>
      <c r="C32" s="5"/>
      <c r="D32" s="5"/>
      <c r="E32" s="5"/>
      <c r="F32" s="5"/>
      <c r="G32" s="5"/>
      <c r="H32" s="6"/>
    </row>
    <row r="33" spans="1:8" x14ac:dyDescent="0.25">
      <c r="A33" s="7"/>
      <c r="B33" s="8"/>
      <c r="C33" s="220" t="s">
        <v>16</v>
      </c>
      <c r="D33" s="214"/>
      <c r="E33" s="214"/>
      <c r="F33" s="221"/>
      <c r="G33" s="214" t="s">
        <v>1</v>
      </c>
      <c r="H33" s="215"/>
    </row>
    <row r="34" spans="1:8" x14ac:dyDescent="0.25">
      <c r="A34" s="12"/>
      <c r="B34" s="13"/>
      <c r="C34" s="204">
        <v>2016</v>
      </c>
      <c r="D34" s="205">
        <v>2017</v>
      </c>
      <c r="E34" s="205">
        <v>2018</v>
      </c>
      <c r="F34" s="16"/>
      <c r="G34" s="17" t="s">
        <v>238</v>
      </c>
      <c r="H34" s="18" t="s">
        <v>239</v>
      </c>
    </row>
    <row r="35" spans="1:8" ht="12.75" customHeight="1" x14ac:dyDescent="0.25">
      <c r="A35" s="216" t="s">
        <v>44</v>
      </c>
      <c r="B35" s="19" t="s">
        <v>3</v>
      </c>
      <c r="C35" s="79">
        <v>5043.1056053210004</v>
      </c>
      <c r="D35" s="79">
        <v>4897.4303161549997</v>
      </c>
      <c r="E35" s="82">
        <v>6488.904283220596</v>
      </c>
      <c r="F35" s="22" t="s">
        <v>240</v>
      </c>
      <c r="G35" s="23">
        <v>28.668816222569831</v>
      </c>
      <c r="H35" s="24">
        <v>32.496102329743223</v>
      </c>
    </row>
    <row r="36" spans="1:8" ht="12.75" customHeight="1" x14ac:dyDescent="0.25">
      <c r="A36" s="217"/>
      <c r="B36" s="25" t="s">
        <v>241</v>
      </c>
      <c r="C36" s="81">
        <v>2252.6142814159998</v>
      </c>
      <c r="D36" s="81">
        <v>2377.2990657680002</v>
      </c>
      <c r="E36" s="81">
        <v>3061.312952404</v>
      </c>
      <c r="F36" s="27"/>
      <c r="G36" s="28">
        <v>35.900450319423982</v>
      </c>
      <c r="H36" s="29">
        <v>28.772731899216268</v>
      </c>
    </row>
    <row r="37" spans="1:8" x14ac:dyDescent="0.25">
      <c r="A37" s="30" t="s">
        <v>18</v>
      </c>
      <c r="B37" s="31" t="s">
        <v>3</v>
      </c>
      <c r="C37" s="79">
        <v>1839.5446309690001</v>
      </c>
      <c r="D37" s="79">
        <v>1802.878546854</v>
      </c>
      <c r="E37" s="82">
        <v>2146.5176090759351</v>
      </c>
      <c r="F37" s="22" t="s">
        <v>240</v>
      </c>
      <c r="G37" s="32">
        <v>16.687443889047344</v>
      </c>
      <c r="H37" s="33">
        <v>19.060577476035803</v>
      </c>
    </row>
    <row r="38" spans="1:8" x14ac:dyDescent="0.25">
      <c r="A38" s="34"/>
      <c r="B38" s="25" t="s">
        <v>241</v>
      </c>
      <c r="C38" s="81">
        <v>918.28339008900002</v>
      </c>
      <c r="D38" s="81">
        <v>932.21237006700005</v>
      </c>
      <c r="E38" s="81">
        <v>1096.8036028619999</v>
      </c>
      <c r="F38" s="27"/>
      <c r="G38" s="35">
        <v>19.440644870609901</v>
      </c>
      <c r="H38" s="29">
        <v>17.6559803409571</v>
      </c>
    </row>
    <row r="39" spans="1:8" x14ac:dyDescent="0.25">
      <c r="A39" s="30" t="s">
        <v>19</v>
      </c>
      <c r="B39" s="31" t="s">
        <v>3</v>
      </c>
      <c r="C39" s="79">
        <v>2283.2039715880001</v>
      </c>
      <c r="D39" s="79">
        <v>2124.9045713999999</v>
      </c>
      <c r="E39" s="82">
        <v>2830.2411203582978</v>
      </c>
      <c r="F39" s="22" t="s">
        <v>240</v>
      </c>
      <c r="G39" s="37">
        <v>23.959188735548054</v>
      </c>
      <c r="H39" s="33">
        <v>33.193798839332572</v>
      </c>
    </row>
    <row r="40" spans="1:8" x14ac:dyDescent="0.25">
      <c r="A40" s="34"/>
      <c r="B40" s="25" t="s">
        <v>241</v>
      </c>
      <c r="C40" s="81">
        <v>916.61999870800003</v>
      </c>
      <c r="D40" s="81">
        <v>964.46020100299995</v>
      </c>
      <c r="E40" s="81">
        <v>1231.0200853240001</v>
      </c>
      <c r="F40" s="27"/>
      <c r="G40" s="28">
        <v>34.299937494180284</v>
      </c>
      <c r="H40" s="29">
        <v>27.63824614471271</v>
      </c>
    </row>
    <row r="41" spans="1:8" x14ac:dyDescent="0.25">
      <c r="A41" s="30" t="s">
        <v>20</v>
      </c>
      <c r="B41" s="31" t="s">
        <v>3</v>
      </c>
      <c r="C41" s="79">
        <v>76.574071103999998</v>
      </c>
      <c r="D41" s="79">
        <v>57.244954894000003</v>
      </c>
      <c r="E41" s="82">
        <v>52.565746130068561</v>
      </c>
      <c r="F41" s="22" t="s">
        <v>240</v>
      </c>
      <c r="G41" s="23">
        <v>-31.353073733436801</v>
      </c>
      <c r="H41" s="24">
        <v>-8.1740107448698183</v>
      </c>
    </row>
    <row r="42" spans="1:8" x14ac:dyDescent="0.25">
      <c r="A42" s="34"/>
      <c r="B42" s="25" t="s">
        <v>241</v>
      </c>
      <c r="C42" s="81">
        <v>39.529646692999997</v>
      </c>
      <c r="D42" s="81">
        <v>32.376885047000002</v>
      </c>
      <c r="E42" s="81">
        <v>28.812136148</v>
      </c>
      <c r="F42" s="27"/>
      <c r="G42" s="38">
        <v>-27.112588757080587</v>
      </c>
      <c r="H42" s="24">
        <v>-11.010166338809995</v>
      </c>
    </row>
    <row r="43" spans="1:8" x14ac:dyDescent="0.25">
      <c r="A43" s="30" t="s">
        <v>21</v>
      </c>
      <c r="B43" s="31" t="s">
        <v>3</v>
      </c>
      <c r="C43" s="79">
        <v>21.809884699000001</v>
      </c>
      <c r="D43" s="79">
        <v>25.130934273000001</v>
      </c>
      <c r="E43" s="82">
        <v>25.897384726744328</v>
      </c>
      <c r="F43" s="22" t="s">
        <v>240</v>
      </c>
      <c r="G43" s="37">
        <v>18.741502232387973</v>
      </c>
      <c r="H43" s="33">
        <v>3.0498287306723029</v>
      </c>
    </row>
    <row r="44" spans="1:8" x14ac:dyDescent="0.25">
      <c r="A44" s="34"/>
      <c r="B44" s="25" t="s">
        <v>241</v>
      </c>
      <c r="C44" s="81">
        <v>11.322454045000001</v>
      </c>
      <c r="D44" s="81">
        <v>13.407229374</v>
      </c>
      <c r="E44" s="81">
        <v>13.689972787</v>
      </c>
      <c r="F44" s="27"/>
      <c r="G44" s="28">
        <v>20.909943485665977</v>
      </c>
      <c r="H44" s="29">
        <v>2.1088877135816801</v>
      </c>
    </row>
    <row r="45" spans="1:8" x14ac:dyDescent="0.25">
      <c r="A45" s="30" t="s">
        <v>22</v>
      </c>
      <c r="B45" s="31" t="s">
        <v>3</v>
      </c>
      <c r="C45" s="79">
        <v>3.8347147189999999</v>
      </c>
      <c r="D45" s="79">
        <v>3.1847164879999998</v>
      </c>
      <c r="E45" s="82">
        <v>3.0554010901033744</v>
      </c>
      <c r="F45" s="22" t="s">
        <v>240</v>
      </c>
      <c r="G45" s="37">
        <v>-20.32259727262975</v>
      </c>
      <c r="H45" s="33">
        <v>-4.060499525903964</v>
      </c>
    </row>
    <row r="46" spans="1:8" x14ac:dyDescent="0.25">
      <c r="A46" s="34"/>
      <c r="B46" s="25" t="s">
        <v>241</v>
      </c>
      <c r="C46" s="81">
        <v>1.4777054270000001</v>
      </c>
      <c r="D46" s="81">
        <v>1.5528044240000001</v>
      </c>
      <c r="E46" s="81">
        <v>1.3687158070000001</v>
      </c>
      <c r="F46" s="27"/>
      <c r="G46" s="28">
        <v>-7.3755985468137624</v>
      </c>
      <c r="H46" s="29">
        <v>-11.855235221818248</v>
      </c>
    </row>
    <row r="47" spans="1:8" x14ac:dyDescent="0.25">
      <c r="A47" s="30" t="s">
        <v>190</v>
      </c>
      <c r="B47" s="31" t="s">
        <v>3</v>
      </c>
      <c r="C47" s="79">
        <v>406.92351700299997</v>
      </c>
      <c r="D47" s="79">
        <v>412.25535557000001</v>
      </c>
      <c r="E47" s="82">
        <v>814.59218811208586</v>
      </c>
      <c r="F47" s="22" t="s">
        <v>240</v>
      </c>
      <c r="G47" s="23">
        <v>100.1831189584652</v>
      </c>
      <c r="H47" s="24">
        <v>97.594082673783475</v>
      </c>
    </row>
    <row r="48" spans="1:8" x14ac:dyDescent="0.25">
      <c r="A48" s="30"/>
      <c r="B48" s="25" t="s">
        <v>241</v>
      </c>
      <c r="C48" s="81">
        <v>174.89835124800001</v>
      </c>
      <c r="D48" s="81">
        <v>216.44140912200001</v>
      </c>
      <c r="E48" s="81">
        <v>398.26716816499999</v>
      </c>
      <c r="F48" s="27"/>
      <c r="G48" s="38">
        <v>127.71350634419102</v>
      </c>
      <c r="H48" s="24">
        <v>84.006918907329577</v>
      </c>
    </row>
    <row r="49" spans="1:8" x14ac:dyDescent="0.25">
      <c r="A49" s="39" t="s">
        <v>12</v>
      </c>
      <c r="B49" s="31" t="s">
        <v>3</v>
      </c>
      <c r="C49" s="79">
        <v>5.5450821440000002</v>
      </c>
      <c r="D49" s="79">
        <v>7.0997260830000002</v>
      </c>
      <c r="E49" s="82">
        <v>7.0873071722059997</v>
      </c>
      <c r="F49" s="22" t="s">
        <v>240</v>
      </c>
      <c r="G49" s="37">
        <v>27.812482992244725</v>
      </c>
      <c r="H49" s="33">
        <v>-0.17492098496218489</v>
      </c>
    </row>
    <row r="50" spans="1:8" x14ac:dyDescent="0.25">
      <c r="A50" s="34"/>
      <c r="B50" s="25" t="s">
        <v>241</v>
      </c>
      <c r="C50" s="81">
        <v>2.0864467269999998</v>
      </c>
      <c r="D50" s="81">
        <v>2.4000673250000002</v>
      </c>
      <c r="E50" s="81">
        <v>2.4798308699999998</v>
      </c>
      <c r="F50" s="27"/>
      <c r="G50" s="28">
        <v>18.854262508088482</v>
      </c>
      <c r="H50" s="29">
        <v>3.3233878137147457</v>
      </c>
    </row>
    <row r="51" spans="1:8" x14ac:dyDescent="0.25">
      <c r="A51" s="39" t="s">
        <v>23</v>
      </c>
      <c r="B51" s="31" t="s">
        <v>3</v>
      </c>
      <c r="C51" s="79">
        <v>145.168091729</v>
      </c>
      <c r="D51" s="79">
        <v>157.791135406</v>
      </c>
      <c r="E51" s="82">
        <v>166.42258257579385</v>
      </c>
      <c r="F51" s="22" t="s">
        <v>240</v>
      </c>
      <c r="G51" s="23">
        <v>14.641296578088088</v>
      </c>
      <c r="H51" s="24">
        <v>5.4701724197528279</v>
      </c>
    </row>
    <row r="52" spans="1:8" x14ac:dyDescent="0.25">
      <c r="A52" s="34"/>
      <c r="B52" s="25" t="s">
        <v>241</v>
      </c>
      <c r="C52" s="81">
        <v>66.288858069</v>
      </c>
      <c r="D52" s="81">
        <v>73.737440749000001</v>
      </c>
      <c r="E52" s="81">
        <v>77.169647780000005</v>
      </c>
      <c r="F52" s="27"/>
      <c r="G52" s="28">
        <v>16.414205988696025</v>
      </c>
      <c r="H52" s="29">
        <v>4.6546327023786063</v>
      </c>
    </row>
    <row r="53" spans="1:8" x14ac:dyDescent="0.25">
      <c r="A53" s="30" t="s">
        <v>24</v>
      </c>
      <c r="B53" s="31" t="s">
        <v>3</v>
      </c>
      <c r="C53" s="79">
        <v>260.50164136500001</v>
      </c>
      <c r="D53" s="79">
        <v>306.94037518699997</v>
      </c>
      <c r="E53" s="82">
        <v>458.41183010312318</v>
      </c>
      <c r="F53" s="22" t="s">
        <v>240</v>
      </c>
      <c r="G53" s="23">
        <v>75.972722360249065</v>
      </c>
      <c r="H53" s="24">
        <v>49.348820540093783</v>
      </c>
    </row>
    <row r="54" spans="1:8" ht="13.8" thickBot="1" x14ac:dyDescent="0.3">
      <c r="A54" s="41"/>
      <c r="B54" s="42" t="s">
        <v>241</v>
      </c>
      <c r="C54" s="85">
        <v>122.107430409</v>
      </c>
      <c r="D54" s="85">
        <v>140.71065865599999</v>
      </c>
      <c r="E54" s="85">
        <v>211.70179266</v>
      </c>
      <c r="F54" s="44"/>
      <c r="G54" s="45">
        <v>73.373390915608354</v>
      </c>
      <c r="H54" s="46">
        <v>50.451852533470401</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G61" s="53"/>
      <c r="H61" s="219">
        <v>15</v>
      </c>
    </row>
    <row r="62" spans="1:8" ht="12.75" customHeight="1" x14ac:dyDescent="0.25">
      <c r="A62" s="54" t="s">
        <v>243</v>
      </c>
      <c r="G62" s="53"/>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1" t="s">
        <v>0</v>
      </c>
      <c r="B2" s="2"/>
      <c r="C2" s="2"/>
      <c r="D2" s="2"/>
      <c r="E2" s="2"/>
      <c r="F2" s="2"/>
      <c r="G2" s="2"/>
    </row>
    <row r="3" spans="1:8" ht="6" customHeight="1" x14ac:dyDescent="0.25">
      <c r="A3" s="3"/>
      <c r="B3" s="2"/>
      <c r="C3" s="2"/>
      <c r="D3" s="2"/>
      <c r="E3" s="2"/>
      <c r="F3" s="2"/>
      <c r="G3" s="2"/>
    </row>
    <row r="4" spans="1:8" ht="16.2" thickBot="1" x14ac:dyDescent="0.35">
      <c r="A4" s="4" t="s">
        <v>151</v>
      </c>
      <c r="B4" s="5"/>
      <c r="C4" s="5"/>
      <c r="D4" s="5"/>
      <c r="E4" s="5"/>
      <c r="F4" s="5"/>
      <c r="G4" s="5"/>
      <c r="H4" s="6"/>
    </row>
    <row r="5" spans="1:8" x14ac:dyDescent="0.25">
      <c r="A5" s="7"/>
      <c r="B5" s="8"/>
      <c r="C5" s="9"/>
      <c r="D5" s="8"/>
      <c r="E5" s="10"/>
      <c r="F5" s="11"/>
      <c r="G5" s="214" t="s">
        <v>1</v>
      </c>
      <c r="H5" s="215"/>
    </row>
    <row r="6" spans="1:8" x14ac:dyDescent="0.25">
      <c r="A6" s="12"/>
      <c r="B6" s="13"/>
      <c r="C6" s="204">
        <v>2016</v>
      </c>
      <c r="D6" s="205">
        <v>2017</v>
      </c>
      <c r="E6" s="205">
        <v>2018</v>
      </c>
      <c r="F6" s="16"/>
      <c r="G6" s="17" t="s">
        <v>238</v>
      </c>
      <c r="H6" s="18" t="s">
        <v>239</v>
      </c>
    </row>
    <row r="7" spans="1:8" ht="12.75" customHeight="1" x14ac:dyDescent="0.25">
      <c r="A7" s="216" t="s">
        <v>45</v>
      </c>
      <c r="B7" s="19" t="s">
        <v>3</v>
      </c>
      <c r="C7" s="20">
        <v>14653.806941663001</v>
      </c>
      <c r="D7" s="20">
        <v>14731.573261968</v>
      </c>
      <c r="E7" s="21">
        <v>19415.722236163536</v>
      </c>
      <c r="F7" s="22" t="s">
        <v>240</v>
      </c>
      <c r="G7" s="23">
        <v>32.496096839939156</v>
      </c>
      <c r="H7" s="24">
        <v>31.796664829332542</v>
      </c>
    </row>
    <row r="8" spans="1:8" ht="12.75" customHeight="1" x14ac:dyDescent="0.25">
      <c r="A8" s="217"/>
      <c r="B8" s="25" t="s">
        <v>241</v>
      </c>
      <c r="C8" s="26">
        <v>7377.228430911</v>
      </c>
      <c r="D8" s="26">
        <v>7122.0658691990002</v>
      </c>
      <c r="E8" s="26">
        <v>9512.4768482180007</v>
      </c>
      <c r="F8" s="27"/>
      <c r="G8" s="28">
        <v>28.943775257930071</v>
      </c>
      <c r="H8" s="29">
        <v>33.563449467055307</v>
      </c>
    </row>
    <row r="9" spans="1:8" x14ac:dyDescent="0.25">
      <c r="A9" s="30" t="s">
        <v>18</v>
      </c>
      <c r="B9" s="31" t="s">
        <v>3</v>
      </c>
      <c r="C9" s="20">
        <v>1689.5725934</v>
      </c>
      <c r="D9" s="20">
        <v>1820.9106131149999</v>
      </c>
      <c r="E9" s="21">
        <v>1846.6722473440086</v>
      </c>
      <c r="F9" s="22" t="s">
        <v>240</v>
      </c>
      <c r="G9" s="32">
        <v>9.298189054302199</v>
      </c>
      <c r="H9" s="33">
        <v>1.414766548311718</v>
      </c>
    </row>
    <row r="10" spans="1:8" x14ac:dyDescent="0.25">
      <c r="A10" s="34"/>
      <c r="B10" s="25" t="s">
        <v>241</v>
      </c>
      <c r="C10" s="26">
        <v>731.63596521700003</v>
      </c>
      <c r="D10" s="26">
        <v>838.89061962899996</v>
      </c>
      <c r="E10" s="26">
        <v>833.01725217399996</v>
      </c>
      <c r="F10" s="27"/>
      <c r="G10" s="35">
        <v>13.856793784998061</v>
      </c>
      <c r="H10" s="29">
        <v>-0.70013507334215319</v>
      </c>
    </row>
    <row r="11" spans="1:8" x14ac:dyDescent="0.25">
      <c r="A11" s="30" t="s">
        <v>19</v>
      </c>
      <c r="B11" s="31" t="s">
        <v>3</v>
      </c>
      <c r="C11" s="20">
        <v>4269.9086446680003</v>
      </c>
      <c r="D11" s="20">
        <v>4173.0353770499996</v>
      </c>
      <c r="E11" s="21">
        <v>6947.0377083576186</v>
      </c>
      <c r="F11" s="22" t="s">
        <v>240</v>
      </c>
      <c r="G11" s="37">
        <v>62.697572394965704</v>
      </c>
      <c r="H11" s="33">
        <v>66.474450386006936</v>
      </c>
    </row>
    <row r="12" spans="1:8" x14ac:dyDescent="0.25">
      <c r="A12" s="34"/>
      <c r="B12" s="25" t="s">
        <v>241</v>
      </c>
      <c r="C12" s="26">
        <v>2571.4532173910002</v>
      </c>
      <c r="D12" s="26">
        <v>2032.3020654300001</v>
      </c>
      <c r="E12" s="26">
        <v>3613.724173913</v>
      </c>
      <c r="F12" s="27"/>
      <c r="G12" s="28">
        <v>40.532370936131173</v>
      </c>
      <c r="H12" s="29">
        <v>77.814323735797529</v>
      </c>
    </row>
    <row r="13" spans="1:8" x14ac:dyDescent="0.25">
      <c r="A13" s="30" t="s">
        <v>20</v>
      </c>
      <c r="B13" s="31" t="s">
        <v>3</v>
      </c>
      <c r="C13" s="20">
        <v>1531.670783175</v>
      </c>
      <c r="D13" s="20">
        <v>1459.207322405</v>
      </c>
      <c r="E13" s="21">
        <v>1267.6835229335395</v>
      </c>
      <c r="F13" s="22" t="s">
        <v>240</v>
      </c>
      <c r="G13" s="23">
        <v>-17.235248144790049</v>
      </c>
      <c r="H13" s="24">
        <v>-13.125194516965522</v>
      </c>
    </row>
    <row r="14" spans="1:8" x14ac:dyDescent="0.25">
      <c r="A14" s="34"/>
      <c r="B14" s="25" t="s">
        <v>241</v>
      </c>
      <c r="C14" s="26">
        <v>732.59677018599996</v>
      </c>
      <c r="D14" s="26">
        <v>749.00098353800001</v>
      </c>
      <c r="E14" s="26">
        <v>635.20198757799994</v>
      </c>
      <c r="F14" s="27"/>
      <c r="G14" s="38">
        <v>-13.29445973168464</v>
      </c>
      <c r="H14" s="24">
        <v>-15.193437453507244</v>
      </c>
    </row>
    <row r="15" spans="1:8" x14ac:dyDescent="0.25">
      <c r="A15" s="30" t="s">
        <v>21</v>
      </c>
      <c r="B15" s="31" t="s">
        <v>3</v>
      </c>
      <c r="C15" s="20">
        <v>343.65397842599998</v>
      </c>
      <c r="D15" s="20">
        <v>347.81046903499998</v>
      </c>
      <c r="E15" s="21">
        <v>360.11991482497916</v>
      </c>
      <c r="F15" s="22" t="s">
        <v>240</v>
      </c>
      <c r="G15" s="37">
        <v>4.7914290049532582</v>
      </c>
      <c r="H15" s="33">
        <v>3.5391245767074651</v>
      </c>
    </row>
    <row r="16" spans="1:8" x14ac:dyDescent="0.25">
      <c r="A16" s="34"/>
      <c r="B16" s="25" t="s">
        <v>241</v>
      </c>
      <c r="C16" s="26">
        <v>177.75739130400001</v>
      </c>
      <c r="D16" s="26">
        <v>170.87528686499999</v>
      </c>
      <c r="E16" s="26">
        <v>179.93391304299999</v>
      </c>
      <c r="F16" s="27"/>
      <c r="G16" s="28">
        <v>1.2244338888151702</v>
      </c>
      <c r="H16" s="29">
        <v>5.3013085415662147</v>
      </c>
    </row>
    <row r="17" spans="1:8" x14ac:dyDescent="0.25">
      <c r="A17" s="30" t="s">
        <v>22</v>
      </c>
      <c r="B17" s="31" t="s">
        <v>3</v>
      </c>
      <c r="C17" s="20">
        <v>291.65397842599998</v>
      </c>
      <c r="D17" s="20">
        <v>317.81046903499998</v>
      </c>
      <c r="E17" s="21">
        <v>323.23280879777928</v>
      </c>
      <c r="F17" s="22" t="s">
        <v>240</v>
      </c>
      <c r="G17" s="37">
        <v>10.827498579722487</v>
      </c>
      <c r="H17" s="33">
        <v>1.7061551745742349</v>
      </c>
    </row>
    <row r="18" spans="1:8" x14ac:dyDescent="0.25">
      <c r="A18" s="34"/>
      <c r="B18" s="25" t="s">
        <v>241</v>
      </c>
      <c r="C18" s="26">
        <v>129.75739130400001</v>
      </c>
      <c r="D18" s="26">
        <v>156.87528686499999</v>
      </c>
      <c r="E18" s="26">
        <v>153.93391304299999</v>
      </c>
      <c r="F18" s="27"/>
      <c r="G18" s="28">
        <v>18.63209601860629</v>
      </c>
      <c r="H18" s="29">
        <v>-1.8749759001436672</v>
      </c>
    </row>
    <row r="19" spans="1:8" x14ac:dyDescent="0.25">
      <c r="A19" s="30" t="s">
        <v>190</v>
      </c>
      <c r="B19" s="31" t="s">
        <v>3</v>
      </c>
      <c r="C19" s="20">
        <v>3726.1769579380002</v>
      </c>
      <c r="D19" s="20">
        <v>3838.5183060119998</v>
      </c>
      <c r="E19" s="21">
        <v>6106.0660469945833</v>
      </c>
      <c r="F19" s="22" t="s">
        <v>240</v>
      </c>
      <c r="G19" s="23">
        <v>63.869459661238722</v>
      </c>
      <c r="H19" s="24">
        <v>59.073516399051272</v>
      </c>
    </row>
    <row r="20" spans="1:8" x14ac:dyDescent="0.25">
      <c r="A20" s="30"/>
      <c r="B20" s="25" t="s">
        <v>241</v>
      </c>
      <c r="C20" s="26">
        <v>1617.4919254660001</v>
      </c>
      <c r="D20" s="26">
        <v>1735.5024588450001</v>
      </c>
      <c r="E20" s="26">
        <v>2723.0049689440002</v>
      </c>
      <c r="F20" s="27"/>
      <c r="G20" s="38">
        <v>68.347360878447745</v>
      </c>
      <c r="H20" s="24">
        <v>56.900092827076492</v>
      </c>
    </row>
    <row r="21" spans="1:8" x14ac:dyDescent="0.25">
      <c r="A21" s="39" t="s">
        <v>12</v>
      </c>
      <c r="B21" s="31" t="s">
        <v>3</v>
      </c>
      <c r="C21" s="20">
        <v>44.992387055999998</v>
      </c>
      <c r="D21" s="20">
        <v>52.086281421000002</v>
      </c>
      <c r="E21" s="21">
        <v>45.138812928481563</v>
      </c>
      <c r="F21" s="22" t="s">
        <v>240</v>
      </c>
      <c r="G21" s="37">
        <v>0.32544588554350184</v>
      </c>
      <c r="H21" s="33">
        <v>-13.338384509279592</v>
      </c>
    </row>
    <row r="22" spans="1:8" x14ac:dyDescent="0.25">
      <c r="A22" s="34"/>
      <c r="B22" s="25" t="s">
        <v>241</v>
      </c>
      <c r="C22" s="26">
        <v>20.454434783</v>
      </c>
      <c r="D22" s="26">
        <v>25.525172119</v>
      </c>
      <c r="E22" s="26">
        <v>21.560347826000001</v>
      </c>
      <c r="F22" s="27"/>
      <c r="G22" s="28">
        <v>5.4067152416215549</v>
      </c>
      <c r="H22" s="29">
        <v>-15.532997287993723</v>
      </c>
    </row>
    <row r="23" spans="1:8" x14ac:dyDescent="0.25">
      <c r="A23" s="39" t="s">
        <v>23</v>
      </c>
      <c r="B23" s="31" t="s">
        <v>3</v>
      </c>
      <c r="C23" s="20">
        <v>1891.6539784260001</v>
      </c>
      <c r="D23" s="20">
        <v>1810.8104690350001</v>
      </c>
      <c r="E23" s="21">
        <v>1758.3445994120564</v>
      </c>
      <c r="F23" s="22" t="s">
        <v>240</v>
      </c>
      <c r="G23" s="23">
        <v>-7.0472391110803017</v>
      </c>
      <c r="H23" s="24">
        <v>-2.8973694663309146</v>
      </c>
    </row>
    <row r="24" spans="1:8" x14ac:dyDescent="0.25">
      <c r="A24" s="34"/>
      <c r="B24" s="25" t="s">
        <v>241</v>
      </c>
      <c r="C24" s="26">
        <v>857.75739130399995</v>
      </c>
      <c r="D24" s="26">
        <v>931.87528686500002</v>
      </c>
      <c r="E24" s="26">
        <v>865.93391304299996</v>
      </c>
      <c r="F24" s="27"/>
      <c r="G24" s="28">
        <v>0.95324410164157314</v>
      </c>
      <c r="H24" s="29">
        <v>-7.0762015852828313</v>
      </c>
    </row>
    <row r="25" spans="1:8" x14ac:dyDescent="0.25">
      <c r="A25" s="30" t="s">
        <v>24</v>
      </c>
      <c r="B25" s="31" t="s">
        <v>3</v>
      </c>
      <c r="C25" s="20">
        <v>1332.307956852</v>
      </c>
      <c r="D25" s="20">
        <v>1313.62093807</v>
      </c>
      <c r="E25" s="21">
        <v>1744.936089942292</v>
      </c>
      <c r="F25" s="22" t="s">
        <v>240</v>
      </c>
      <c r="G25" s="23">
        <v>30.970927627367558</v>
      </c>
      <c r="H25" s="24">
        <v>32.834064940072381</v>
      </c>
    </row>
    <row r="26" spans="1:8" ht="13.8" thickBot="1" x14ac:dyDescent="0.3">
      <c r="A26" s="41"/>
      <c r="B26" s="42" t="s">
        <v>241</v>
      </c>
      <c r="C26" s="43">
        <v>740.51478260900001</v>
      </c>
      <c r="D26" s="43">
        <v>622.75057373000004</v>
      </c>
      <c r="E26" s="43">
        <v>869.86782608700003</v>
      </c>
      <c r="F26" s="44"/>
      <c r="G26" s="45">
        <v>17.467989365757177</v>
      </c>
      <c r="H26" s="46">
        <v>39.681577630170153</v>
      </c>
    </row>
    <row r="31" spans="1:8" x14ac:dyDescent="0.25">
      <c r="A31" s="47"/>
      <c r="B31" s="48"/>
      <c r="C31" s="49"/>
      <c r="D31" s="55"/>
      <c r="E31" s="49"/>
      <c r="F31" s="49"/>
      <c r="G31" s="50"/>
      <c r="H31" s="51"/>
    </row>
    <row r="32" spans="1:8" ht="16.8" thickBot="1" x14ac:dyDescent="0.4">
      <c r="A32" s="4" t="s">
        <v>98</v>
      </c>
      <c r="B32" s="5"/>
      <c r="C32" s="5"/>
      <c r="D32" s="5"/>
      <c r="E32" s="5"/>
      <c r="F32" s="5"/>
      <c r="G32" s="5"/>
      <c r="H32" s="6"/>
    </row>
    <row r="33" spans="1:8" x14ac:dyDescent="0.25">
      <c r="A33" s="7"/>
      <c r="B33" s="8"/>
      <c r="C33" s="220" t="s">
        <v>16</v>
      </c>
      <c r="D33" s="214"/>
      <c r="E33" s="214"/>
      <c r="F33" s="221"/>
      <c r="G33" s="214" t="s">
        <v>1</v>
      </c>
      <c r="H33" s="215"/>
    </row>
    <row r="34" spans="1:8" x14ac:dyDescent="0.25">
      <c r="A34" s="12"/>
      <c r="B34" s="13"/>
      <c r="C34" s="204">
        <v>2016</v>
      </c>
      <c r="D34" s="205">
        <v>2017</v>
      </c>
      <c r="E34" s="205">
        <v>2018</v>
      </c>
      <c r="F34" s="16"/>
      <c r="G34" s="17" t="s">
        <v>238</v>
      </c>
      <c r="H34" s="18" t="s">
        <v>239</v>
      </c>
    </row>
    <row r="35" spans="1:8" ht="12.75" customHeight="1" x14ac:dyDescent="0.25">
      <c r="A35" s="216" t="s">
        <v>45</v>
      </c>
      <c r="B35" s="19" t="s">
        <v>3</v>
      </c>
      <c r="C35" s="79">
        <v>746.15060483299999</v>
      </c>
      <c r="D35" s="79">
        <v>686.74772083200003</v>
      </c>
      <c r="E35" s="82">
        <v>892.50630439138081</v>
      </c>
      <c r="F35" s="22" t="s">
        <v>240</v>
      </c>
      <c r="G35" s="23">
        <v>19.614766591409165</v>
      </c>
      <c r="H35" s="24">
        <v>29.961305632016177</v>
      </c>
    </row>
    <row r="36" spans="1:8" ht="12.75" customHeight="1" x14ac:dyDescent="0.25">
      <c r="A36" s="217"/>
      <c r="B36" s="25" t="s">
        <v>241</v>
      </c>
      <c r="C36" s="81">
        <v>382.28262150900002</v>
      </c>
      <c r="D36" s="81">
        <v>363.78056596200003</v>
      </c>
      <c r="E36" s="81">
        <v>467.48924054700001</v>
      </c>
      <c r="F36" s="27"/>
      <c r="G36" s="28">
        <v>22.288907275371386</v>
      </c>
      <c r="H36" s="29">
        <v>28.508580251049807</v>
      </c>
    </row>
    <row r="37" spans="1:8" x14ac:dyDescent="0.25">
      <c r="A37" s="30" t="s">
        <v>18</v>
      </c>
      <c r="B37" s="31" t="s">
        <v>3</v>
      </c>
      <c r="C37" s="79">
        <v>305.17532433700001</v>
      </c>
      <c r="D37" s="79">
        <v>286.64897173200001</v>
      </c>
      <c r="E37" s="82">
        <v>302.78332050537932</v>
      </c>
      <c r="F37" s="22" t="s">
        <v>240</v>
      </c>
      <c r="G37" s="32">
        <v>-0.78381298908009001</v>
      </c>
      <c r="H37" s="33">
        <v>5.6286086344185406</v>
      </c>
    </row>
    <row r="38" spans="1:8" x14ac:dyDescent="0.25">
      <c r="A38" s="34"/>
      <c r="B38" s="25" t="s">
        <v>241</v>
      </c>
      <c r="C38" s="81">
        <v>144.29653622399999</v>
      </c>
      <c r="D38" s="81">
        <v>147.88223199199999</v>
      </c>
      <c r="E38" s="81">
        <v>151.602958054</v>
      </c>
      <c r="F38" s="27"/>
      <c r="G38" s="35">
        <v>5.0634769352036386</v>
      </c>
      <c r="H38" s="29">
        <v>2.5160061569812484</v>
      </c>
    </row>
    <row r="39" spans="1:8" x14ac:dyDescent="0.25">
      <c r="A39" s="30" t="s">
        <v>19</v>
      </c>
      <c r="B39" s="31" t="s">
        <v>3</v>
      </c>
      <c r="C39" s="79">
        <v>224.48284302299999</v>
      </c>
      <c r="D39" s="79">
        <v>192.213366947</v>
      </c>
      <c r="E39" s="82">
        <v>299.61674122074425</v>
      </c>
      <c r="F39" s="22" t="s">
        <v>240</v>
      </c>
      <c r="G39" s="37">
        <v>33.46977309533014</v>
      </c>
      <c r="H39" s="33">
        <v>55.877161916298547</v>
      </c>
    </row>
    <row r="40" spans="1:8" x14ac:dyDescent="0.25">
      <c r="A40" s="34"/>
      <c r="B40" s="25" t="s">
        <v>241</v>
      </c>
      <c r="C40" s="81">
        <v>139.62996285200001</v>
      </c>
      <c r="D40" s="81">
        <v>101.54650536</v>
      </c>
      <c r="E40" s="81">
        <v>166.65684477600001</v>
      </c>
      <c r="F40" s="27"/>
      <c r="G40" s="28">
        <v>19.356076140081058</v>
      </c>
      <c r="H40" s="29">
        <v>64.118739670235385</v>
      </c>
    </row>
    <row r="41" spans="1:8" x14ac:dyDescent="0.25">
      <c r="A41" s="30" t="s">
        <v>20</v>
      </c>
      <c r="B41" s="31" t="s">
        <v>3</v>
      </c>
      <c r="C41" s="79">
        <v>45.466021824000002</v>
      </c>
      <c r="D41" s="79">
        <v>41.102573677000002</v>
      </c>
      <c r="E41" s="82">
        <v>41.105020621968663</v>
      </c>
      <c r="F41" s="22" t="s">
        <v>240</v>
      </c>
      <c r="G41" s="23">
        <v>-9.5917809103969347</v>
      </c>
      <c r="H41" s="24">
        <v>5.9532646006204004E-3</v>
      </c>
    </row>
    <row r="42" spans="1:8" x14ac:dyDescent="0.25">
      <c r="A42" s="34"/>
      <c r="B42" s="25" t="s">
        <v>241</v>
      </c>
      <c r="C42" s="81">
        <v>21.063294945999999</v>
      </c>
      <c r="D42" s="81">
        <v>24.226964340999999</v>
      </c>
      <c r="E42" s="81">
        <v>22.212250744999999</v>
      </c>
      <c r="F42" s="27"/>
      <c r="G42" s="38">
        <v>5.4547771464321215</v>
      </c>
      <c r="H42" s="24">
        <v>-8.3159968687882184</v>
      </c>
    </row>
    <row r="43" spans="1:8" x14ac:dyDescent="0.25">
      <c r="A43" s="30" t="s">
        <v>21</v>
      </c>
      <c r="B43" s="31" t="s">
        <v>3</v>
      </c>
      <c r="C43" s="79">
        <v>7.1380364309999997</v>
      </c>
      <c r="D43" s="79">
        <v>7.094717084</v>
      </c>
      <c r="E43" s="82">
        <v>9.1138396276999778</v>
      </c>
      <c r="F43" s="22" t="s">
        <v>240</v>
      </c>
      <c r="G43" s="37">
        <v>27.679925926396251</v>
      </c>
      <c r="H43" s="33">
        <v>28.459521638339908</v>
      </c>
    </row>
    <row r="44" spans="1:8" x14ac:dyDescent="0.25">
      <c r="A44" s="34"/>
      <c r="B44" s="25" t="s">
        <v>241</v>
      </c>
      <c r="C44" s="81">
        <v>2.8346240379999998</v>
      </c>
      <c r="D44" s="81">
        <v>2.7637312569999999</v>
      </c>
      <c r="E44" s="81">
        <v>3.5729719869999998</v>
      </c>
      <c r="F44" s="27"/>
      <c r="G44" s="28">
        <v>26.047473636784275</v>
      </c>
      <c r="H44" s="29">
        <v>29.280731545455041</v>
      </c>
    </row>
    <row r="45" spans="1:8" x14ac:dyDescent="0.25">
      <c r="A45" s="30" t="s">
        <v>22</v>
      </c>
      <c r="B45" s="31" t="s">
        <v>3</v>
      </c>
      <c r="C45" s="79">
        <v>1.8862829290000001</v>
      </c>
      <c r="D45" s="79">
        <v>1.5883499489999999</v>
      </c>
      <c r="E45" s="82">
        <v>1.9830600587163847</v>
      </c>
      <c r="F45" s="22" t="s">
        <v>240</v>
      </c>
      <c r="G45" s="37">
        <v>5.1305733741486108</v>
      </c>
      <c r="H45" s="33">
        <v>24.850324071523914</v>
      </c>
    </row>
    <row r="46" spans="1:8" x14ac:dyDescent="0.25">
      <c r="A46" s="34"/>
      <c r="B46" s="25" t="s">
        <v>241</v>
      </c>
      <c r="C46" s="81">
        <v>0.82986820400000005</v>
      </c>
      <c r="D46" s="81">
        <v>0.96126723199999997</v>
      </c>
      <c r="E46" s="81">
        <v>1.066602673</v>
      </c>
      <c r="F46" s="27"/>
      <c r="G46" s="28">
        <v>28.526754954452969</v>
      </c>
      <c r="H46" s="29">
        <v>10.957976876090996</v>
      </c>
    </row>
    <row r="47" spans="1:8" x14ac:dyDescent="0.25">
      <c r="A47" s="30" t="s">
        <v>190</v>
      </c>
      <c r="B47" s="31" t="s">
        <v>3</v>
      </c>
      <c r="C47" s="79">
        <v>87.990470318000007</v>
      </c>
      <c r="D47" s="79">
        <v>79.981695301000002</v>
      </c>
      <c r="E47" s="82">
        <v>149.64879307423513</v>
      </c>
      <c r="F47" s="22" t="s">
        <v>240</v>
      </c>
      <c r="G47" s="23">
        <v>70.073864287121353</v>
      </c>
      <c r="H47" s="24">
        <v>87.103802327585925</v>
      </c>
    </row>
    <row r="48" spans="1:8" x14ac:dyDescent="0.25">
      <c r="A48" s="30"/>
      <c r="B48" s="25" t="s">
        <v>241</v>
      </c>
      <c r="C48" s="81">
        <v>41.131334643000002</v>
      </c>
      <c r="D48" s="81">
        <v>43.397323020999998</v>
      </c>
      <c r="E48" s="81">
        <v>77.068686049999997</v>
      </c>
      <c r="F48" s="27"/>
      <c r="G48" s="38">
        <v>87.372198638626116</v>
      </c>
      <c r="H48" s="24">
        <v>77.588571563979656</v>
      </c>
    </row>
    <row r="49" spans="1:8" x14ac:dyDescent="0.25">
      <c r="A49" s="39" t="s">
        <v>12</v>
      </c>
      <c r="B49" s="31" t="s">
        <v>3</v>
      </c>
      <c r="C49" s="79">
        <v>0.399393104</v>
      </c>
      <c r="D49" s="79">
        <v>2.5641033850000001</v>
      </c>
      <c r="E49" s="82">
        <v>4.1186208179216495</v>
      </c>
      <c r="F49" s="22" t="s">
        <v>240</v>
      </c>
      <c r="G49" s="37">
        <v>931.21981242862148</v>
      </c>
      <c r="H49" s="33">
        <v>60.626160474479036</v>
      </c>
    </row>
    <row r="50" spans="1:8" x14ac:dyDescent="0.25">
      <c r="A50" s="34"/>
      <c r="B50" s="25" t="s">
        <v>241</v>
      </c>
      <c r="C50" s="81">
        <v>0.17461337399999999</v>
      </c>
      <c r="D50" s="81">
        <v>0.224852999</v>
      </c>
      <c r="E50" s="81">
        <v>0.49237861799999999</v>
      </c>
      <c r="F50" s="27"/>
      <c r="G50" s="28">
        <v>181.98219112357339</v>
      </c>
      <c r="H50" s="29">
        <v>118.97800793842202</v>
      </c>
    </row>
    <row r="51" spans="1:8" x14ac:dyDescent="0.25">
      <c r="A51" s="39" t="s">
        <v>23</v>
      </c>
      <c r="B51" s="31" t="s">
        <v>3</v>
      </c>
      <c r="C51" s="79">
        <v>49.364097039999997</v>
      </c>
      <c r="D51" s="79">
        <v>47.186503860999998</v>
      </c>
      <c r="E51" s="82">
        <v>51.190387017328703</v>
      </c>
      <c r="F51" s="22" t="s">
        <v>240</v>
      </c>
      <c r="G51" s="23">
        <v>3.6996320946554704</v>
      </c>
      <c r="H51" s="24">
        <v>8.485229522668547</v>
      </c>
    </row>
    <row r="52" spans="1:8" x14ac:dyDescent="0.25">
      <c r="A52" s="34"/>
      <c r="B52" s="25" t="s">
        <v>241</v>
      </c>
      <c r="C52" s="81">
        <v>19.504116754000002</v>
      </c>
      <c r="D52" s="81">
        <v>25.188715261999999</v>
      </c>
      <c r="E52" s="81">
        <v>24.463370296000001</v>
      </c>
      <c r="F52" s="27"/>
      <c r="G52" s="28">
        <v>25.426701473077102</v>
      </c>
      <c r="H52" s="29">
        <v>-2.879642563963003</v>
      </c>
    </row>
    <row r="53" spans="1:8" x14ac:dyDescent="0.25">
      <c r="A53" s="30" t="s">
        <v>24</v>
      </c>
      <c r="B53" s="31" t="s">
        <v>3</v>
      </c>
      <c r="C53" s="79">
        <v>24.248135826999999</v>
      </c>
      <c r="D53" s="79">
        <v>28.367438895999999</v>
      </c>
      <c r="E53" s="82">
        <v>34.717627156196663</v>
      </c>
      <c r="F53" s="22" t="s">
        <v>240</v>
      </c>
      <c r="G53" s="23">
        <v>43.176479230782832</v>
      </c>
      <c r="H53" s="24">
        <v>22.385483171313297</v>
      </c>
    </row>
    <row r="54" spans="1:8" ht="13.8" thickBot="1" x14ac:dyDescent="0.3">
      <c r="A54" s="41"/>
      <c r="B54" s="42" t="s">
        <v>241</v>
      </c>
      <c r="C54" s="85">
        <v>12.818270474</v>
      </c>
      <c r="D54" s="85">
        <v>17.588974497999999</v>
      </c>
      <c r="E54" s="85">
        <v>20.353177345999999</v>
      </c>
      <c r="F54" s="44"/>
      <c r="G54" s="45">
        <v>58.782554848436547</v>
      </c>
      <c r="H54" s="46">
        <v>15.715542985830751</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H61" s="209">
        <v>16</v>
      </c>
    </row>
    <row r="62" spans="1:8" ht="12.75" customHeight="1" x14ac:dyDescent="0.25">
      <c r="A62" s="54" t="s">
        <v>243</v>
      </c>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1" t="s">
        <v>0</v>
      </c>
      <c r="B2" s="2"/>
      <c r="C2" s="2"/>
      <c r="D2" s="2"/>
      <c r="E2" s="2"/>
      <c r="F2" s="2"/>
      <c r="G2" s="2"/>
    </row>
    <row r="3" spans="1:8" ht="6" customHeight="1" x14ac:dyDescent="0.25">
      <c r="A3" s="3"/>
      <c r="B3" s="2"/>
      <c r="C3" s="2"/>
      <c r="D3" s="2"/>
      <c r="E3" s="2"/>
      <c r="F3" s="2"/>
      <c r="G3" s="2"/>
    </row>
    <row r="4" spans="1:8" ht="16.2" thickBot="1" x14ac:dyDescent="0.35">
      <c r="A4" s="4" t="s">
        <v>164</v>
      </c>
      <c r="B4" s="5"/>
      <c r="C4" s="5"/>
      <c r="D4" s="5"/>
      <c r="E4" s="5"/>
      <c r="F4" s="5"/>
      <c r="G4" s="5"/>
      <c r="H4" s="6"/>
    </row>
    <row r="5" spans="1:8" x14ac:dyDescent="0.25">
      <c r="A5" s="7"/>
      <c r="B5" s="8"/>
      <c r="C5" s="9"/>
      <c r="D5" s="8"/>
      <c r="E5" s="10"/>
      <c r="F5" s="11"/>
      <c r="G5" s="214" t="s">
        <v>1</v>
      </c>
      <c r="H5" s="215"/>
    </row>
    <row r="6" spans="1:8" x14ac:dyDescent="0.25">
      <c r="A6" s="12"/>
      <c r="B6" s="13"/>
      <c r="C6" s="204">
        <v>2016</v>
      </c>
      <c r="D6" s="205">
        <v>2017</v>
      </c>
      <c r="E6" s="205">
        <v>2018</v>
      </c>
      <c r="F6" s="16"/>
      <c r="G6" s="17" t="s">
        <v>238</v>
      </c>
      <c r="H6" s="18" t="s">
        <v>239</v>
      </c>
    </row>
    <row r="7" spans="1:8" x14ac:dyDescent="0.25">
      <c r="A7" s="216" t="s">
        <v>166</v>
      </c>
      <c r="B7" s="19" t="s">
        <v>3</v>
      </c>
      <c r="C7" s="20">
        <v>40113.599095906997</v>
      </c>
      <c r="D7" s="20">
        <v>39410.456254181001</v>
      </c>
      <c r="E7" s="78">
        <v>46256.825043476951</v>
      </c>
      <c r="F7" s="22" t="s">
        <v>240</v>
      </c>
      <c r="G7" s="23">
        <v>15.314571831069571</v>
      </c>
      <c r="H7" s="24">
        <v>17.37196023598338</v>
      </c>
    </row>
    <row r="8" spans="1:8" x14ac:dyDescent="0.25">
      <c r="A8" s="217"/>
      <c r="B8" s="25" t="s">
        <v>241</v>
      </c>
      <c r="C8" s="26">
        <v>20119.271221531999</v>
      </c>
      <c r="D8" s="26">
        <v>19019.623626183002</v>
      </c>
      <c r="E8" s="26">
        <v>22608.497212932001</v>
      </c>
      <c r="F8" s="27"/>
      <c r="G8" s="28">
        <v>12.372346711723779</v>
      </c>
      <c r="H8" s="29">
        <v>18.869319694678111</v>
      </c>
    </row>
    <row r="9" spans="1:8" x14ac:dyDescent="0.25">
      <c r="A9" s="30" t="s">
        <v>18</v>
      </c>
      <c r="B9" s="31" t="s">
        <v>3</v>
      </c>
      <c r="C9" s="20">
        <v>4773.6505913069996</v>
      </c>
      <c r="D9" s="20">
        <v>4635.9603435870004</v>
      </c>
      <c r="E9" s="36">
        <v>4212.1873788849625</v>
      </c>
      <c r="F9" s="22" t="s">
        <v>240</v>
      </c>
      <c r="G9" s="32">
        <v>-11.761715728513579</v>
      </c>
      <c r="H9" s="33">
        <v>-9.1409963264299705</v>
      </c>
    </row>
    <row r="10" spans="1:8" x14ac:dyDescent="0.25">
      <c r="A10" s="34"/>
      <c r="B10" s="25" t="s">
        <v>241</v>
      </c>
      <c r="C10" s="26">
        <v>2432.463731884</v>
      </c>
      <c r="D10" s="26">
        <v>2373.6745937219998</v>
      </c>
      <c r="E10" s="26">
        <v>2153.2417753620002</v>
      </c>
      <c r="F10" s="27"/>
      <c r="G10" s="35">
        <v>-11.478977172898524</v>
      </c>
      <c r="H10" s="29">
        <v>-9.2865643396533812</v>
      </c>
    </row>
    <row r="11" spans="1:8" x14ac:dyDescent="0.25">
      <c r="A11" s="30" t="s">
        <v>19</v>
      </c>
      <c r="B11" s="31" t="s">
        <v>3</v>
      </c>
      <c r="C11" s="20">
        <v>18400.492844278</v>
      </c>
      <c r="D11" s="20">
        <v>19048.779306285</v>
      </c>
      <c r="E11" s="36">
        <v>21729.189070528802</v>
      </c>
      <c r="F11" s="22" t="s">
        <v>240</v>
      </c>
      <c r="G11" s="37">
        <v>18.090255812283445</v>
      </c>
      <c r="H11" s="33">
        <v>14.071294129379837</v>
      </c>
    </row>
    <row r="12" spans="1:8" x14ac:dyDescent="0.25">
      <c r="A12" s="34"/>
      <c r="B12" s="25" t="s">
        <v>241</v>
      </c>
      <c r="C12" s="26">
        <v>9471.8813043480004</v>
      </c>
      <c r="D12" s="26">
        <v>8924.0259430900005</v>
      </c>
      <c r="E12" s="26">
        <v>10494.245810277</v>
      </c>
      <c r="F12" s="27"/>
      <c r="G12" s="28">
        <v>10.793679450561626</v>
      </c>
      <c r="H12" s="29">
        <v>17.595420241946314</v>
      </c>
    </row>
    <row r="13" spans="1:8" x14ac:dyDescent="0.25">
      <c r="A13" s="30" t="s">
        <v>20</v>
      </c>
      <c r="B13" s="31" t="s">
        <v>3</v>
      </c>
      <c r="C13" s="20">
        <v>2924.9903547839999</v>
      </c>
      <c r="D13" s="20">
        <v>2691.7762061520002</v>
      </c>
      <c r="E13" s="36">
        <v>2699.8692679903293</v>
      </c>
      <c r="F13" s="22" t="s">
        <v>240</v>
      </c>
      <c r="G13" s="23">
        <v>-7.6964727909434458</v>
      </c>
      <c r="H13" s="24">
        <v>0.30065879250409466</v>
      </c>
    </row>
    <row r="14" spans="1:8" x14ac:dyDescent="0.25">
      <c r="A14" s="34"/>
      <c r="B14" s="25" t="s">
        <v>241</v>
      </c>
      <c r="C14" s="26">
        <v>1527.8782391300001</v>
      </c>
      <c r="D14" s="26">
        <v>1334.4047562329999</v>
      </c>
      <c r="E14" s="26">
        <v>1361.545065217</v>
      </c>
      <c r="F14" s="27"/>
      <c r="G14" s="38">
        <v>-10.886546431063309</v>
      </c>
      <c r="H14" s="24">
        <v>2.0338888075171866</v>
      </c>
    </row>
    <row r="15" spans="1:8" x14ac:dyDescent="0.25">
      <c r="A15" s="30" t="s">
        <v>21</v>
      </c>
      <c r="B15" s="31" t="s">
        <v>3</v>
      </c>
      <c r="C15" s="20">
        <v>1181.9903547839999</v>
      </c>
      <c r="D15" s="20">
        <v>1241.776206152</v>
      </c>
      <c r="E15" s="36">
        <v>1152.5180169717257</v>
      </c>
      <c r="F15" s="22" t="s">
        <v>240</v>
      </c>
      <c r="G15" s="37">
        <v>-2.4934499417011011</v>
      </c>
      <c r="H15" s="33">
        <v>-7.1879448759021045</v>
      </c>
    </row>
    <row r="16" spans="1:8" x14ac:dyDescent="0.25">
      <c r="A16" s="34"/>
      <c r="B16" s="25" t="s">
        <v>241</v>
      </c>
      <c r="C16" s="26">
        <v>649.87823913</v>
      </c>
      <c r="D16" s="26">
        <v>621.40475623299994</v>
      </c>
      <c r="E16" s="26">
        <v>594.545065217</v>
      </c>
      <c r="F16" s="27"/>
      <c r="G16" s="28">
        <v>-8.5143909399205597</v>
      </c>
      <c r="H16" s="29">
        <v>-4.3224147782236741</v>
      </c>
    </row>
    <row r="17" spans="1:8" x14ac:dyDescent="0.25">
      <c r="A17" s="30" t="s">
        <v>190</v>
      </c>
      <c r="B17" s="31" t="s">
        <v>3</v>
      </c>
      <c r="C17" s="20">
        <v>7974.6505913069996</v>
      </c>
      <c r="D17" s="20">
        <v>7349.9603435870004</v>
      </c>
      <c r="E17" s="36">
        <v>9737.9026989613831</v>
      </c>
      <c r="F17" s="22" t="s">
        <v>240</v>
      </c>
      <c r="G17" s="37">
        <v>22.110713033326718</v>
      </c>
      <c r="H17" s="33">
        <v>32.489186930891606</v>
      </c>
    </row>
    <row r="18" spans="1:8" x14ac:dyDescent="0.25">
      <c r="A18" s="34"/>
      <c r="B18" s="25" t="s">
        <v>241</v>
      </c>
      <c r="C18" s="26">
        <v>4123.4637318839996</v>
      </c>
      <c r="D18" s="26">
        <v>3670.6745937219998</v>
      </c>
      <c r="E18" s="26">
        <v>4919.2417753620002</v>
      </c>
      <c r="F18" s="27"/>
      <c r="G18" s="28">
        <v>19.298776349717329</v>
      </c>
      <c r="H18" s="29">
        <v>34.014651796578221</v>
      </c>
    </row>
    <row r="19" spans="1:8" x14ac:dyDescent="0.25">
      <c r="A19" s="39" t="s">
        <v>12</v>
      </c>
      <c r="B19" s="31" t="s">
        <v>3</v>
      </c>
      <c r="C19" s="20">
        <v>495.99035478399998</v>
      </c>
      <c r="D19" s="20">
        <v>424.77620615199999</v>
      </c>
      <c r="E19" s="36">
        <v>428.15046302806854</v>
      </c>
      <c r="F19" s="22" t="s">
        <v>240</v>
      </c>
      <c r="G19" s="37">
        <v>-13.677663507282361</v>
      </c>
      <c r="H19" s="33">
        <v>0.79436108407190886</v>
      </c>
    </row>
    <row r="20" spans="1:8" x14ac:dyDescent="0.25">
      <c r="A20" s="34"/>
      <c r="B20" s="25" t="s">
        <v>241</v>
      </c>
      <c r="C20" s="26">
        <v>297.87823913</v>
      </c>
      <c r="D20" s="26">
        <v>235.404756233</v>
      </c>
      <c r="E20" s="26">
        <v>243.545065217</v>
      </c>
      <c r="F20" s="27"/>
      <c r="G20" s="28">
        <v>-18.240061466620901</v>
      </c>
      <c r="H20" s="29">
        <v>3.4580053157221755</v>
      </c>
    </row>
    <row r="21" spans="1:8" x14ac:dyDescent="0.25">
      <c r="A21" s="39" t="s">
        <v>23</v>
      </c>
      <c r="B21" s="31" t="s">
        <v>3</v>
      </c>
      <c r="C21" s="20">
        <v>580.66023652299998</v>
      </c>
      <c r="D21" s="20">
        <v>599.18413743500003</v>
      </c>
      <c r="E21" s="36">
        <v>529.8864260601689</v>
      </c>
      <c r="F21" s="22" t="s">
        <v>240</v>
      </c>
      <c r="G21" s="23">
        <v>-8.7441514450628262</v>
      </c>
      <c r="H21" s="24">
        <v>-11.565344782237091</v>
      </c>
    </row>
    <row r="22" spans="1:8" x14ac:dyDescent="0.25">
      <c r="A22" s="34"/>
      <c r="B22" s="25" t="s">
        <v>241</v>
      </c>
      <c r="C22" s="26">
        <v>386.58549275399997</v>
      </c>
      <c r="D22" s="26">
        <v>299.269837489</v>
      </c>
      <c r="E22" s="26">
        <v>288.696710145</v>
      </c>
      <c r="F22" s="27"/>
      <c r="G22" s="38">
        <v>-25.321380249333515</v>
      </c>
      <c r="H22" s="24">
        <v>-3.5329746000174964</v>
      </c>
    </row>
    <row r="23" spans="1:8" x14ac:dyDescent="0.25">
      <c r="A23" s="30" t="s">
        <v>24</v>
      </c>
      <c r="B23" s="31" t="s">
        <v>3</v>
      </c>
      <c r="C23" s="20">
        <v>5128.9971064350002</v>
      </c>
      <c r="D23" s="20">
        <v>4643.2328618459997</v>
      </c>
      <c r="E23" s="36">
        <v>7863.4867487057018</v>
      </c>
      <c r="F23" s="22" t="s">
        <v>240</v>
      </c>
      <c r="G23" s="37">
        <v>53.314314387893205</v>
      </c>
      <c r="H23" s="33">
        <v>69.353702100984719</v>
      </c>
    </row>
    <row r="24" spans="1:8" ht="13.8" thickBot="1" x14ac:dyDescent="0.3">
      <c r="A24" s="41"/>
      <c r="B24" s="42" t="s">
        <v>241</v>
      </c>
      <c r="C24" s="43">
        <v>1814.863471739</v>
      </c>
      <c r="D24" s="43">
        <v>2092.6214268700001</v>
      </c>
      <c r="E24" s="43">
        <v>3247.6635195650001</v>
      </c>
      <c r="F24" s="44"/>
      <c r="G24" s="45">
        <v>78.948090042998814</v>
      </c>
      <c r="H24" s="46">
        <v>55.195941218217996</v>
      </c>
    </row>
    <row r="29" spans="1:8" x14ac:dyDescent="0.25">
      <c r="A29" s="58"/>
      <c r="B29" s="58"/>
      <c r="C29" s="21"/>
      <c r="D29" s="21"/>
      <c r="E29" s="21"/>
      <c r="F29" s="59"/>
      <c r="G29" s="38"/>
      <c r="H29" s="60"/>
    </row>
    <row r="30" spans="1:8" x14ac:dyDescent="0.25">
      <c r="A30" s="58"/>
      <c r="B30" s="62"/>
      <c r="C30" s="21"/>
      <c r="D30" s="21"/>
      <c r="E30" s="21"/>
      <c r="F30" s="63"/>
      <c r="G30" s="38"/>
      <c r="H30" s="60"/>
    </row>
    <row r="31" spans="1:8" x14ac:dyDescent="0.25">
      <c r="A31" s="47"/>
      <c r="B31" s="48"/>
      <c r="C31" s="49"/>
      <c r="D31" s="55"/>
      <c r="E31" s="49"/>
      <c r="F31" s="49"/>
      <c r="G31" s="50"/>
      <c r="H31" s="51"/>
    </row>
    <row r="32" spans="1:8" ht="16.2" thickBot="1" x14ac:dyDescent="0.35">
      <c r="A32" s="4" t="s">
        <v>165</v>
      </c>
      <c r="B32" s="5"/>
      <c r="C32" s="5"/>
      <c r="D32" s="5"/>
      <c r="E32" s="5"/>
      <c r="F32" s="5"/>
      <c r="G32" s="5"/>
      <c r="H32" s="6"/>
    </row>
    <row r="33" spans="1:8" x14ac:dyDescent="0.25">
      <c r="A33" s="7"/>
      <c r="B33" s="8"/>
      <c r="C33" s="220" t="s">
        <v>16</v>
      </c>
      <c r="D33" s="214"/>
      <c r="E33" s="214"/>
      <c r="F33" s="221"/>
      <c r="G33" s="214" t="s">
        <v>1</v>
      </c>
      <c r="H33" s="215"/>
    </row>
    <row r="34" spans="1:8" x14ac:dyDescent="0.25">
      <c r="A34" s="12"/>
      <c r="B34" s="13"/>
      <c r="C34" s="204">
        <v>2016</v>
      </c>
      <c r="D34" s="205">
        <v>2017</v>
      </c>
      <c r="E34" s="205">
        <v>2018</v>
      </c>
      <c r="F34" s="16"/>
      <c r="G34" s="17" t="s">
        <v>238</v>
      </c>
      <c r="H34" s="18" t="s">
        <v>239</v>
      </c>
    </row>
    <row r="35" spans="1:8" ht="12.75" customHeight="1" x14ac:dyDescent="0.25">
      <c r="A35" s="216" t="s">
        <v>166</v>
      </c>
      <c r="B35" s="19" t="s">
        <v>3</v>
      </c>
      <c r="C35" s="79">
        <v>5391.969568126</v>
      </c>
      <c r="D35" s="79">
        <v>5239.1371201700003</v>
      </c>
      <c r="E35" s="80">
        <v>5641.0058583398904</v>
      </c>
      <c r="F35" s="22" t="s">
        <v>240</v>
      </c>
      <c r="G35" s="23">
        <v>4.6186516275247556</v>
      </c>
      <c r="H35" s="24">
        <v>7.6705138451663686</v>
      </c>
    </row>
    <row r="36" spans="1:8" ht="12.75" customHeight="1" x14ac:dyDescent="0.25">
      <c r="A36" s="217"/>
      <c r="B36" s="25" t="s">
        <v>241</v>
      </c>
      <c r="C36" s="81">
        <v>2460.811699936</v>
      </c>
      <c r="D36" s="81">
        <v>2985.487429965</v>
      </c>
      <c r="E36" s="81">
        <v>2968.4968054679998</v>
      </c>
      <c r="F36" s="27"/>
      <c r="G36" s="28">
        <v>20.63079859158681</v>
      </c>
      <c r="H36" s="29">
        <v>-0.5691072193594664</v>
      </c>
    </row>
    <row r="37" spans="1:8" x14ac:dyDescent="0.25">
      <c r="A37" s="30" t="s">
        <v>18</v>
      </c>
      <c r="B37" s="31" t="s">
        <v>3</v>
      </c>
      <c r="C37" s="79">
        <v>2389.417706966</v>
      </c>
      <c r="D37" s="79">
        <v>2587.0096344180001</v>
      </c>
      <c r="E37" s="82">
        <v>2283.9839767952726</v>
      </c>
      <c r="F37" s="22" t="s">
        <v>240</v>
      </c>
      <c r="G37" s="32">
        <v>-4.4125282014672678</v>
      </c>
      <c r="H37" s="33">
        <v>-11.713356362930554</v>
      </c>
    </row>
    <row r="38" spans="1:8" x14ac:dyDescent="0.25">
      <c r="A38" s="34"/>
      <c r="B38" s="25" t="s">
        <v>241</v>
      </c>
      <c r="C38" s="81">
        <v>979.26701838899999</v>
      </c>
      <c r="D38" s="81">
        <v>1660.090678178</v>
      </c>
      <c r="E38" s="81">
        <v>1233.093969883</v>
      </c>
      <c r="F38" s="27"/>
      <c r="G38" s="35">
        <v>25.920096023612913</v>
      </c>
      <c r="H38" s="29">
        <v>-25.72128823490786</v>
      </c>
    </row>
    <row r="39" spans="1:8" x14ac:dyDescent="0.25">
      <c r="A39" s="30" t="s">
        <v>19</v>
      </c>
      <c r="B39" s="31" t="s">
        <v>3</v>
      </c>
      <c r="C39" s="79">
        <v>1446.6180713900001</v>
      </c>
      <c r="D39" s="79">
        <v>1378.9831204330001</v>
      </c>
      <c r="E39" s="82">
        <v>1633.6251226569643</v>
      </c>
      <c r="F39" s="22" t="s">
        <v>240</v>
      </c>
      <c r="G39" s="37">
        <v>12.927188935727614</v>
      </c>
      <c r="H39" s="33">
        <v>18.465925974786884</v>
      </c>
    </row>
    <row r="40" spans="1:8" x14ac:dyDescent="0.25">
      <c r="A40" s="34"/>
      <c r="B40" s="25" t="s">
        <v>241</v>
      </c>
      <c r="C40" s="81">
        <v>698.12445108500003</v>
      </c>
      <c r="D40" s="81">
        <v>671.368395652</v>
      </c>
      <c r="E40" s="81">
        <v>793.00564171099995</v>
      </c>
      <c r="F40" s="27"/>
      <c r="G40" s="28">
        <v>13.590870578811405</v>
      </c>
      <c r="H40" s="29">
        <v>18.117809364688938</v>
      </c>
    </row>
    <row r="41" spans="1:8" x14ac:dyDescent="0.25">
      <c r="A41" s="30" t="s">
        <v>20</v>
      </c>
      <c r="B41" s="31" t="s">
        <v>3</v>
      </c>
      <c r="C41" s="79">
        <v>154.991751193</v>
      </c>
      <c r="D41" s="79">
        <v>148.14294570999999</v>
      </c>
      <c r="E41" s="82">
        <v>136.02602897589423</v>
      </c>
      <c r="F41" s="22" t="s">
        <v>240</v>
      </c>
      <c r="G41" s="23">
        <v>-12.236601026263088</v>
      </c>
      <c r="H41" s="24">
        <v>-8.1792060202619723</v>
      </c>
    </row>
    <row r="42" spans="1:8" x14ac:dyDescent="0.25">
      <c r="A42" s="34"/>
      <c r="B42" s="25" t="s">
        <v>241</v>
      </c>
      <c r="C42" s="81">
        <v>73.883671875000005</v>
      </c>
      <c r="D42" s="81">
        <v>81.921580840999994</v>
      </c>
      <c r="E42" s="81">
        <v>71.411209963999994</v>
      </c>
      <c r="F42" s="27"/>
      <c r="G42" s="38">
        <v>-3.3464253308674756</v>
      </c>
      <c r="H42" s="24">
        <v>-12.829794993091468</v>
      </c>
    </row>
    <row r="43" spans="1:8" x14ac:dyDescent="0.25">
      <c r="A43" s="30" t="s">
        <v>21</v>
      </c>
      <c r="B43" s="31" t="s">
        <v>3</v>
      </c>
      <c r="C43" s="79">
        <v>24.551870165</v>
      </c>
      <c r="D43" s="79">
        <v>15.958275899</v>
      </c>
      <c r="E43" s="82">
        <v>22.238596352193213</v>
      </c>
      <c r="F43" s="22" t="s">
        <v>240</v>
      </c>
      <c r="G43" s="37">
        <v>-9.4219861756375707</v>
      </c>
      <c r="H43" s="33">
        <v>39.354630117572782</v>
      </c>
    </row>
    <row r="44" spans="1:8" x14ac:dyDescent="0.25">
      <c r="A44" s="34"/>
      <c r="B44" s="25" t="s">
        <v>241</v>
      </c>
      <c r="C44" s="81">
        <v>8.6551999659999996</v>
      </c>
      <c r="D44" s="81">
        <v>8.0272262790000006</v>
      </c>
      <c r="E44" s="81">
        <v>9.7928578420000001</v>
      </c>
      <c r="F44" s="27"/>
      <c r="G44" s="28">
        <v>13.144212501952964</v>
      </c>
      <c r="H44" s="29">
        <v>21.995537457553212</v>
      </c>
    </row>
    <row r="45" spans="1:8" x14ac:dyDescent="0.25">
      <c r="A45" s="30" t="s">
        <v>190</v>
      </c>
      <c r="B45" s="31" t="s">
        <v>3</v>
      </c>
      <c r="C45" s="79">
        <v>509.62744555799998</v>
      </c>
      <c r="D45" s="79">
        <v>544.93154468199998</v>
      </c>
      <c r="E45" s="82">
        <v>1235.2483979912813</v>
      </c>
      <c r="F45" s="22" t="s">
        <v>240</v>
      </c>
      <c r="G45" s="37">
        <v>142.38262847849299</v>
      </c>
      <c r="H45" s="33">
        <v>126.67955453232614</v>
      </c>
    </row>
    <row r="46" spans="1:8" x14ac:dyDescent="0.25">
      <c r="A46" s="34"/>
      <c r="B46" s="25" t="s">
        <v>241</v>
      </c>
      <c r="C46" s="81">
        <v>229.21065923500001</v>
      </c>
      <c r="D46" s="81">
        <v>250.76591481400001</v>
      </c>
      <c r="E46" s="81">
        <v>564.079918142</v>
      </c>
      <c r="F46" s="27"/>
      <c r="G46" s="28">
        <v>146.09672169027385</v>
      </c>
      <c r="H46" s="29">
        <v>124.94281910697219</v>
      </c>
    </row>
    <row r="47" spans="1:8" x14ac:dyDescent="0.25">
      <c r="A47" s="39" t="s">
        <v>12</v>
      </c>
      <c r="B47" s="31" t="s">
        <v>3</v>
      </c>
      <c r="C47" s="79">
        <v>13.515949715</v>
      </c>
      <c r="D47" s="79">
        <v>28.212716235999999</v>
      </c>
      <c r="E47" s="82">
        <v>13.019628240537841</v>
      </c>
      <c r="F47" s="22" t="s">
        <v>240</v>
      </c>
      <c r="G47" s="37">
        <v>-3.6721169057868082</v>
      </c>
      <c r="H47" s="33">
        <v>-53.851915102295145</v>
      </c>
    </row>
    <row r="48" spans="1:8" x14ac:dyDescent="0.25">
      <c r="A48" s="34"/>
      <c r="B48" s="25" t="s">
        <v>241</v>
      </c>
      <c r="C48" s="81">
        <v>11.201595033</v>
      </c>
      <c r="D48" s="81">
        <v>10.759766282999999</v>
      </c>
      <c r="E48" s="81">
        <v>6.0549627040000003</v>
      </c>
      <c r="F48" s="27"/>
      <c r="G48" s="28">
        <v>-45.945531094794759</v>
      </c>
      <c r="H48" s="29">
        <v>-43.725890091436284</v>
      </c>
    </row>
    <row r="49" spans="1:8" x14ac:dyDescent="0.25">
      <c r="A49" s="39" t="s">
        <v>23</v>
      </c>
      <c r="B49" s="31" t="s">
        <v>3</v>
      </c>
      <c r="C49" s="79">
        <v>18.271812063999999</v>
      </c>
      <c r="D49" s="79">
        <v>25.122719309000001</v>
      </c>
      <c r="E49" s="82">
        <v>30.277397887674823</v>
      </c>
      <c r="F49" s="22" t="s">
        <v>240</v>
      </c>
      <c r="G49" s="23">
        <v>65.70550190437217</v>
      </c>
      <c r="H49" s="24">
        <v>20.517996142353127</v>
      </c>
    </row>
    <row r="50" spans="1:8" x14ac:dyDescent="0.25">
      <c r="A50" s="34"/>
      <c r="B50" s="25" t="s">
        <v>241</v>
      </c>
      <c r="C50" s="81">
        <v>10.849642920000001</v>
      </c>
      <c r="D50" s="81">
        <v>10.359351981</v>
      </c>
      <c r="E50" s="81">
        <v>13.900739407</v>
      </c>
      <c r="F50" s="27"/>
      <c r="G50" s="38">
        <v>28.121630449013878</v>
      </c>
      <c r="H50" s="24">
        <v>34.185414613725158</v>
      </c>
    </row>
    <row r="51" spans="1:8" x14ac:dyDescent="0.25">
      <c r="A51" s="30" t="s">
        <v>24</v>
      </c>
      <c r="B51" s="31" t="s">
        <v>3</v>
      </c>
      <c r="C51" s="79">
        <v>834.974961076</v>
      </c>
      <c r="D51" s="79">
        <v>510.776163483</v>
      </c>
      <c r="E51" s="82">
        <v>494.56061537787826</v>
      </c>
      <c r="F51" s="22" t="s">
        <v>240</v>
      </c>
      <c r="G51" s="37">
        <v>-40.769407654984406</v>
      </c>
      <c r="H51" s="33">
        <v>-3.1746877134099947</v>
      </c>
    </row>
    <row r="52" spans="1:8" ht="13.8" thickBot="1" x14ac:dyDescent="0.3">
      <c r="A52" s="41"/>
      <c r="B52" s="42" t="s">
        <v>241</v>
      </c>
      <c r="C52" s="85">
        <v>449.61946143400002</v>
      </c>
      <c r="D52" s="85">
        <v>292.194515938</v>
      </c>
      <c r="E52" s="85">
        <v>277.15750581499998</v>
      </c>
      <c r="F52" s="44"/>
      <c r="G52" s="45">
        <v>-38.357315555015369</v>
      </c>
      <c r="H52" s="46">
        <v>-5.1462328355918459</v>
      </c>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G61" s="53"/>
      <c r="H61" s="219">
        <v>17</v>
      </c>
    </row>
    <row r="62" spans="1:8" ht="12.75" customHeight="1" x14ac:dyDescent="0.25">
      <c r="A62" s="54" t="s">
        <v>243</v>
      </c>
      <c r="G62" s="53"/>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1" t="s">
        <v>0</v>
      </c>
      <c r="B2" s="2"/>
      <c r="C2" s="2"/>
      <c r="D2" s="2"/>
      <c r="E2" s="2"/>
      <c r="F2" s="2"/>
      <c r="G2" s="2"/>
    </row>
    <row r="3" spans="1:9" ht="6" customHeight="1" x14ac:dyDescent="0.25">
      <c r="A3" s="3"/>
      <c r="B3" s="2"/>
      <c r="C3" s="2"/>
      <c r="D3" s="2"/>
      <c r="E3" s="2"/>
      <c r="F3" s="2"/>
      <c r="G3" s="2"/>
    </row>
    <row r="4" spans="1:9" ht="16.2" thickBot="1" x14ac:dyDescent="0.35">
      <c r="A4" s="4" t="s">
        <v>152</v>
      </c>
      <c r="B4" s="5"/>
      <c r="C4" s="5"/>
      <c r="D4" s="5"/>
      <c r="E4" s="5"/>
      <c r="F4" s="5"/>
      <c r="G4" s="5"/>
      <c r="H4" s="6"/>
    </row>
    <row r="5" spans="1:9" x14ac:dyDescent="0.25">
      <c r="A5" s="7"/>
      <c r="B5" s="8"/>
      <c r="C5" s="9"/>
      <c r="D5" s="8"/>
      <c r="E5" s="10"/>
      <c r="F5" s="11"/>
      <c r="G5" s="214" t="s">
        <v>1</v>
      </c>
      <c r="H5" s="215"/>
    </row>
    <row r="6" spans="1:9" x14ac:dyDescent="0.25">
      <c r="A6" s="12"/>
      <c r="B6" s="13"/>
      <c r="C6" s="204">
        <v>2016</v>
      </c>
      <c r="D6" s="205">
        <v>2017</v>
      </c>
      <c r="E6" s="205">
        <v>2018</v>
      </c>
      <c r="F6" s="16"/>
      <c r="G6" s="17" t="s">
        <v>238</v>
      </c>
      <c r="H6" s="18" t="s">
        <v>239</v>
      </c>
    </row>
    <row r="7" spans="1:9" x14ac:dyDescent="0.25">
      <c r="A7" s="216" t="s">
        <v>58</v>
      </c>
      <c r="B7" s="19" t="s">
        <v>3</v>
      </c>
      <c r="C7" s="20">
        <v>9463</v>
      </c>
      <c r="D7" s="20">
        <v>10163.027167347</v>
      </c>
      <c r="E7" s="78">
        <v>10693.793374770154</v>
      </c>
      <c r="F7" s="22" t="s">
        <v>240</v>
      </c>
      <c r="G7" s="23">
        <v>13.006376146783836</v>
      </c>
      <c r="H7" s="24">
        <v>5.2225207970363812</v>
      </c>
    </row>
    <row r="8" spans="1:9" x14ac:dyDescent="0.25">
      <c r="A8" s="217"/>
      <c r="B8" s="25" t="s">
        <v>241</v>
      </c>
      <c r="C8" s="26">
        <v>4950.7766367349996</v>
      </c>
      <c r="D8" s="26">
        <v>5397.5735274389999</v>
      </c>
      <c r="E8" s="26">
        <v>5650.9223836729998</v>
      </c>
      <c r="F8" s="27"/>
      <c r="G8" s="28">
        <v>14.142139674468154</v>
      </c>
      <c r="H8" s="29">
        <v>4.6937546092902664</v>
      </c>
    </row>
    <row r="9" spans="1:9" x14ac:dyDescent="0.25">
      <c r="A9" s="30" t="s">
        <v>9</v>
      </c>
      <c r="B9" s="31" t="s">
        <v>3</v>
      </c>
      <c r="C9" s="20">
        <v>8892</v>
      </c>
      <c r="D9" s="20">
        <v>9762.3385142860006</v>
      </c>
      <c r="E9" s="21">
        <v>10335.933954459504</v>
      </c>
      <c r="F9" s="22" t="s">
        <v>240</v>
      </c>
      <c r="G9" s="32">
        <v>16.238573486948994</v>
      </c>
      <c r="H9" s="33">
        <v>5.8755946573058964</v>
      </c>
    </row>
    <row r="10" spans="1:9" x14ac:dyDescent="0.25">
      <c r="A10" s="34"/>
      <c r="B10" s="25" t="s">
        <v>241</v>
      </c>
      <c r="C10" s="26">
        <v>4649.4373714290005</v>
      </c>
      <c r="D10" s="26">
        <v>5155.810030529</v>
      </c>
      <c r="E10" s="26">
        <v>5440.522057143</v>
      </c>
      <c r="F10" s="27"/>
      <c r="G10" s="35">
        <v>17.014632578454552</v>
      </c>
      <c r="H10" s="29">
        <v>5.5221589804150994</v>
      </c>
    </row>
    <row r="11" spans="1:9" x14ac:dyDescent="0.25">
      <c r="A11" s="30" t="s">
        <v>46</v>
      </c>
      <c r="B11" s="31" t="s">
        <v>3</v>
      </c>
      <c r="C11" s="20">
        <v>536</v>
      </c>
      <c r="D11" s="20">
        <v>400.68865306100002</v>
      </c>
      <c r="E11" s="21">
        <v>398.63434488232286</v>
      </c>
      <c r="F11" s="22" t="s">
        <v>240</v>
      </c>
      <c r="G11" s="37">
        <v>-25.627920730909921</v>
      </c>
      <c r="H11" s="33">
        <v>-0.51269437329547429</v>
      </c>
    </row>
    <row r="12" spans="1:9" ht="13.8" thickBot="1" x14ac:dyDescent="0.3">
      <c r="A12" s="56"/>
      <c r="B12" s="42" t="s">
        <v>241</v>
      </c>
      <c r="C12" s="43">
        <v>301.33926530600002</v>
      </c>
      <c r="D12" s="43">
        <v>216.763496909</v>
      </c>
      <c r="E12" s="43">
        <v>218.40032653099999</v>
      </c>
      <c r="F12" s="44"/>
      <c r="G12" s="57">
        <v>-27.523442287143794</v>
      </c>
      <c r="H12" s="46">
        <v>0.75512235470493749</v>
      </c>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59</v>
      </c>
      <c r="B32" s="5"/>
      <c r="C32" s="5"/>
      <c r="D32" s="5"/>
      <c r="E32" s="5"/>
      <c r="F32" s="5"/>
      <c r="G32" s="5"/>
      <c r="H32" s="6"/>
    </row>
    <row r="33" spans="1:9" x14ac:dyDescent="0.25">
      <c r="A33" s="7"/>
      <c r="B33" s="8"/>
      <c r="C33" s="220" t="s">
        <v>16</v>
      </c>
      <c r="D33" s="214"/>
      <c r="E33" s="214"/>
      <c r="F33" s="221"/>
      <c r="G33" s="214" t="s">
        <v>1</v>
      </c>
      <c r="H33" s="215"/>
    </row>
    <row r="34" spans="1:9" x14ac:dyDescent="0.25">
      <c r="A34" s="12"/>
      <c r="B34" s="13"/>
      <c r="C34" s="204">
        <v>2016</v>
      </c>
      <c r="D34" s="205">
        <v>2017</v>
      </c>
      <c r="E34" s="205">
        <v>2018</v>
      </c>
      <c r="F34" s="16"/>
      <c r="G34" s="17" t="s">
        <v>238</v>
      </c>
      <c r="H34" s="18" t="s">
        <v>239</v>
      </c>
    </row>
    <row r="35" spans="1:9" ht="12.75" customHeight="1" x14ac:dyDescent="0.25">
      <c r="A35" s="216" t="s">
        <v>58</v>
      </c>
      <c r="B35" s="19" t="s">
        <v>3</v>
      </c>
      <c r="C35" s="79">
        <v>1966.977229306</v>
      </c>
      <c r="D35" s="79">
        <v>1881.452158285</v>
      </c>
      <c r="E35" s="80">
        <v>1741.4661679333192</v>
      </c>
      <c r="F35" s="22" t="s">
        <v>240</v>
      </c>
      <c r="G35" s="23">
        <v>-11.464853685787048</v>
      </c>
      <c r="H35" s="24">
        <v>-7.4403162331420702</v>
      </c>
    </row>
    <row r="36" spans="1:9" ht="12.75" customHeight="1" x14ac:dyDescent="0.25">
      <c r="A36" s="217"/>
      <c r="B36" s="25" t="s">
        <v>241</v>
      </c>
      <c r="C36" s="81">
        <v>1005.193879384</v>
      </c>
      <c r="D36" s="81">
        <v>1025.8261380930001</v>
      </c>
      <c r="E36" s="81">
        <v>928.78469140599998</v>
      </c>
      <c r="F36" s="27"/>
      <c r="G36" s="28">
        <v>-7.6014378464804082</v>
      </c>
      <c r="H36" s="29">
        <v>-9.4598336972968013</v>
      </c>
    </row>
    <row r="37" spans="1:9" x14ac:dyDescent="0.25">
      <c r="A37" s="30" t="s">
        <v>9</v>
      </c>
      <c r="B37" s="31" t="s">
        <v>3</v>
      </c>
      <c r="C37" s="79">
        <v>1431.049438328</v>
      </c>
      <c r="D37" s="79">
        <v>1384.757445149</v>
      </c>
      <c r="E37" s="82">
        <v>1389.7929142685489</v>
      </c>
      <c r="F37" s="22" t="s">
        <v>240</v>
      </c>
      <c r="G37" s="32">
        <v>-2.8829558891867606</v>
      </c>
      <c r="H37" s="33">
        <v>0.36363546101078725</v>
      </c>
    </row>
    <row r="38" spans="1:9" x14ac:dyDescent="0.25">
      <c r="A38" s="34"/>
      <c r="B38" s="25" t="s">
        <v>241</v>
      </c>
      <c r="C38" s="81">
        <v>724.36929769799997</v>
      </c>
      <c r="D38" s="81">
        <v>724.16659869299997</v>
      </c>
      <c r="E38" s="81">
        <v>718.85881330200004</v>
      </c>
      <c r="F38" s="27"/>
      <c r="G38" s="35">
        <v>-0.76072859707223017</v>
      </c>
      <c r="H38" s="29">
        <v>-0.73295087077747212</v>
      </c>
    </row>
    <row r="39" spans="1:9" x14ac:dyDescent="0.25">
      <c r="A39" s="30" t="s">
        <v>46</v>
      </c>
      <c r="B39" s="31" t="s">
        <v>3</v>
      </c>
      <c r="C39" s="79">
        <v>535.92779097799996</v>
      </c>
      <c r="D39" s="79">
        <v>496.69471313600002</v>
      </c>
      <c r="E39" s="82">
        <v>363.97572333472471</v>
      </c>
      <c r="F39" s="22" t="s">
        <v>240</v>
      </c>
      <c r="G39" s="37">
        <v>-32.084932063232742</v>
      </c>
      <c r="H39" s="33">
        <v>-26.72043536830148</v>
      </c>
    </row>
    <row r="40" spans="1:9" ht="13.8" thickBot="1" x14ac:dyDescent="0.3">
      <c r="A40" s="56"/>
      <c r="B40" s="42" t="s">
        <v>241</v>
      </c>
      <c r="C40" s="85">
        <v>280.82458168599999</v>
      </c>
      <c r="D40" s="85">
        <v>301.65953940000003</v>
      </c>
      <c r="E40" s="85">
        <v>209.92587810399999</v>
      </c>
      <c r="F40" s="44"/>
      <c r="G40" s="57">
        <v>-25.246615932388124</v>
      </c>
      <c r="H40" s="46">
        <v>-30.409666963775791</v>
      </c>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6"/>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H61" s="209">
        <v>18</v>
      </c>
    </row>
    <row r="62" spans="1:9" ht="12.75" customHeight="1" x14ac:dyDescent="0.25">
      <c r="A62" s="54" t="s">
        <v>243</v>
      </c>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1" t="s">
        <v>0</v>
      </c>
      <c r="B2" s="2"/>
      <c r="C2" s="2"/>
      <c r="D2" s="2"/>
      <c r="E2" s="2"/>
      <c r="F2" s="2"/>
      <c r="G2" s="2"/>
    </row>
    <row r="3" spans="1:9" ht="6" customHeight="1" x14ac:dyDescent="0.25">
      <c r="A3" s="3"/>
      <c r="B3" s="2"/>
      <c r="C3" s="2"/>
      <c r="D3" s="2"/>
      <c r="E3" s="2"/>
      <c r="F3" s="2"/>
      <c r="G3" s="2"/>
    </row>
    <row r="4" spans="1:9" ht="16.2" thickBot="1" x14ac:dyDescent="0.35">
      <c r="A4" s="4" t="s">
        <v>153</v>
      </c>
      <c r="B4" s="5"/>
      <c r="C4" s="5"/>
      <c r="D4" s="5"/>
      <c r="E4" s="5"/>
      <c r="F4" s="5"/>
      <c r="G4" s="5"/>
      <c r="H4" s="6"/>
    </row>
    <row r="5" spans="1:9" x14ac:dyDescent="0.25">
      <c r="A5" s="7"/>
      <c r="B5" s="8"/>
      <c r="C5" s="9"/>
      <c r="D5" s="8"/>
      <c r="E5" s="10"/>
      <c r="F5" s="11"/>
      <c r="G5" s="214" t="s">
        <v>1</v>
      </c>
      <c r="H5" s="215"/>
    </row>
    <row r="6" spans="1:9" x14ac:dyDescent="0.25">
      <c r="A6" s="12"/>
      <c r="B6" s="13"/>
      <c r="C6" s="204">
        <v>2016</v>
      </c>
      <c r="D6" s="205">
        <v>2017</v>
      </c>
      <c r="E6" s="205">
        <v>2018</v>
      </c>
      <c r="F6" s="16"/>
      <c r="G6" s="17" t="s">
        <v>238</v>
      </c>
      <c r="H6" s="18" t="s">
        <v>239</v>
      </c>
    </row>
    <row r="7" spans="1:9" x14ac:dyDescent="0.25">
      <c r="A7" s="216" t="s">
        <v>57</v>
      </c>
      <c r="B7" s="19" t="s">
        <v>3</v>
      </c>
      <c r="C7" s="20">
        <v>4979</v>
      </c>
      <c r="D7" s="20">
        <v>4569</v>
      </c>
      <c r="E7" s="78">
        <v>4215.195681697297</v>
      </c>
      <c r="F7" s="22" t="s">
        <v>240</v>
      </c>
      <c r="G7" s="23">
        <v>-15.34051653550317</v>
      </c>
      <c r="H7" s="24">
        <v>-7.7435832414686558</v>
      </c>
    </row>
    <row r="8" spans="1:9" x14ac:dyDescent="0.25">
      <c r="A8" s="217"/>
      <c r="B8" s="25" t="s">
        <v>241</v>
      </c>
      <c r="C8" s="26">
        <v>2612</v>
      </c>
      <c r="D8" s="26">
        <v>2578.0918587430001</v>
      </c>
      <c r="E8" s="26">
        <v>2320</v>
      </c>
      <c r="F8" s="27"/>
      <c r="G8" s="28">
        <v>-11.179173047473199</v>
      </c>
      <c r="H8" s="29">
        <v>-10.010964421913101</v>
      </c>
    </row>
    <row r="9" spans="1:9" x14ac:dyDescent="0.25">
      <c r="A9" s="30" t="s">
        <v>9</v>
      </c>
      <c r="B9" s="31" t="s">
        <v>3</v>
      </c>
      <c r="C9" s="20">
        <v>1520</v>
      </c>
      <c r="D9" s="20">
        <v>1831</v>
      </c>
      <c r="E9" s="21">
        <v>1549.9726880614833</v>
      </c>
      <c r="F9" s="22" t="s">
        <v>240</v>
      </c>
      <c r="G9" s="32">
        <v>1.9718873724660142</v>
      </c>
      <c r="H9" s="33">
        <v>-15.348296665129254</v>
      </c>
    </row>
    <row r="10" spans="1:9" x14ac:dyDescent="0.25">
      <c r="A10" s="34"/>
      <c r="B10" s="25" t="s">
        <v>241</v>
      </c>
      <c r="C10" s="26">
        <v>1206</v>
      </c>
      <c r="D10" s="26">
        <v>934.72790582899995</v>
      </c>
      <c r="E10" s="26">
        <v>898</v>
      </c>
      <c r="F10" s="27"/>
      <c r="G10" s="35">
        <v>-25.538971807628513</v>
      </c>
      <c r="H10" s="29">
        <v>-3.9292617241833909</v>
      </c>
    </row>
    <row r="11" spans="1:9" x14ac:dyDescent="0.25">
      <c r="A11" s="30" t="s">
        <v>46</v>
      </c>
      <c r="B11" s="31" t="s">
        <v>3</v>
      </c>
      <c r="C11" s="20">
        <v>2367</v>
      </c>
      <c r="D11" s="20">
        <v>1853</v>
      </c>
      <c r="E11" s="21">
        <v>1682.4528314009681</v>
      </c>
      <c r="F11" s="22" t="s">
        <v>240</v>
      </c>
      <c r="G11" s="37">
        <v>-28.920454947149636</v>
      </c>
      <c r="H11" s="33">
        <v>-9.2038407230994039</v>
      </c>
    </row>
    <row r="12" spans="1:9" x14ac:dyDescent="0.25">
      <c r="A12" s="34"/>
      <c r="B12" s="25" t="s">
        <v>241</v>
      </c>
      <c r="C12" s="26">
        <v>1015</v>
      </c>
      <c r="D12" s="26">
        <v>992.36395291400004</v>
      </c>
      <c r="E12" s="26">
        <v>832</v>
      </c>
      <c r="F12" s="27"/>
      <c r="G12" s="28">
        <v>-18.029556650246306</v>
      </c>
      <c r="H12" s="29">
        <v>-16.1597922257357</v>
      </c>
    </row>
    <row r="13" spans="1:9" x14ac:dyDescent="0.25">
      <c r="A13" s="30" t="s">
        <v>24</v>
      </c>
      <c r="B13" s="31" t="s">
        <v>3</v>
      </c>
      <c r="C13" s="20">
        <v>1332</v>
      </c>
      <c r="D13" s="20">
        <v>927</v>
      </c>
      <c r="E13" s="21">
        <v>1154.7607016007778</v>
      </c>
      <c r="F13" s="22" t="s">
        <v>240</v>
      </c>
      <c r="G13" s="23">
        <v>-13.306253633575238</v>
      </c>
      <c r="H13" s="24">
        <v>24.569654973115178</v>
      </c>
    </row>
    <row r="14" spans="1:9" ht="13.8" thickBot="1" x14ac:dyDescent="0.3">
      <c r="A14" s="56"/>
      <c r="B14" s="42" t="s">
        <v>241</v>
      </c>
      <c r="C14" s="43">
        <v>449</v>
      </c>
      <c r="D14" s="43">
        <v>658.18197645700002</v>
      </c>
      <c r="E14" s="43">
        <v>599</v>
      </c>
      <c r="F14" s="44"/>
      <c r="G14" s="57">
        <v>33.4075723830735</v>
      </c>
      <c r="H14" s="46">
        <v>-8.9917345922441001</v>
      </c>
    </row>
    <row r="15" spans="1:9" x14ac:dyDescent="0.25">
      <c r="A15" s="58"/>
      <c r="B15" s="62"/>
      <c r="C15" s="21"/>
      <c r="D15" s="21"/>
      <c r="E15" s="21"/>
      <c r="F15" s="63"/>
      <c r="G15" s="38"/>
      <c r="H15" s="60"/>
      <c r="I15" s="61"/>
    </row>
    <row r="16" spans="1:9" x14ac:dyDescent="0.25">
      <c r="A16" s="58"/>
      <c r="B16" s="62"/>
      <c r="C16" s="21"/>
      <c r="D16" s="21"/>
      <c r="E16" s="21"/>
      <c r="F16" s="63"/>
      <c r="G16" s="38"/>
      <c r="H16" s="60"/>
      <c r="I16" s="61"/>
    </row>
    <row r="17" spans="1:9" x14ac:dyDescent="0.25">
      <c r="A17" s="58"/>
      <c r="B17" s="62"/>
      <c r="C17" s="21"/>
      <c r="D17" s="21"/>
      <c r="E17" s="21"/>
      <c r="F17" s="63"/>
      <c r="G17" s="38"/>
      <c r="H17" s="60"/>
      <c r="I17" s="61"/>
    </row>
    <row r="18" spans="1:9" x14ac:dyDescent="0.25">
      <c r="A18" s="58"/>
      <c r="B18" s="62"/>
      <c r="C18" s="21"/>
      <c r="D18" s="21"/>
      <c r="E18" s="21"/>
      <c r="F18" s="63"/>
      <c r="G18" s="38"/>
      <c r="H18" s="60"/>
      <c r="I18" s="61"/>
    </row>
    <row r="19" spans="1:9" x14ac:dyDescent="0.25">
      <c r="A19" s="58"/>
      <c r="B19" s="62"/>
      <c r="C19" s="21"/>
      <c r="D19" s="21"/>
      <c r="E19" s="21"/>
      <c r="F19" s="63"/>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66" t="s">
        <v>73</v>
      </c>
      <c r="B32" s="5"/>
      <c r="C32" s="5"/>
      <c r="D32" s="5"/>
      <c r="E32" s="5"/>
      <c r="F32" s="5"/>
      <c r="G32" s="5"/>
      <c r="H32" s="6"/>
    </row>
    <row r="33" spans="1:9" x14ac:dyDescent="0.25">
      <c r="A33" s="7"/>
      <c r="B33" s="8"/>
      <c r="C33" s="220" t="s">
        <v>16</v>
      </c>
      <c r="D33" s="214"/>
      <c r="E33" s="214"/>
      <c r="F33" s="221"/>
      <c r="G33" s="214" t="s">
        <v>1</v>
      </c>
      <c r="H33" s="215"/>
    </row>
    <row r="34" spans="1:9" x14ac:dyDescent="0.25">
      <c r="A34" s="12"/>
      <c r="B34" s="13"/>
      <c r="C34" s="204">
        <v>2016</v>
      </c>
      <c r="D34" s="205">
        <v>2017</v>
      </c>
      <c r="E34" s="205">
        <v>2018</v>
      </c>
      <c r="F34" s="16"/>
      <c r="G34" s="17" t="s">
        <v>238</v>
      </c>
      <c r="H34" s="18" t="s">
        <v>239</v>
      </c>
    </row>
    <row r="35" spans="1:9" ht="12.75" customHeight="1" x14ac:dyDescent="0.25">
      <c r="A35" s="216" t="s">
        <v>57</v>
      </c>
      <c r="B35" s="19" t="s">
        <v>3</v>
      </c>
      <c r="C35" s="79">
        <v>1986.7947992970001</v>
      </c>
      <c r="D35" s="79">
        <v>1779.098816145</v>
      </c>
      <c r="E35" s="80">
        <v>1704.4180344988226</v>
      </c>
      <c r="F35" s="22" t="s">
        <v>240</v>
      </c>
      <c r="G35" s="23">
        <v>-14.212678878467599</v>
      </c>
      <c r="H35" s="24">
        <v>-4.1976747423168774</v>
      </c>
    </row>
    <row r="36" spans="1:9" ht="12.75" customHeight="1" x14ac:dyDescent="0.25">
      <c r="A36" s="217"/>
      <c r="B36" s="25" t="s">
        <v>241</v>
      </c>
      <c r="C36" s="81">
        <v>1159.859386956</v>
      </c>
      <c r="D36" s="81">
        <v>908.11823416300001</v>
      </c>
      <c r="E36" s="81">
        <v>908.02671589399995</v>
      </c>
      <c r="F36" s="27"/>
      <c r="G36" s="28">
        <v>-21.712344952686351</v>
      </c>
      <c r="H36" s="29">
        <v>-1.007779224744354E-2</v>
      </c>
    </row>
    <row r="37" spans="1:9" x14ac:dyDescent="0.25">
      <c r="A37" s="30" t="s">
        <v>9</v>
      </c>
      <c r="B37" s="31" t="s">
        <v>3</v>
      </c>
      <c r="C37" s="79">
        <v>465.374435898</v>
      </c>
      <c r="D37" s="79">
        <v>382.74115421800002</v>
      </c>
      <c r="E37" s="82">
        <v>310.0713067007228</v>
      </c>
      <c r="F37" s="22" t="s">
        <v>240</v>
      </c>
      <c r="G37" s="32">
        <v>-33.371650270733028</v>
      </c>
      <c r="H37" s="33">
        <v>-18.986682439664236</v>
      </c>
    </row>
    <row r="38" spans="1:9" x14ac:dyDescent="0.25">
      <c r="A38" s="34"/>
      <c r="B38" s="25" t="s">
        <v>241</v>
      </c>
      <c r="C38" s="81">
        <v>375.56146225700002</v>
      </c>
      <c r="D38" s="81">
        <v>202.14318853200001</v>
      </c>
      <c r="E38" s="81">
        <v>185.08127653899999</v>
      </c>
      <c r="F38" s="27"/>
      <c r="G38" s="35">
        <v>-50.718778378717879</v>
      </c>
      <c r="H38" s="29">
        <v>-8.4405079967851862</v>
      </c>
    </row>
    <row r="39" spans="1:9" x14ac:dyDescent="0.25">
      <c r="A39" s="30" t="s">
        <v>46</v>
      </c>
      <c r="B39" s="31" t="s">
        <v>3</v>
      </c>
      <c r="C39" s="79">
        <v>1040.744808511</v>
      </c>
      <c r="D39" s="79">
        <v>974.59681551799997</v>
      </c>
      <c r="E39" s="82">
        <v>967.03214538935003</v>
      </c>
      <c r="F39" s="22" t="s">
        <v>240</v>
      </c>
      <c r="G39" s="37">
        <v>-7.0826837202398423</v>
      </c>
      <c r="H39" s="33">
        <v>-0.77618457275886499</v>
      </c>
    </row>
    <row r="40" spans="1:9" x14ac:dyDescent="0.25">
      <c r="A40" s="34"/>
      <c r="B40" s="25" t="s">
        <v>241</v>
      </c>
      <c r="C40" s="81">
        <v>542.998049251</v>
      </c>
      <c r="D40" s="81">
        <v>493.32821122600001</v>
      </c>
      <c r="E40" s="81">
        <v>494.41182274800002</v>
      </c>
      <c r="F40" s="27"/>
      <c r="G40" s="28">
        <v>-8.9477718327015623</v>
      </c>
      <c r="H40" s="29">
        <v>0.21965326477216252</v>
      </c>
    </row>
    <row r="41" spans="1:9" x14ac:dyDescent="0.25">
      <c r="A41" s="30" t="s">
        <v>24</v>
      </c>
      <c r="B41" s="31" t="s">
        <v>3</v>
      </c>
      <c r="C41" s="79">
        <v>480.67555488800002</v>
      </c>
      <c r="D41" s="79">
        <v>421.76084640900001</v>
      </c>
      <c r="E41" s="82">
        <v>453.92859616306873</v>
      </c>
      <c r="F41" s="22" t="s">
        <v>240</v>
      </c>
      <c r="G41" s="23">
        <v>-5.5644516249975453</v>
      </c>
      <c r="H41" s="24">
        <v>7.627011854693194</v>
      </c>
    </row>
    <row r="42" spans="1:9" ht="13.8" thickBot="1" x14ac:dyDescent="0.3">
      <c r="A42" s="56"/>
      <c r="B42" s="42" t="s">
        <v>241</v>
      </c>
      <c r="C42" s="85">
        <v>241.29987544799999</v>
      </c>
      <c r="D42" s="85">
        <v>212.64683440499999</v>
      </c>
      <c r="E42" s="85">
        <v>228.533616607</v>
      </c>
      <c r="F42" s="44"/>
      <c r="G42" s="57">
        <v>-5.2906197391515519</v>
      </c>
      <c r="H42" s="46">
        <v>7.4709704691594823</v>
      </c>
    </row>
    <row r="43" spans="1:9" x14ac:dyDescent="0.25">
      <c r="A43" s="58"/>
      <c r="B43" s="62"/>
      <c r="C43" s="21"/>
      <c r="D43" s="21"/>
      <c r="E43" s="21"/>
      <c r="F43" s="63"/>
      <c r="G43" s="38"/>
      <c r="H43" s="60"/>
    </row>
    <row r="44" spans="1:9" x14ac:dyDescent="0.25">
      <c r="A44" s="58"/>
      <c r="B44" s="62"/>
      <c r="C44" s="21"/>
      <c r="D44" s="21"/>
      <c r="E44" s="21"/>
      <c r="F44" s="63"/>
      <c r="G44" s="38"/>
      <c r="H44" s="60"/>
    </row>
    <row r="45" spans="1:9" x14ac:dyDescent="0.25">
      <c r="A45" s="58"/>
      <c r="B45" s="62"/>
      <c r="C45" s="21"/>
      <c r="D45" s="21"/>
      <c r="E45" s="21"/>
      <c r="F45" s="63"/>
      <c r="G45" s="38"/>
      <c r="H45" s="60"/>
    </row>
    <row r="46" spans="1:9" x14ac:dyDescent="0.25">
      <c r="A46" s="58"/>
      <c r="B46" s="62"/>
      <c r="C46" s="21"/>
      <c r="D46" s="21"/>
      <c r="E46" s="21"/>
      <c r="F46" s="63"/>
      <c r="G46" s="38"/>
      <c r="H46" s="60"/>
    </row>
    <row r="47" spans="1:9" x14ac:dyDescent="0.25">
      <c r="A47" s="58"/>
      <c r="B47" s="62"/>
      <c r="C47" s="21"/>
      <c r="D47" s="21"/>
      <c r="E47" s="21"/>
      <c r="F47" s="63"/>
      <c r="G47" s="38"/>
      <c r="H47" s="60"/>
      <c r="I47" s="61"/>
    </row>
    <row r="48" spans="1:9" x14ac:dyDescent="0.25">
      <c r="A48" s="58"/>
      <c r="B48" s="62"/>
      <c r="C48" s="21"/>
      <c r="D48" s="21"/>
      <c r="E48" s="21"/>
      <c r="F48" s="63"/>
      <c r="G48" s="38"/>
      <c r="H48" s="60"/>
      <c r="I48" s="61"/>
    </row>
    <row r="49" spans="1:9" x14ac:dyDescent="0.25">
      <c r="A49" s="58"/>
      <c r="B49" s="58"/>
      <c r="C49" s="21"/>
      <c r="D49" s="21"/>
      <c r="E49" s="96"/>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G61" s="53"/>
      <c r="H61" s="219">
        <v>19</v>
      </c>
    </row>
    <row r="62" spans="1:9" ht="12.75" customHeight="1" x14ac:dyDescent="0.25">
      <c r="A62" s="54" t="s">
        <v>243</v>
      </c>
      <c r="G62" s="53"/>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1" t="s">
        <v>0</v>
      </c>
      <c r="B2" s="2"/>
      <c r="C2" s="2"/>
      <c r="D2" s="2"/>
      <c r="E2" s="2"/>
      <c r="F2" s="2"/>
      <c r="G2" s="2"/>
    </row>
    <row r="3" spans="1:9" ht="6" customHeight="1" x14ac:dyDescent="0.25">
      <c r="A3" s="3"/>
      <c r="B3" s="2"/>
      <c r="C3" s="2"/>
      <c r="D3" s="2"/>
      <c r="E3" s="2"/>
      <c r="F3" s="2"/>
      <c r="G3" s="2"/>
    </row>
    <row r="4" spans="1:9" ht="16.2" thickBot="1" x14ac:dyDescent="0.35">
      <c r="A4" s="4" t="s">
        <v>154</v>
      </c>
      <c r="B4" s="5"/>
      <c r="C4" s="5"/>
      <c r="D4" s="5"/>
      <c r="E4" s="5"/>
      <c r="F4" s="5"/>
      <c r="G4" s="5"/>
      <c r="H4" s="6"/>
    </row>
    <row r="5" spans="1:9" x14ac:dyDescent="0.25">
      <c r="A5" s="7"/>
      <c r="B5" s="8"/>
      <c r="C5" s="9"/>
      <c r="D5" s="8"/>
      <c r="E5" s="10"/>
      <c r="F5" s="11"/>
      <c r="G5" s="214" t="s">
        <v>1</v>
      </c>
      <c r="H5" s="215"/>
    </row>
    <row r="6" spans="1:9" x14ac:dyDescent="0.25">
      <c r="A6" s="12"/>
      <c r="B6" s="13"/>
      <c r="C6" s="204">
        <v>2016</v>
      </c>
      <c r="D6" s="205">
        <v>2017</v>
      </c>
      <c r="E6" s="205">
        <v>2018</v>
      </c>
      <c r="F6" s="16"/>
      <c r="G6" s="17" t="s">
        <v>238</v>
      </c>
      <c r="H6" s="18" t="s">
        <v>239</v>
      </c>
    </row>
    <row r="7" spans="1:9" ht="12.75" customHeight="1" x14ac:dyDescent="0.25">
      <c r="A7" s="216" t="s">
        <v>60</v>
      </c>
      <c r="B7" s="19" t="s">
        <v>3</v>
      </c>
      <c r="C7" s="20">
        <v>25480.007092866999</v>
      </c>
      <c r="D7" s="20">
        <v>23196.560000000001</v>
      </c>
      <c r="E7" s="78">
        <v>22146.656217293956</v>
      </c>
      <c r="F7" s="22" t="s">
        <v>240</v>
      </c>
      <c r="G7" s="23">
        <v>-13.082221144695822</v>
      </c>
      <c r="H7" s="24">
        <v>-4.5261184533656973</v>
      </c>
    </row>
    <row r="8" spans="1:9" ht="13.5" customHeight="1" thickBot="1" x14ac:dyDescent="0.3">
      <c r="A8" s="222"/>
      <c r="B8" s="42" t="s">
        <v>241</v>
      </c>
      <c r="C8" s="43">
        <v>13539.56</v>
      </c>
      <c r="D8" s="43">
        <v>12623.589153782999</v>
      </c>
      <c r="E8" s="43">
        <v>11956.071666667</v>
      </c>
      <c r="F8" s="44"/>
      <c r="G8" s="57">
        <v>-11.695271732116851</v>
      </c>
      <c r="H8" s="46">
        <v>-5.2878581438620387</v>
      </c>
    </row>
    <row r="9" spans="1:9" x14ac:dyDescent="0.25">
      <c r="A9" s="58"/>
      <c r="B9" s="58"/>
      <c r="C9" s="21"/>
      <c r="D9" s="21"/>
      <c r="E9" s="21"/>
      <c r="F9" s="59"/>
      <c r="G9" s="38"/>
      <c r="H9" s="60"/>
      <c r="I9" s="61"/>
    </row>
    <row r="10" spans="1:9" x14ac:dyDescent="0.25">
      <c r="A10" s="58"/>
      <c r="B10" s="58"/>
      <c r="C10" s="21"/>
      <c r="D10" s="21"/>
      <c r="E10" s="21"/>
      <c r="F10" s="59"/>
      <c r="G10" s="38"/>
      <c r="H10" s="60"/>
      <c r="I10" s="61"/>
    </row>
    <row r="11" spans="1:9" x14ac:dyDescent="0.25">
      <c r="A11" s="58"/>
      <c r="B11" s="58"/>
      <c r="C11" s="21"/>
      <c r="D11" s="21"/>
      <c r="E11" s="21"/>
      <c r="F11" s="59"/>
      <c r="G11" s="38"/>
      <c r="H11" s="60"/>
      <c r="I11" s="61"/>
    </row>
    <row r="12" spans="1:9" x14ac:dyDescent="0.25">
      <c r="A12" s="58"/>
      <c r="B12" s="58"/>
      <c r="C12" s="21"/>
      <c r="D12" s="21"/>
      <c r="E12" s="21"/>
      <c r="F12" s="59"/>
      <c r="G12" s="38"/>
      <c r="H12" s="60"/>
      <c r="I12" s="61"/>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72</v>
      </c>
      <c r="B32" s="5"/>
      <c r="C32" s="5"/>
      <c r="D32" s="5"/>
      <c r="E32" s="5"/>
      <c r="F32" s="5"/>
      <c r="G32" s="5"/>
      <c r="H32" s="6"/>
    </row>
    <row r="33" spans="1:9" x14ac:dyDescent="0.25">
      <c r="A33" s="7"/>
      <c r="B33" s="8"/>
      <c r="C33" s="220" t="s">
        <v>16</v>
      </c>
      <c r="D33" s="214"/>
      <c r="E33" s="214"/>
      <c r="F33" s="221"/>
      <c r="G33" s="214" t="s">
        <v>1</v>
      </c>
      <c r="H33" s="215"/>
    </row>
    <row r="34" spans="1:9" x14ac:dyDescent="0.25">
      <c r="A34" s="12"/>
      <c r="B34" s="13"/>
      <c r="C34" s="204">
        <v>2016</v>
      </c>
      <c r="D34" s="205">
        <v>2017</v>
      </c>
      <c r="E34" s="205">
        <v>2018</v>
      </c>
      <c r="F34" s="16"/>
      <c r="G34" s="17" t="s">
        <v>238</v>
      </c>
      <c r="H34" s="18" t="s">
        <v>239</v>
      </c>
    </row>
    <row r="35" spans="1:9" ht="12.75" customHeight="1" x14ac:dyDescent="0.25">
      <c r="A35" s="216" t="s">
        <v>60</v>
      </c>
      <c r="B35" s="19" t="s">
        <v>3</v>
      </c>
      <c r="C35" s="79">
        <v>507.423043302</v>
      </c>
      <c r="D35" s="79">
        <v>531.97624857400001</v>
      </c>
      <c r="E35" s="80">
        <v>563.28543203381219</v>
      </c>
      <c r="F35" s="22" t="s">
        <v>240</v>
      </c>
      <c r="G35" s="23">
        <v>11.009036635051842</v>
      </c>
      <c r="H35" s="24">
        <v>5.8854476198399084</v>
      </c>
    </row>
    <row r="36" spans="1:9" ht="12.75" customHeight="1" thickBot="1" x14ac:dyDescent="0.3">
      <c r="A36" s="222"/>
      <c r="B36" s="42" t="s">
        <v>241</v>
      </c>
      <c r="C36" s="85">
        <v>289.64428472700001</v>
      </c>
      <c r="D36" s="85">
        <v>259.13745973699997</v>
      </c>
      <c r="E36" s="85">
        <v>288.48809882500001</v>
      </c>
      <c r="F36" s="44"/>
      <c r="G36" s="57">
        <v>-0.39917442289247163</v>
      </c>
      <c r="H36" s="46">
        <v>11.326281857431255</v>
      </c>
    </row>
    <row r="37" spans="1:9" x14ac:dyDescent="0.25">
      <c r="A37" s="58"/>
      <c r="B37" s="58"/>
      <c r="C37" s="21"/>
      <c r="D37" s="21"/>
      <c r="E37" s="21"/>
      <c r="F37" s="59"/>
      <c r="G37" s="38"/>
      <c r="H37" s="60"/>
      <c r="I37" s="61"/>
    </row>
    <row r="38" spans="1:9" x14ac:dyDescent="0.25">
      <c r="A38" s="58"/>
      <c r="B38" s="62"/>
      <c r="C38" s="21"/>
      <c r="D38" s="21"/>
      <c r="E38" s="21"/>
      <c r="F38" s="63"/>
      <c r="G38" s="38"/>
      <c r="H38" s="60"/>
      <c r="I38" s="61"/>
    </row>
    <row r="39" spans="1:9" x14ac:dyDescent="0.25">
      <c r="A39" s="58"/>
      <c r="B39" s="58"/>
      <c r="C39" s="21"/>
      <c r="D39" s="21"/>
      <c r="E39" s="21"/>
      <c r="F39" s="59"/>
      <c r="G39" s="38"/>
      <c r="H39" s="60"/>
      <c r="I39" s="61"/>
    </row>
    <row r="40" spans="1:9" x14ac:dyDescent="0.25">
      <c r="A40" s="58"/>
      <c r="B40" s="62"/>
      <c r="C40" s="21"/>
      <c r="D40" s="21"/>
      <c r="E40" s="21"/>
      <c r="F40" s="63"/>
      <c r="G40" s="38"/>
      <c r="H40" s="60"/>
      <c r="I40" s="61"/>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6"/>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H61" s="209">
        <v>20</v>
      </c>
    </row>
    <row r="62" spans="1:9" ht="12.75" customHeight="1" x14ac:dyDescent="0.25">
      <c r="A62" s="54" t="s">
        <v>243</v>
      </c>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80" zoomScaleNormal="80" zoomScaleSheetLayoutView="50" workbookViewId="0"/>
  </sheetViews>
  <sheetFormatPr defaultColWidth="11.44140625" defaultRowHeight="13.2" x14ac:dyDescent="0.25"/>
  <cols>
    <col min="1" max="1" width="26.33203125" style="115" customWidth="1"/>
    <col min="2" max="2" width="8.109375" style="115" customWidth="1"/>
    <col min="3" max="4" width="10.5546875" style="115" customWidth="1"/>
    <col min="5" max="5" width="9.88671875" style="115" customWidth="1"/>
    <col min="6" max="6" width="1.6640625" style="115" customWidth="1"/>
    <col min="7" max="7" width="7.6640625" style="115" customWidth="1"/>
    <col min="8" max="8" width="8.88671875" style="115" customWidth="1"/>
    <col min="9" max="16384" width="11.44140625" style="115"/>
  </cols>
  <sheetData>
    <row r="1" spans="1:8" ht="5.25" customHeight="1" x14ac:dyDescent="0.25"/>
    <row r="2" spans="1:8" x14ac:dyDescent="0.25">
      <c r="A2" s="91" t="s">
        <v>0</v>
      </c>
      <c r="B2" s="116"/>
      <c r="C2" s="116"/>
      <c r="D2" s="116"/>
      <c r="E2" s="116"/>
      <c r="F2" s="116"/>
      <c r="G2" s="116"/>
    </row>
    <row r="3" spans="1:8" ht="6" customHeight="1" x14ac:dyDescent="0.25">
      <c r="A3" s="3"/>
      <c r="B3" s="116"/>
      <c r="C3" s="116"/>
      <c r="D3" s="116"/>
      <c r="E3" s="116"/>
      <c r="F3" s="116"/>
      <c r="G3" s="116"/>
    </row>
    <row r="4" spans="1:8" ht="16.2" thickBot="1" x14ac:dyDescent="0.35">
      <c r="A4" s="117" t="s">
        <v>216</v>
      </c>
      <c r="B4" s="118"/>
      <c r="C4" s="118"/>
      <c r="D4" s="118"/>
      <c r="E4" s="118"/>
      <c r="F4" s="118"/>
      <c r="G4" s="118"/>
      <c r="H4" s="119"/>
    </row>
    <row r="5" spans="1:8" x14ac:dyDescent="0.25">
      <c r="A5" s="120"/>
      <c r="B5" s="121"/>
      <c r="C5" s="122"/>
      <c r="D5" s="121"/>
      <c r="E5" s="123"/>
      <c r="F5" s="124"/>
      <c r="G5" s="225" t="s">
        <v>1</v>
      </c>
      <c r="H5" s="226"/>
    </row>
    <row r="6" spans="1:8" x14ac:dyDescent="0.25">
      <c r="A6" s="125"/>
      <c r="B6" s="126"/>
      <c r="C6" s="206">
        <v>2016</v>
      </c>
      <c r="D6" s="207">
        <v>2017</v>
      </c>
      <c r="E6" s="207">
        <v>2018</v>
      </c>
      <c r="F6" s="127"/>
      <c r="G6" s="128" t="s">
        <v>238</v>
      </c>
      <c r="H6" s="129" t="s">
        <v>239</v>
      </c>
    </row>
    <row r="7" spans="1:8" ht="12.75" customHeight="1" x14ac:dyDescent="0.25">
      <c r="A7" s="227" t="s">
        <v>196</v>
      </c>
      <c r="B7" s="130" t="s">
        <v>3</v>
      </c>
      <c r="C7" s="20">
        <v>5258</v>
      </c>
      <c r="D7" s="20">
        <v>5464</v>
      </c>
      <c r="E7" s="78">
        <v>6219.048035905982</v>
      </c>
      <c r="F7" s="22" t="s">
        <v>240</v>
      </c>
      <c r="G7" s="131">
        <v>18.277824950665305</v>
      </c>
      <c r="H7" s="132">
        <v>13.818595093447698</v>
      </c>
    </row>
    <row r="8" spans="1:8" ht="12.75" customHeight="1" x14ac:dyDescent="0.25">
      <c r="A8" s="228"/>
      <c r="B8" s="133" t="s">
        <v>241</v>
      </c>
      <c r="C8" s="26">
        <v>2476</v>
      </c>
      <c r="D8" s="26">
        <v>2999</v>
      </c>
      <c r="E8" s="26">
        <v>3234.8935446539999</v>
      </c>
      <c r="F8" s="27"/>
      <c r="G8" s="134">
        <v>30.649981609612269</v>
      </c>
      <c r="H8" s="135">
        <v>7.8657400684895009</v>
      </c>
    </row>
    <row r="9" spans="1:8" x14ac:dyDescent="0.25">
      <c r="A9" s="136" t="s">
        <v>197</v>
      </c>
      <c r="B9" s="137" t="s">
        <v>3</v>
      </c>
      <c r="C9" s="20">
        <v>1714</v>
      </c>
      <c r="D9" s="20">
        <v>1897</v>
      </c>
      <c r="E9" s="20">
        <v>2148.3873000975223</v>
      </c>
      <c r="F9" s="22" t="s">
        <v>240</v>
      </c>
      <c r="G9" s="138">
        <v>25.34348308620315</v>
      </c>
      <c r="H9" s="139">
        <v>13.251834480628474</v>
      </c>
    </row>
    <row r="10" spans="1:8" x14ac:dyDescent="0.25">
      <c r="A10" s="140"/>
      <c r="B10" s="133" t="s">
        <v>241</v>
      </c>
      <c r="C10" s="26">
        <v>860</v>
      </c>
      <c r="D10" s="26">
        <v>1004</v>
      </c>
      <c r="E10" s="26">
        <v>1116.643268608</v>
      </c>
      <c r="F10" s="27"/>
      <c r="G10" s="141">
        <v>29.842240535813943</v>
      </c>
      <c r="H10" s="135">
        <v>11.21944906454182</v>
      </c>
    </row>
    <row r="11" spans="1:8" x14ac:dyDescent="0.25">
      <c r="A11" s="136" t="s">
        <v>198</v>
      </c>
      <c r="B11" s="137" t="s">
        <v>3</v>
      </c>
      <c r="C11" s="20">
        <v>344</v>
      </c>
      <c r="D11" s="20">
        <v>458</v>
      </c>
      <c r="E11" s="20">
        <v>654.79947150950147</v>
      </c>
      <c r="F11" s="22" t="s">
        <v>240</v>
      </c>
      <c r="G11" s="142">
        <v>90.34868357834344</v>
      </c>
      <c r="H11" s="139">
        <v>42.969316923471951</v>
      </c>
    </row>
    <row r="12" spans="1:8" x14ac:dyDescent="0.25">
      <c r="A12" s="140"/>
      <c r="B12" s="133" t="s">
        <v>241</v>
      </c>
      <c r="C12" s="26">
        <v>184</v>
      </c>
      <c r="D12" s="26">
        <v>237</v>
      </c>
      <c r="E12" s="26">
        <v>342.55528831999999</v>
      </c>
      <c r="F12" s="27"/>
      <c r="G12" s="134">
        <v>86.171352347826087</v>
      </c>
      <c r="H12" s="135">
        <v>44.538096337552759</v>
      </c>
    </row>
    <row r="13" spans="1:8" x14ac:dyDescent="0.25">
      <c r="A13" s="136" t="s">
        <v>232</v>
      </c>
      <c r="B13" s="137" t="s">
        <v>3</v>
      </c>
      <c r="C13" s="20">
        <v>157</v>
      </c>
      <c r="D13" s="20">
        <v>120</v>
      </c>
      <c r="E13" s="20">
        <v>214.50813875199998</v>
      </c>
      <c r="F13" s="22" t="s">
        <v>240</v>
      </c>
      <c r="G13" s="131">
        <v>36.629387740127385</v>
      </c>
      <c r="H13" s="132">
        <v>78.756782293333316</v>
      </c>
    </row>
    <row r="14" spans="1:8" x14ac:dyDescent="0.25">
      <c r="A14" s="140"/>
      <c r="B14" s="133" t="s">
        <v>241</v>
      </c>
      <c r="C14" s="26">
        <v>39</v>
      </c>
      <c r="D14" s="26">
        <v>96</v>
      </c>
      <c r="E14" s="26">
        <v>98.614743551999993</v>
      </c>
      <c r="F14" s="27"/>
      <c r="G14" s="143">
        <v>152.85831679999998</v>
      </c>
      <c r="H14" s="132">
        <v>2.7236912000000046</v>
      </c>
    </row>
    <row r="15" spans="1:8" x14ac:dyDescent="0.25">
      <c r="A15" s="136" t="s">
        <v>199</v>
      </c>
      <c r="B15" s="137" t="s">
        <v>3</v>
      </c>
      <c r="C15" s="20">
        <v>1989</v>
      </c>
      <c r="D15" s="20">
        <v>2181</v>
      </c>
      <c r="E15" s="20">
        <v>2317.8607604102008</v>
      </c>
      <c r="F15" s="22" t="s">
        <v>240</v>
      </c>
      <c r="G15" s="142">
        <v>16.53397488236304</v>
      </c>
      <c r="H15" s="139">
        <v>6.2751380288950287</v>
      </c>
    </row>
    <row r="16" spans="1:8" x14ac:dyDescent="0.25">
      <c r="A16" s="140"/>
      <c r="B16" s="133" t="s">
        <v>241</v>
      </c>
      <c r="C16" s="26">
        <v>974</v>
      </c>
      <c r="D16" s="26">
        <v>1155</v>
      </c>
      <c r="E16" s="26">
        <v>1195.03685888</v>
      </c>
      <c r="F16" s="27"/>
      <c r="G16" s="134">
        <v>22.693722677618069</v>
      </c>
      <c r="H16" s="135">
        <v>3.4663947082250957</v>
      </c>
    </row>
    <row r="17" spans="1:9" x14ac:dyDescent="0.25">
      <c r="A17" s="136" t="s">
        <v>200</v>
      </c>
      <c r="B17" s="137" t="s">
        <v>3</v>
      </c>
      <c r="C17" s="20">
        <v>385</v>
      </c>
      <c r="D17" s="20">
        <v>541</v>
      </c>
      <c r="E17" s="20">
        <v>542.12780898062817</v>
      </c>
      <c r="F17" s="22" t="s">
        <v>240</v>
      </c>
      <c r="G17" s="142">
        <v>40.812417917046275</v>
      </c>
      <c r="H17" s="139">
        <v>0.20846746407174521</v>
      </c>
    </row>
    <row r="18" spans="1:9" x14ac:dyDescent="0.25">
      <c r="A18" s="136"/>
      <c r="B18" s="133" t="s">
        <v>241</v>
      </c>
      <c r="C18" s="26">
        <v>183</v>
      </c>
      <c r="D18" s="26">
        <v>328</v>
      </c>
      <c r="E18" s="26">
        <v>301.03685888000001</v>
      </c>
      <c r="F18" s="27"/>
      <c r="G18" s="134">
        <v>64.50101578142079</v>
      </c>
      <c r="H18" s="135">
        <v>-8.2204698536585283</v>
      </c>
    </row>
    <row r="19" spans="1:9" x14ac:dyDescent="0.25">
      <c r="A19" s="144" t="s">
        <v>201</v>
      </c>
      <c r="B19" s="137" t="s">
        <v>3</v>
      </c>
      <c r="C19" s="20">
        <v>33</v>
      </c>
      <c r="D19" s="20">
        <v>26</v>
      </c>
      <c r="E19" s="20">
        <v>43.433015765333323</v>
      </c>
      <c r="F19" s="22" t="s">
        <v>240</v>
      </c>
      <c r="G19" s="131">
        <v>31.615199288888846</v>
      </c>
      <c r="H19" s="132">
        <v>67.05006063589741</v>
      </c>
    </row>
    <row r="20" spans="1:9" x14ac:dyDescent="0.25">
      <c r="A20" s="140"/>
      <c r="B20" s="133" t="s">
        <v>241</v>
      </c>
      <c r="C20" s="26">
        <v>22</v>
      </c>
      <c r="D20" s="26">
        <v>9</v>
      </c>
      <c r="E20" s="26">
        <v>17.903685887999998</v>
      </c>
      <c r="F20" s="27"/>
      <c r="G20" s="143">
        <v>-18.619609600000004</v>
      </c>
      <c r="H20" s="132">
        <v>98.929843199999965</v>
      </c>
    </row>
    <row r="21" spans="1:9" x14ac:dyDescent="0.25">
      <c r="A21" s="144" t="s">
        <v>202</v>
      </c>
      <c r="B21" s="137" t="s">
        <v>3</v>
      </c>
      <c r="C21" s="20">
        <v>19</v>
      </c>
      <c r="D21" s="20">
        <v>84</v>
      </c>
      <c r="E21" s="20">
        <v>69.970107694583334</v>
      </c>
      <c r="F21" s="22" t="s">
        <v>240</v>
      </c>
      <c r="G21" s="142">
        <v>268.26372470833337</v>
      </c>
      <c r="H21" s="139">
        <v>-16.702252744543657</v>
      </c>
    </row>
    <row r="22" spans="1:9" x14ac:dyDescent="0.25">
      <c r="A22" s="140"/>
      <c r="B22" s="133" t="s">
        <v>241</v>
      </c>
      <c r="C22" s="26">
        <v>4</v>
      </c>
      <c r="D22" s="26">
        <v>7</v>
      </c>
      <c r="E22" s="26">
        <v>7.3012286289999997</v>
      </c>
      <c r="F22" s="27"/>
      <c r="G22" s="134">
        <v>82.530715724999993</v>
      </c>
      <c r="H22" s="135">
        <v>4.3032661285714084</v>
      </c>
    </row>
    <row r="23" spans="1:9" x14ac:dyDescent="0.25">
      <c r="A23" s="144" t="s">
        <v>203</v>
      </c>
      <c r="B23" s="137" t="s">
        <v>3</v>
      </c>
      <c r="C23" s="20">
        <v>178</v>
      </c>
      <c r="D23" s="20">
        <v>188</v>
      </c>
      <c r="E23" s="20">
        <v>141.96724468281846</v>
      </c>
      <c r="F23" s="22" t="s">
        <v>240</v>
      </c>
      <c r="G23" s="142">
        <v>-20.243120964708723</v>
      </c>
      <c r="H23" s="139">
        <v>-24.485508147436988</v>
      </c>
    </row>
    <row r="24" spans="1:9" x14ac:dyDescent="0.25">
      <c r="A24" s="140"/>
      <c r="B24" s="133" t="s">
        <v>241</v>
      </c>
      <c r="C24" s="26">
        <v>99</v>
      </c>
      <c r="D24" s="26">
        <v>137</v>
      </c>
      <c r="E24" s="26">
        <v>93.759214720000003</v>
      </c>
      <c r="F24" s="27"/>
      <c r="G24" s="134">
        <v>-5.2937225050504964</v>
      </c>
      <c r="H24" s="135">
        <v>-31.562616992700725</v>
      </c>
    </row>
    <row r="25" spans="1:9" x14ac:dyDescent="0.25">
      <c r="A25" s="136" t="s">
        <v>24</v>
      </c>
      <c r="B25" s="137" t="s">
        <v>3</v>
      </c>
      <c r="C25" s="20">
        <v>1507</v>
      </c>
      <c r="D25" s="20">
        <v>1392</v>
      </c>
      <c r="E25" s="20">
        <v>1656.4477822133999</v>
      </c>
      <c r="F25" s="22" t="s">
        <v>240</v>
      </c>
      <c r="G25" s="131">
        <v>9.9169065835036321</v>
      </c>
      <c r="H25" s="132">
        <v>18.997685503836209</v>
      </c>
      <c r="I25" s="145"/>
    </row>
    <row r="26" spans="1:9" ht="13.8" thickBot="1" x14ac:dyDescent="0.3">
      <c r="A26" s="146"/>
      <c r="B26" s="147" t="s">
        <v>241</v>
      </c>
      <c r="C26" s="43">
        <v>530</v>
      </c>
      <c r="D26" s="43">
        <v>746</v>
      </c>
      <c r="E26" s="43">
        <v>755.75921472000005</v>
      </c>
      <c r="F26" s="44"/>
      <c r="G26" s="148">
        <v>42.596078249056603</v>
      </c>
      <c r="H26" s="149">
        <v>1.3082057265415585</v>
      </c>
      <c r="I26" s="145"/>
    </row>
    <row r="27" spans="1:9" x14ac:dyDescent="0.25">
      <c r="A27" s="150"/>
      <c r="B27" s="150"/>
      <c r="C27" s="64"/>
      <c r="D27" s="64"/>
      <c r="E27" s="21"/>
      <c r="F27" s="59"/>
      <c r="G27" s="143"/>
      <c r="H27" s="151"/>
      <c r="I27" s="145"/>
    </row>
    <row r="28" spans="1:9" x14ac:dyDescent="0.25">
      <c r="A28" s="150"/>
      <c r="B28" s="150"/>
      <c r="C28" s="64"/>
      <c r="D28" s="64"/>
      <c r="E28" s="21"/>
      <c r="F28" s="59"/>
      <c r="G28" s="143"/>
      <c r="H28" s="151"/>
      <c r="I28" s="145"/>
    </row>
    <row r="29" spans="1:9" x14ac:dyDescent="0.25">
      <c r="A29" s="150"/>
      <c r="B29" s="150"/>
      <c r="C29" s="64"/>
      <c r="D29" s="64"/>
      <c r="E29" s="21"/>
      <c r="F29" s="59"/>
      <c r="G29" s="143"/>
      <c r="H29" s="151"/>
      <c r="I29" s="145"/>
    </row>
    <row r="30" spans="1:9" x14ac:dyDescent="0.25">
      <c r="A30" s="152"/>
      <c r="B30" s="153"/>
      <c r="C30" s="21"/>
      <c r="D30" s="21"/>
      <c r="E30" s="21"/>
      <c r="F30" s="63"/>
      <c r="G30" s="143"/>
      <c r="H30" s="151"/>
      <c r="I30" s="145"/>
    </row>
    <row r="31" spans="1:9" x14ac:dyDescent="0.25">
      <c r="A31" s="154"/>
      <c r="B31" s="155"/>
      <c r="C31" s="49"/>
      <c r="D31" s="55"/>
      <c r="E31" s="49"/>
      <c r="F31" s="49"/>
      <c r="G31" s="156"/>
      <c r="H31" s="157"/>
      <c r="I31" s="145"/>
    </row>
    <row r="32" spans="1:9" ht="16.2" thickBot="1" x14ac:dyDescent="0.35">
      <c r="A32" s="117" t="s">
        <v>217</v>
      </c>
      <c r="B32" s="118"/>
      <c r="C32" s="118"/>
      <c r="D32" s="118"/>
      <c r="E32" s="118"/>
      <c r="F32" s="118"/>
      <c r="G32" s="118"/>
      <c r="H32" s="119"/>
    </row>
    <row r="33" spans="1:8" x14ac:dyDescent="0.25">
      <c r="A33" s="120"/>
      <c r="B33" s="121"/>
      <c r="C33" s="229" t="s">
        <v>16</v>
      </c>
      <c r="D33" s="225"/>
      <c r="E33" s="225"/>
      <c r="F33" s="230"/>
      <c r="G33" s="225" t="s">
        <v>1</v>
      </c>
      <c r="H33" s="226"/>
    </row>
    <row r="34" spans="1:8" x14ac:dyDescent="0.25">
      <c r="A34" s="125"/>
      <c r="B34" s="126"/>
      <c r="C34" s="206">
        <v>2016</v>
      </c>
      <c r="D34" s="207">
        <v>2017</v>
      </c>
      <c r="E34" s="207">
        <v>2018</v>
      </c>
      <c r="F34" s="127"/>
      <c r="G34" s="128" t="s">
        <v>238</v>
      </c>
      <c r="H34" s="129" t="s">
        <v>239</v>
      </c>
    </row>
    <row r="35" spans="1:8" ht="12.75" customHeight="1" x14ac:dyDescent="0.25">
      <c r="A35" s="227" t="s">
        <v>196</v>
      </c>
      <c r="B35" s="130" t="s">
        <v>3</v>
      </c>
      <c r="C35" s="79">
        <v>831.72795936499995</v>
      </c>
      <c r="D35" s="79">
        <v>991.88485422999997</v>
      </c>
      <c r="E35" s="80">
        <v>935.84990087536676</v>
      </c>
      <c r="F35" s="22" t="s">
        <v>240</v>
      </c>
      <c r="G35" s="131">
        <v>12.518749711126816</v>
      </c>
      <c r="H35" s="132">
        <v>-5.6493405575925664</v>
      </c>
    </row>
    <row r="36" spans="1:8" ht="12.75" customHeight="1" x14ac:dyDescent="0.25">
      <c r="A36" s="228"/>
      <c r="B36" s="133" t="s">
        <v>241</v>
      </c>
      <c r="C36" s="81">
        <v>453.81565637</v>
      </c>
      <c r="D36" s="81">
        <v>562.70128167500002</v>
      </c>
      <c r="E36" s="81">
        <v>523.97408594499996</v>
      </c>
      <c r="F36" s="27"/>
      <c r="G36" s="134">
        <v>15.459675881653396</v>
      </c>
      <c r="H36" s="135">
        <v>-6.8823720491128597</v>
      </c>
    </row>
    <row r="37" spans="1:8" x14ac:dyDescent="0.25">
      <c r="A37" s="136" t="s">
        <v>197</v>
      </c>
      <c r="B37" s="137" t="s">
        <v>3</v>
      </c>
      <c r="C37" s="79">
        <v>412.13149725199997</v>
      </c>
      <c r="D37" s="79">
        <v>499.919349775</v>
      </c>
      <c r="E37" s="79">
        <v>417.82363178447667</v>
      </c>
      <c r="F37" s="22" t="s">
        <v>240</v>
      </c>
      <c r="G37" s="138">
        <v>1.38114523408926</v>
      </c>
      <c r="H37" s="139">
        <v>-16.42179244061515</v>
      </c>
    </row>
    <row r="38" spans="1:8" x14ac:dyDescent="0.25">
      <c r="A38" s="140"/>
      <c r="B38" s="133" t="s">
        <v>241</v>
      </c>
      <c r="C38" s="81">
        <v>234.26569213299999</v>
      </c>
      <c r="D38" s="81">
        <v>313.19693063800003</v>
      </c>
      <c r="E38" s="81">
        <v>253.14398003900001</v>
      </c>
      <c r="F38" s="27"/>
      <c r="G38" s="141">
        <v>8.0584944957634832</v>
      </c>
      <c r="H38" s="135">
        <v>-19.174182351234649</v>
      </c>
    </row>
    <row r="39" spans="1:8" x14ac:dyDescent="0.25">
      <c r="A39" s="136" t="s">
        <v>198</v>
      </c>
      <c r="B39" s="137" t="s">
        <v>3</v>
      </c>
      <c r="C39" s="79">
        <v>52.074247155999998</v>
      </c>
      <c r="D39" s="79">
        <v>57.699737556999999</v>
      </c>
      <c r="E39" s="79">
        <v>62.969004641956175</v>
      </c>
      <c r="F39" s="22" t="s">
        <v>240</v>
      </c>
      <c r="G39" s="142">
        <v>20.921584239746196</v>
      </c>
      <c r="H39" s="139">
        <v>9.1322201938107668</v>
      </c>
    </row>
    <row r="40" spans="1:8" x14ac:dyDescent="0.25">
      <c r="A40" s="140"/>
      <c r="B40" s="133" t="s">
        <v>241</v>
      </c>
      <c r="C40" s="81">
        <v>29.373588363</v>
      </c>
      <c r="D40" s="81">
        <v>29.180750329999999</v>
      </c>
      <c r="E40" s="81">
        <v>32.982631822000002</v>
      </c>
      <c r="F40" s="27"/>
      <c r="G40" s="134">
        <v>12.286695838449475</v>
      </c>
      <c r="H40" s="135">
        <v>13.028731095003351</v>
      </c>
    </row>
    <row r="41" spans="1:8" x14ac:dyDescent="0.25">
      <c r="A41" s="136" t="s">
        <v>232</v>
      </c>
      <c r="B41" s="137" t="s">
        <v>3</v>
      </c>
      <c r="C41" s="79">
        <v>85.579461268000003</v>
      </c>
      <c r="D41" s="79">
        <v>77.360013136999996</v>
      </c>
      <c r="E41" s="79">
        <v>80.52768389573086</v>
      </c>
      <c r="F41" s="22" t="s">
        <v>240</v>
      </c>
      <c r="G41" s="131">
        <v>-5.9030254425755686</v>
      </c>
      <c r="H41" s="132">
        <v>4.0947133154193125</v>
      </c>
    </row>
    <row r="42" spans="1:8" x14ac:dyDescent="0.25">
      <c r="A42" s="140"/>
      <c r="B42" s="133" t="s">
        <v>241</v>
      </c>
      <c r="C42" s="81">
        <v>46.963258764999999</v>
      </c>
      <c r="D42" s="81">
        <v>50.094464565000003</v>
      </c>
      <c r="E42" s="81">
        <v>49.193940554000001</v>
      </c>
      <c r="F42" s="27"/>
      <c r="G42" s="143">
        <v>4.7498445543613883</v>
      </c>
      <c r="H42" s="132">
        <v>-1.7976517342181211</v>
      </c>
    </row>
    <row r="43" spans="1:8" x14ac:dyDescent="0.25">
      <c r="A43" s="136" t="s">
        <v>199</v>
      </c>
      <c r="B43" s="137" t="s">
        <v>3</v>
      </c>
      <c r="C43" s="79">
        <v>34.345372112</v>
      </c>
      <c r="D43" s="79">
        <v>41.184975391000002</v>
      </c>
      <c r="E43" s="79">
        <v>37.396776818851968</v>
      </c>
      <c r="F43" s="22" t="s">
        <v>240</v>
      </c>
      <c r="G43" s="142">
        <v>8.8844712379337665</v>
      </c>
      <c r="H43" s="139">
        <v>-9.1980110129575365</v>
      </c>
    </row>
    <row r="44" spans="1:8" x14ac:dyDescent="0.25">
      <c r="A44" s="140"/>
      <c r="B44" s="133" t="s">
        <v>241</v>
      </c>
      <c r="C44" s="81">
        <v>19.331365401999999</v>
      </c>
      <c r="D44" s="81">
        <v>23.313525236</v>
      </c>
      <c r="E44" s="81">
        <v>21.128895607</v>
      </c>
      <c r="F44" s="27"/>
      <c r="G44" s="134">
        <v>9.2985165176901177</v>
      </c>
      <c r="H44" s="135">
        <v>-9.370653330567805</v>
      </c>
    </row>
    <row r="45" spans="1:8" x14ac:dyDescent="0.25">
      <c r="A45" s="136" t="s">
        <v>200</v>
      </c>
      <c r="B45" s="137" t="s">
        <v>3</v>
      </c>
      <c r="C45" s="79">
        <v>11.843247022</v>
      </c>
      <c r="D45" s="79">
        <v>17.769426878000001</v>
      </c>
      <c r="E45" s="79">
        <v>17.562346261821009</v>
      </c>
      <c r="F45" s="22" t="s">
        <v>240</v>
      </c>
      <c r="G45" s="142">
        <v>48.289959917218795</v>
      </c>
      <c r="H45" s="139">
        <v>-1.1653758874765572</v>
      </c>
    </row>
    <row r="46" spans="1:8" x14ac:dyDescent="0.25">
      <c r="A46" s="136"/>
      <c r="B46" s="133" t="s">
        <v>241</v>
      </c>
      <c r="C46" s="81">
        <v>5.4889634799999998</v>
      </c>
      <c r="D46" s="81">
        <v>10.636737487</v>
      </c>
      <c r="E46" s="81">
        <v>9.5815702730000005</v>
      </c>
      <c r="F46" s="27"/>
      <c r="G46" s="134">
        <v>74.560648980670578</v>
      </c>
      <c r="H46" s="135">
        <v>-9.9200268436595564</v>
      </c>
    </row>
    <row r="47" spans="1:8" x14ac:dyDescent="0.25">
      <c r="A47" s="144" t="s">
        <v>201</v>
      </c>
      <c r="B47" s="137" t="s">
        <v>3</v>
      </c>
      <c r="C47" s="79">
        <v>8.7836500219999998</v>
      </c>
      <c r="D47" s="79">
        <v>7.2138101780000001</v>
      </c>
      <c r="E47" s="79">
        <v>8.1462098641582816</v>
      </c>
      <c r="F47" s="22" t="s">
        <v>240</v>
      </c>
      <c r="G47" s="131">
        <v>-7.2571215411036576</v>
      </c>
      <c r="H47" s="132">
        <v>12.925204062089506</v>
      </c>
    </row>
    <row r="48" spans="1:8" x14ac:dyDescent="0.25">
      <c r="A48" s="140"/>
      <c r="B48" s="133" t="s">
        <v>241</v>
      </c>
      <c r="C48" s="81">
        <v>4.9141294799999997</v>
      </c>
      <c r="D48" s="81">
        <v>3.626256047</v>
      </c>
      <c r="E48" s="81">
        <v>4.2383422980000001</v>
      </c>
      <c r="F48" s="27"/>
      <c r="G48" s="143">
        <v>-13.751920553790526</v>
      </c>
      <c r="H48" s="132">
        <v>16.879289357032008</v>
      </c>
    </row>
    <row r="49" spans="1:9" x14ac:dyDescent="0.25">
      <c r="A49" s="144" t="s">
        <v>202</v>
      </c>
      <c r="B49" s="137" t="s">
        <v>3</v>
      </c>
      <c r="C49" s="79">
        <v>5.6724030220000001</v>
      </c>
      <c r="D49" s="79">
        <v>19.561452178</v>
      </c>
      <c r="E49" s="79">
        <v>16.229200867955218</v>
      </c>
      <c r="F49" s="22" t="s">
        <v>240</v>
      </c>
      <c r="G49" s="142">
        <v>186.10803578327295</v>
      </c>
      <c r="H49" s="139">
        <v>-17.034784941950448</v>
      </c>
    </row>
    <row r="50" spans="1:9" x14ac:dyDescent="0.25">
      <c r="A50" s="140"/>
      <c r="B50" s="133" t="s">
        <v>241</v>
      </c>
      <c r="C50" s="81">
        <v>3.3725554799999999</v>
      </c>
      <c r="D50" s="81">
        <v>3.5729880469999999</v>
      </c>
      <c r="E50" s="81">
        <v>3.8544402980000001</v>
      </c>
      <c r="F50" s="27"/>
      <c r="G50" s="134">
        <v>14.288417814256377</v>
      </c>
      <c r="H50" s="135">
        <v>7.8772234135044812</v>
      </c>
    </row>
    <row r="51" spans="1:9" x14ac:dyDescent="0.25">
      <c r="A51" s="144" t="s">
        <v>203</v>
      </c>
      <c r="B51" s="137" t="s">
        <v>3</v>
      </c>
      <c r="C51" s="79">
        <v>64.914662112000002</v>
      </c>
      <c r="D51" s="79">
        <v>59.653928891</v>
      </c>
      <c r="E51" s="79">
        <v>47.924278291796462</v>
      </c>
      <c r="F51" s="22" t="s">
        <v>240</v>
      </c>
      <c r="G51" s="142">
        <v>-26.173414861020632</v>
      </c>
      <c r="H51" s="139">
        <v>-19.662829954814924</v>
      </c>
    </row>
    <row r="52" spans="1:9" x14ac:dyDescent="0.25">
      <c r="A52" s="140"/>
      <c r="B52" s="133" t="s">
        <v>241</v>
      </c>
      <c r="C52" s="81">
        <v>36.612945402000001</v>
      </c>
      <c r="D52" s="81">
        <v>42.439577235999998</v>
      </c>
      <c r="E52" s="81">
        <v>31.362427962999998</v>
      </c>
      <c r="F52" s="27"/>
      <c r="G52" s="134">
        <v>-14.340603798330818</v>
      </c>
      <c r="H52" s="135">
        <v>-26.100988733704071</v>
      </c>
    </row>
    <row r="53" spans="1:9" x14ac:dyDescent="0.25">
      <c r="A53" s="136" t="s">
        <v>24</v>
      </c>
      <c r="B53" s="137" t="s">
        <v>3</v>
      </c>
      <c r="C53" s="79">
        <v>156.383419398</v>
      </c>
      <c r="D53" s="79">
        <v>211.522160246</v>
      </c>
      <c r="E53" s="79">
        <v>276.89205094475165</v>
      </c>
      <c r="F53" s="22" t="s">
        <v>240</v>
      </c>
      <c r="G53" s="131">
        <v>77.059724113113248</v>
      </c>
      <c r="H53" s="132">
        <v>30.904511670420987</v>
      </c>
      <c r="I53" s="145"/>
    </row>
    <row r="54" spans="1:9" ht="13.8" thickBot="1" x14ac:dyDescent="0.3">
      <c r="A54" s="146"/>
      <c r="B54" s="147" t="s">
        <v>241</v>
      </c>
      <c r="C54" s="85">
        <v>73.493157865000001</v>
      </c>
      <c r="D54" s="85">
        <v>86.640052088999994</v>
      </c>
      <c r="E54" s="85">
        <v>118.487857091</v>
      </c>
      <c r="F54" s="44"/>
      <c r="G54" s="148">
        <v>61.222977122103003</v>
      </c>
      <c r="H54" s="149">
        <v>36.758755603337733</v>
      </c>
      <c r="I54" s="145"/>
    </row>
    <row r="55" spans="1:9" x14ac:dyDescent="0.25">
      <c r="A55" s="152"/>
      <c r="B55" s="153"/>
      <c r="C55" s="21"/>
      <c r="D55" s="21"/>
      <c r="E55" s="21"/>
      <c r="F55" s="63"/>
      <c r="G55" s="143"/>
      <c r="H55" s="151"/>
      <c r="I55" s="145"/>
    </row>
    <row r="56" spans="1:9" x14ac:dyDescent="0.25">
      <c r="A56" s="152"/>
      <c r="B56" s="153"/>
      <c r="C56" s="21"/>
      <c r="D56" s="21"/>
      <c r="E56" s="21"/>
      <c r="F56" s="63"/>
      <c r="G56" s="143"/>
      <c r="H56" s="151"/>
      <c r="I56" s="145"/>
    </row>
    <row r="57" spans="1:9" x14ac:dyDescent="0.25">
      <c r="A57" s="152"/>
      <c r="B57" s="153"/>
      <c r="C57" s="21"/>
      <c r="D57" s="21"/>
      <c r="E57" s="21"/>
      <c r="F57" s="63"/>
      <c r="G57" s="143"/>
      <c r="H57" s="151"/>
      <c r="I57" s="145"/>
    </row>
    <row r="58" spans="1:9" x14ac:dyDescent="0.25">
      <c r="A58" s="152"/>
      <c r="B58" s="153"/>
      <c r="C58" s="21"/>
      <c r="D58" s="21"/>
      <c r="E58" s="21"/>
      <c r="F58" s="63"/>
      <c r="G58" s="143"/>
      <c r="H58" s="151"/>
      <c r="I58" s="145"/>
    </row>
    <row r="59" spans="1:9" x14ac:dyDescent="0.25">
      <c r="A59" s="154"/>
      <c r="B59" s="155"/>
      <c r="C59" s="49"/>
      <c r="D59" s="49"/>
      <c r="E59" s="49"/>
      <c r="F59" s="49"/>
      <c r="G59" s="156"/>
      <c r="H59" s="157"/>
      <c r="I59" s="145"/>
    </row>
    <row r="60" spans="1:9" x14ac:dyDescent="0.25">
      <c r="A60" s="158"/>
      <c r="B60" s="158"/>
      <c r="C60" s="158"/>
      <c r="D60" s="158"/>
      <c r="E60" s="158"/>
      <c r="F60" s="158"/>
      <c r="G60" s="158"/>
      <c r="H60" s="158"/>
    </row>
    <row r="61" spans="1:9" ht="12.75" customHeight="1" x14ac:dyDescent="0.25">
      <c r="A61" s="159" t="s">
        <v>242</v>
      </c>
      <c r="G61" s="160"/>
      <c r="H61" s="223">
        <v>21</v>
      </c>
    </row>
    <row r="62" spans="1:9" ht="12.75" customHeight="1" x14ac:dyDescent="0.25">
      <c r="A62" s="159" t="s">
        <v>243</v>
      </c>
      <c r="G62" s="160"/>
      <c r="H62" s="224"/>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80" zoomScaleNormal="80" zoomScaleSheetLayoutView="50" workbookViewId="0"/>
  </sheetViews>
  <sheetFormatPr defaultColWidth="11.44140625" defaultRowHeight="13.2" x14ac:dyDescent="0.25"/>
  <cols>
    <col min="1" max="1" width="26.33203125" style="115" customWidth="1"/>
    <col min="2" max="2" width="8.109375" style="115" customWidth="1"/>
    <col min="3" max="4" width="10.5546875" style="115" customWidth="1"/>
    <col min="5" max="5" width="9.88671875" style="115" customWidth="1"/>
    <col min="6" max="6" width="1.6640625" style="115" customWidth="1"/>
    <col min="7" max="7" width="7.6640625" style="115" customWidth="1"/>
    <col min="8" max="8" width="8.88671875" style="115" customWidth="1"/>
    <col min="9" max="16384" width="11.44140625" style="115"/>
  </cols>
  <sheetData>
    <row r="1" spans="1:8" ht="5.25" customHeight="1" x14ac:dyDescent="0.25"/>
    <row r="2" spans="1:8" x14ac:dyDescent="0.25">
      <c r="A2" s="91" t="s">
        <v>0</v>
      </c>
      <c r="B2" s="116"/>
      <c r="C2" s="116"/>
      <c r="D2" s="116"/>
      <c r="E2" s="116"/>
      <c r="F2" s="116"/>
      <c r="G2" s="116"/>
    </row>
    <row r="3" spans="1:8" ht="6" customHeight="1" x14ac:dyDescent="0.25">
      <c r="A3" s="3"/>
      <c r="B3" s="116"/>
      <c r="C3" s="116"/>
      <c r="D3" s="116"/>
      <c r="E3" s="116"/>
      <c r="F3" s="116"/>
      <c r="G3" s="116"/>
    </row>
    <row r="4" spans="1:8" ht="16.2" thickBot="1" x14ac:dyDescent="0.35">
      <c r="A4" s="117" t="s">
        <v>218</v>
      </c>
      <c r="B4" s="118"/>
      <c r="C4" s="118"/>
      <c r="D4" s="118"/>
      <c r="E4" s="118"/>
      <c r="F4" s="118"/>
      <c r="G4" s="118"/>
      <c r="H4" s="119"/>
    </row>
    <row r="5" spans="1:8" x14ac:dyDescent="0.25">
      <c r="A5" s="120"/>
      <c r="B5" s="121"/>
      <c r="C5" s="122"/>
      <c r="D5" s="121"/>
      <c r="E5" s="123"/>
      <c r="F5" s="124"/>
      <c r="G5" s="225" t="s">
        <v>1</v>
      </c>
      <c r="H5" s="226"/>
    </row>
    <row r="6" spans="1:8" x14ac:dyDescent="0.25">
      <c r="A6" s="125"/>
      <c r="B6" s="126"/>
      <c r="C6" s="206">
        <v>2016</v>
      </c>
      <c r="D6" s="207">
        <v>2017</v>
      </c>
      <c r="E6" s="207">
        <v>2018</v>
      </c>
      <c r="F6" s="127"/>
      <c r="G6" s="128" t="s">
        <v>238</v>
      </c>
      <c r="H6" s="129" t="s">
        <v>239</v>
      </c>
    </row>
    <row r="7" spans="1:8" ht="12.75" customHeight="1" x14ac:dyDescent="0.25">
      <c r="A7" s="227" t="s">
        <v>204</v>
      </c>
      <c r="B7" s="130" t="s">
        <v>3</v>
      </c>
      <c r="C7" s="20">
        <v>918</v>
      </c>
      <c r="D7" s="20">
        <v>978</v>
      </c>
      <c r="E7" s="78">
        <v>1713.7579589304464</v>
      </c>
      <c r="F7" s="22" t="s">
        <v>240</v>
      </c>
      <c r="G7" s="131">
        <v>86.683873521835125</v>
      </c>
      <c r="H7" s="132">
        <v>75.230875146262406</v>
      </c>
    </row>
    <row r="8" spans="1:8" ht="12.75" customHeight="1" x14ac:dyDescent="0.25">
      <c r="A8" s="228"/>
      <c r="B8" s="133" t="s">
        <v>241</v>
      </c>
      <c r="C8" s="26">
        <v>466</v>
      </c>
      <c r="D8" s="26">
        <v>475</v>
      </c>
      <c r="E8" s="26">
        <v>844.51363636400004</v>
      </c>
      <c r="F8" s="27"/>
      <c r="G8" s="134">
        <v>81.226102224034349</v>
      </c>
      <c r="H8" s="135">
        <v>77.792344497684212</v>
      </c>
    </row>
    <row r="9" spans="1:8" x14ac:dyDescent="0.25">
      <c r="A9" s="136" t="s">
        <v>205</v>
      </c>
      <c r="B9" s="137" t="s">
        <v>3</v>
      </c>
      <c r="C9" s="20">
        <v>318</v>
      </c>
      <c r="D9" s="20">
        <v>355</v>
      </c>
      <c r="E9" s="20">
        <v>525.32587749499476</v>
      </c>
      <c r="F9" s="22" t="s">
        <v>240</v>
      </c>
      <c r="G9" s="138">
        <v>65.196816822325388</v>
      </c>
      <c r="H9" s="139">
        <v>47.979120421125288</v>
      </c>
    </row>
    <row r="10" spans="1:8" x14ac:dyDescent="0.25">
      <c r="A10" s="140"/>
      <c r="B10" s="133" t="s">
        <v>241</v>
      </c>
      <c r="C10" s="26">
        <v>209</v>
      </c>
      <c r="D10" s="26">
        <v>188</v>
      </c>
      <c r="E10" s="26">
        <v>297.45940000000002</v>
      </c>
      <c r="F10" s="27"/>
      <c r="G10" s="141">
        <v>42.325071770334944</v>
      </c>
      <c r="H10" s="135">
        <v>58.223085106382996</v>
      </c>
    </row>
    <row r="11" spans="1:8" x14ac:dyDescent="0.25">
      <c r="A11" s="136" t="s">
        <v>206</v>
      </c>
      <c r="B11" s="137" t="s">
        <v>3</v>
      </c>
      <c r="C11" s="20">
        <v>86</v>
      </c>
      <c r="D11" s="20">
        <v>98</v>
      </c>
      <c r="E11" s="20">
        <v>187.05070960451977</v>
      </c>
      <c r="F11" s="22" t="s">
        <v>240</v>
      </c>
      <c r="G11" s="142">
        <v>117.5008251215346</v>
      </c>
      <c r="H11" s="139">
        <v>90.868071025020157</v>
      </c>
    </row>
    <row r="12" spans="1:8" x14ac:dyDescent="0.25">
      <c r="A12" s="140"/>
      <c r="B12" s="133" t="s">
        <v>241</v>
      </c>
      <c r="C12" s="26">
        <v>59</v>
      </c>
      <c r="D12" s="26">
        <v>49</v>
      </c>
      <c r="E12" s="26">
        <v>102.8198</v>
      </c>
      <c r="F12" s="27"/>
      <c r="G12" s="134">
        <v>74.270847457627099</v>
      </c>
      <c r="H12" s="135">
        <v>109.83632653061224</v>
      </c>
    </row>
    <row r="13" spans="1:8" x14ac:dyDescent="0.25">
      <c r="A13" s="136" t="s">
        <v>207</v>
      </c>
      <c r="B13" s="137" t="s">
        <v>3</v>
      </c>
      <c r="C13" s="20">
        <v>38</v>
      </c>
      <c r="D13" s="20">
        <v>51</v>
      </c>
      <c r="E13" s="20">
        <v>97.499746296296294</v>
      </c>
      <c r="F13" s="22" t="s">
        <v>240</v>
      </c>
      <c r="G13" s="131">
        <v>156.57827972709549</v>
      </c>
      <c r="H13" s="132">
        <v>91.175973129992713</v>
      </c>
    </row>
    <row r="14" spans="1:8" x14ac:dyDescent="0.25">
      <c r="A14" s="140"/>
      <c r="B14" s="133" t="s">
        <v>241</v>
      </c>
      <c r="C14" s="26">
        <v>20</v>
      </c>
      <c r="D14" s="26">
        <v>27</v>
      </c>
      <c r="E14" s="26">
        <v>51.516500000000001</v>
      </c>
      <c r="F14" s="27"/>
      <c r="G14" s="143">
        <v>157.58249999999998</v>
      </c>
      <c r="H14" s="132">
        <v>90.801851851851865</v>
      </c>
    </row>
    <row r="15" spans="1:8" x14ac:dyDescent="0.25">
      <c r="A15" s="136" t="s">
        <v>208</v>
      </c>
      <c r="B15" s="137" t="s">
        <v>3</v>
      </c>
      <c r="C15" s="20">
        <v>5</v>
      </c>
      <c r="D15" s="20">
        <v>4</v>
      </c>
      <c r="E15" s="20">
        <v>149.57149999999999</v>
      </c>
      <c r="F15" s="22" t="s">
        <v>240</v>
      </c>
      <c r="G15" s="142">
        <v>2891.43</v>
      </c>
      <c r="H15" s="139">
        <v>3639.2874999999995</v>
      </c>
    </row>
    <row r="16" spans="1:8" x14ac:dyDescent="0.25">
      <c r="A16" s="140"/>
      <c r="B16" s="133" t="s">
        <v>241</v>
      </c>
      <c r="C16" s="26">
        <v>1</v>
      </c>
      <c r="D16" s="26">
        <v>1</v>
      </c>
      <c r="E16" s="26">
        <v>34.516500000000001</v>
      </c>
      <c r="F16" s="27"/>
      <c r="G16" s="134">
        <v>3351.65</v>
      </c>
      <c r="H16" s="135">
        <v>3351.65</v>
      </c>
    </row>
    <row r="17" spans="1:9" x14ac:dyDescent="0.25">
      <c r="A17" s="136" t="s">
        <v>209</v>
      </c>
      <c r="B17" s="137" t="s">
        <v>3</v>
      </c>
      <c r="C17" s="20">
        <v>53</v>
      </c>
      <c r="D17" s="20">
        <v>49</v>
      </c>
      <c r="E17" s="20">
        <v>64.238523827160478</v>
      </c>
      <c r="F17" s="22" t="s">
        <v>240</v>
      </c>
      <c r="G17" s="142">
        <v>21.204761938038644</v>
      </c>
      <c r="H17" s="139">
        <v>31.099028218694855</v>
      </c>
    </row>
    <row r="18" spans="1:9" x14ac:dyDescent="0.25">
      <c r="A18" s="140"/>
      <c r="B18" s="133" t="s">
        <v>241</v>
      </c>
      <c r="C18" s="26">
        <v>27</v>
      </c>
      <c r="D18" s="26">
        <v>25</v>
      </c>
      <c r="E18" s="26">
        <v>32.758249999999997</v>
      </c>
      <c r="F18" s="27"/>
      <c r="G18" s="134">
        <v>21.326851851851842</v>
      </c>
      <c r="H18" s="135">
        <v>31.032999999999987</v>
      </c>
    </row>
    <row r="19" spans="1:9" x14ac:dyDescent="0.25">
      <c r="A19" s="136" t="s">
        <v>210</v>
      </c>
      <c r="B19" s="137" t="s">
        <v>3</v>
      </c>
      <c r="C19" s="20">
        <v>431</v>
      </c>
      <c r="D19" s="20">
        <v>441</v>
      </c>
      <c r="E19" s="20">
        <v>887.05456388888888</v>
      </c>
      <c r="F19" s="22" t="s">
        <v>240</v>
      </c>
      <c r="G19" s="131">
        <v>105.813123872132</v>
      </c>
      <c r="H19" s="132">
        <v>101.14615961199297</v>
      </c>
    </row>
    <row r="20" spans="1:9" ht="13.8" thickBot="1" x14ac:dyDescent="0.3">
      <c r="A20" s="146"/>
      <c r="B20" s="147" t="s">
        <v>241</v>
      </c>
      <c r="C20" s="43">
        <v>150</v>
      </c>
      <c r="D20" s="43">
        <v>195</v>
      </c>
      <c r="E20" s="43">
        <v>359.79124999999999</v>
      </c>
      <c r="F20" s="44"/>
      <c r="G20" s="148">
        <v>139.86083333333332</v>
      </c>
      <c r="H20" s="149">
        <v>84.508333333333326</v>
      </c>
    </row>
    <row r="25" spans="1:9" x14ac:dyDescent="0.25">
      <c r="I25" s="145"/>
    </row>
    <row r="26" spans="1:9" x14ac:dyDescent="0.25">
      <c r="I26" s="145"/>
    </row>
    <row r="27" spans="1:9" x14ac:dyDescent="0.25">
      <c r="A27" s="150"/>
      <c r="B27" s="150"/>
      <c r="C27" s="64"/>
      <c r="D27" s="64"/>
      <c r="E27" s="21"/>
      <c r="F27" s="59"/>
      <c r="G27" s="143"/>
      <c r="H27" s="151"/>
      <c r="I27" s="145"/>
    </row>
    <row r="28" spans="1:9" x14ac:dyDescent="0.25">
      <c r="A28" s="150"/>
      <c r="B28" s="150"/>
      <c r="C28" s="64"/>
      <c r="D28" s="64"/>
      <c r="E28" s="21"/>
      <c r="F28" s="59"/>
      <c r="G28" s="143"/>
      <c r="H28" s="151"/>
      <c r="I28" s="145"/>
    </row>
    <row r="29" spans="1:9" x14ac:dyDescent="0.25">
      <c r="A29" s="150"/>
      <c r="B29" s="150"/>
      <c r="C29" s="64"/>
      <c r="D29" s="64"/>
      <c r="E29" s="21"/>
      <c r="F29" s="59"/>
      <c r="G29" s="143"/>
      <c r="H29" s="151"/>
      <c r="I29" s="145"/>
    </row>
    <row r="30" spans="1:9" x14ac:dyDescent="0.25">
      <c r="A30" s="152"/>
      <c r="B30" s="153"/>
      <c r="C30" s="21"/>
      <c r="D30" s="21"/>
      <c r="E30" s="21"/>
      <c r="F30" s="63"/>
      <c r="G30" s="143"/>
      <c r="H30" s="151"/>
      <c r="I30" s="145"/>
    </row>
    <row r="31" spans="1:9" x14ac:dyDescent="0.25">
      <c r="A31" s="154"/>
      <c r="B31" s="155"/>
      <c r="C31" s="49"/>
      <c r="D31" s="55"/>
      <c r="E31" s="49"/>
      <c r="F31" s="49"/>
      <c r="G31" s="156"/>
      <c r="H31" s="157"/>
      <c r="I31" s="145"/>
    </row>
    <row r="32" spans="1:9" ht="16.2" thickBot="1" x14ac:dyDescent="0.35">
      <c r="A32" s="117" t="s">
        <v>219</v>
      </c>
      <c r="B32" s="118"/>
      <c r="C32" s="118"/>
      <c r="D32" s="118"/>
      <c r="E32" s="118"/>
      <c r="F32" s="118"/>
      <c r="G32" s="118"/>
      <c r="H32" s="119"/>
    </row>
    <row r="33" spans="1:8" x14ac:dyDescent="0.25">
      <c r="A33" s="120"/>
      <c r="B33" s="121"/>
      <c r="C33" s="229" t="s">
        <v>16</v>
      </c>
      <c r="D33" s="225"/>
      <c r="E33" s="225"/>
      <c r="F33" s="230"/>
      <c r="G33" s="225" t="s">
        <v>1</v>
      </c>
      <c r="H33" s="226"/>
    </row>
    <row r="34" spans="1:8" x14ac:dyDescent="0.25">
      <c r="A34" s="125"/>
      <c r="B34" s="126"/>
      <c r="C34" s="206">
        <v>2016</v>
      </c>
      <c r="D34" s="207">
        <v>2017</v>
      </c>
      <c r="E34" s="207">
        <v>2018</v>
      </c>
      <c r="F34" s="127"/>
      <c r="G34" s="128" t="s">
        <v>238</v>
      </c>
      <c r="H34" s="129" t="s">
        <v>239</v>
      </c>
    </row>
    <row r="35" spans="1:8" ht="12.75" customHeight="1" x14ac:dyDescent="0.25">
      <c r="A35" s="227" t="s">
        <v>204</v>
      </c>
      <c r="B35" s="130" t="s">
        <v>3</v>
      </c>
      <c r="C35" s="79">
        <v>330.10029545899999</v>
      </c>
      <c r="D35" s="79">
        <v>415.125420281</v>
      </c>
      <c r="E35" s="80">
        <v>590.30213244347169</v>
      </c>
      <c r="F35" s="22" t="s">
        <v>240</v>
      </c>
      <c r="G35" s="131">
        <v>78.825084546702556</v>
      </c>
      <c r="H35" s="132">
        <v>42.198502814858671</v>
      </c>
    </row>
    <row r="36" spans="1:8" ht="12.75" customHeight="1" x14ac:dyDescent="0.25">
      <c r="A36" s="228"/>
      <c r="B36" s="133" t="s">
        <v>241</v>
      </c>
      <c r="C36" s="81">
        <v>175.15548435400001</v>
      </c>
      <c r="D36" s="81">
        <v>212.16774110200001</v>
      </c>
      <c r="E36" s="81">
        <v>305.444849084</v>
      </c>
      <c r="F36" s="27"/>
      <c r="G36" s="134">
        <v>74.384975846190002</v>
      </c>
      <c r="H36" s="135">
        <v>43.963850252408008</v>
      </c>
    </row>
    <row r="37" spans="1:8" x14ac:dyDescent="0.25">
      <c r="A37" s="136" t="s">
        <v>205</v>
      </c>
      <c r="B37" s="137" t="s">
        <v>3</v>
      </c>
      <c r="C37" s="79">
        <v>144.50953465699999</v>
      </c>
      <c r="D37" s="79">
        <v>207.30359711700001</v>
      </c>
      <c r="E37" s="79">
        <v>289.01946046590194</v>
      </c>
      <c r="F37" s="22" t="s">
        <v>240</v>
      </c>
      <c r="G37" s="138">
        <v>100.00027067549757</v>
      </c>
      <c r="H37" s="139">
        <v>39.418449310738367</v>
      </c>
    </row>
    <row r="38" spans="1:8" x14ac:dyDescent="0.25">
      <c r="A38" s="140"/>
      <c r="B38" s="133" t="s">
        <v>241</v>
      </c>
      <c r="C38" s="81">
        <v>86.869050798000004</v>
      </c>
      <c r="D38" s="81">
        <v>109.384359577</v>
      </c>
      <c r="E38" s="81">
        <v>158.97942792699999</v>
      </c>
      <c r="F38" s="27"/>
      <c r="G38" s="141">
        <v>83.010435208600427</v>
      </c>
      <c r="H38" s="135">
        <v>45.340182583496357</v>
      </c>
    </row>
    <row r="39" spans="1:8" x14ac:dyDescent="0.25">
      <c r="A39" s="136" t="s">
        <v>206</v>
      </c>
      <c r="B39" s="137" t="s">
        <v>3</v>
      </c>
      <c r="C39" s="79">
        <v>46.373355377999999</v>
      </c>
      <c r="D39" s="79">
        <v>50.908147268</v>
      </c>
      <c r="E39" s="79">
        <v>82.481912835416964</v>
      </c>
      <c r="F39" s="22" t="s">
        <v>240</v>
      </c>
      <c r="G39" s="142">
        <v>77.864879871399665</v>
      </c>
      <c r="H39" s="139">
        <v>62.021046260435611</v>
      </c>
    </row>
    <row r="40" spans="1:8" x14ac:dyDescent="0.25">
      <c r="A40" s="140"/>
      <c r="B40" s="133" t="s">
        <v>241</v>
      </c>
      <c r="C40" s="81">
        <v>30.650539009999999</v>
      </c>
      <c r="D40" s="81">
        <v>25.788907906999999</v>
      </c>
      <c r="E40" s="81">
        <v>45.311137424000002</v>
      </c>
      <c r="F40" s="27"/>
      <c r="G40" s="134">
        <v>47.831453826038285</v>
      </c>
      <c r="H40" s="135">
        <v>75.700101715827202</v>
      </c>
    </row>
    <row r="41" spans="1:8" x14ac:dyDescent="0.25">
      <c r="A41" s="136" t="s">
        <v>207</v>
      </c>
      <c r="B41" s="137" t="s">
        <v>3</v>
      </c>
      <c r="C41" s="79">
        <v>17.830273332000001</v>
      </c>
      <c r="D41" s="79">
        <v>28.439677639999999</v>
      </c>
      <c r="E41" s="79">
        <v>32.079958425644463</v>
      </c>
      <c r="F41" s="22" t="s">
        <v>240</v>
      </c>
      <c r="G41" s="131">
        <v>79.918489348509013</v>
      </c>
      <c r="H41" s="132">
        <v>12.800007200237957</v>
      </c>
    </row>
    <row r="42" spans="1:8" x14ac:dyDescent="0.25">
      <c r="A42" s="140"/>
      <c r="B42" s="133" t="s">
        <v>241</v>
      </c>
      <c r="C42" s="81">
        <v>9.1682164749999995</v>
      </c>
      <c r="D42" s="81">
        <v>13.750814197</v>
      </c>
      <c r="E42" s="81">
        <v>15.825732115999999</v>
      </c>
      <c r="F42" s="27"/>
      <c r="G42" s="143">
        <v>72.615166310195576</v>
      </c>
      <c r="H42" s="132">
        <v>15.089418628408808</v>
      </c>
    </row>
    <row r="43" spans="1:8" x14ac:dyDescent="0.25">
      <c r="A43" s="136" t="s">
        <v>208</v>
      </c>
      <c r="B43" s="137" t="s">
        <v>3</v>
      </c>
      <c r="C43" s="79">
        <v>2.0636149050000001</v>
      </c>
      <c r="D43" s="79">
        <v>2.4269366630000002</v>
      </c>
      <c r="E43" s="79">
        <v>11.249348046581181</v>
      </c>
      <c r="F43" s="22" t="s">
        <v>240</v>
      </c>
      <c r="G43" s="142">
        <v>445.12826105901672</v>
      </c>
      <c r="H43" s="139">
        <v>363.52046256846131</v>
      </c>
    </row>
    <row r="44" spans="1:8" x14ac:dyDescent="0.25">
      <c r="A44" s="140"/>
      <c r="B44" s="133" t="s">
        <v>241</v>
      </c>
      <c r="C44" s="81">
        <v>0.70914035399999997</v>
      </c>
      <c r="D44" s="81">
        <v>1.0641951709999999</v>
      </c>
      <c r="E44" s="81">
        <v>4.5171467310000004</v>
      </c>
      <c r="F44" s="27"/>
      <c r="G44" s="134">
        <v>536.98909609648308</v>
      </c>
      <c r="H44" s="135">
        <v>324.46600530571288</v>
      </c>
    </row>
    <row r="45" spans="1:8" x14ac:dyDescent="0.25">
      <c r="A45" s="136" t="s">
        <v>209</v>
      </c>
      <c r="B45" s="137" t="s">
        <v>3</v>
      </c>
      <c r="C45" s="79">
        <v>17.034349522999999</v>
      </c>
      <c r="D45" s="79">
        <v>21.842891313999999</v>
      </c>
      <c r="E45" s="79">
        <v>23.461614463971294</v>
      </c>
      <c r="F45" s="22" t="s">
        <v>240</v>
      </c>
      <c r="G45" s="142">
        <v>37.731202663730244</v>
      </c>
      <c r="H45" s="139">
        <v>7.4107549531860144</v>
      </c>
    </row>
    <row r="46" spans="1:8" x14ac:dyDescent="0.25">
      <c r="A46" s="140"/>
      <c r="B46" s="133" t="s">
        <v>241</v>
      </c>
      <c r="C46" s="81">
        <v>9.6462477680000003</v>
      </c>
      <c r="D46" s="81">
        <v>12.270654855</v>
      </c>
      <c r="E46" s="81">
        <v>13.215111653999999</v>
      </c>
      <c r="F46" s="27"/>
      <c r="G46" s="134">
        <v>36.997431248232886</v>
      </c>
      <c r="H46" s="135">
        <v>7.6968736400825151</v>
      </c>
    </row>
    <row r="47" spans="1:8" x14ac:dyDescent="0.25">
      <c r="A47" s="136" t="s">
        <v>210</v>
      </c>
      <c r="B47" s="137" t="s">
        <v>3</v>
      </c>
      <c r="C47" s="79">
        <v>102.289167664</v>
      </c>
      <c r="D47" s="79">
        <v>104.204170279</v>
      </c>
      <c r="E47" s="79">
        <v>154.56279924034573</v>
      </c>
      <c r="F47" s="22" t="s">
        <v>240</v>
      </c>
      <c r="G47" s="131">
        <v>51.103780361234755</v>
      </c>
      <c r="H47" s="132">
        <v>48.326884448591386</v>
      </c>
    </row>
    <row r="48" spans="1:8" ht="13.8" thickBot="1" x14ac:dyDescent="0.3">
      <c r="A48" s="146"/>
      <c r="B48" s="147" t="s">
        <v>241</v>
      </c>
      <c r="C48" s="85">
        <v>38.112289949999997</v>
      </c>
      <c r="D48" s="85">
        <v>49.908809394000002</v>
      </c>
      <c r="E48" s="85">
        <v>67.596293231999994</v>
      </c>
      <c r="F48" s="44"/>
      <c r="G48" s="148">
        <v>77.360881019430849</v>
      </c>
      <c r="H48" s="149">
        <v>35.439602853211653</v>
      </c>
    </row>
    <row r="53" spans="1:9" x14ac:dyDescent="0.25">
      <c r="I53" s="145"/>
    </row>
    <row r="54" spans="1:9" x14ac:dyDescent="0.25">
      <c r="I54" s="145"/>
    </row>
    <row r="55" spans="1:9" x14ac:dyDescent="0.25">
      <c r="A55" s="152"/>
      <c r="B55" s="153"/>
      <c r="C55" s="21"/>
      <c r="D55" s="21"/>
      <c r="E55" s="21"/>
      <c r="F55" s="63"/>
      <c r="G55" s="143"/>
      <c r="H55" s="151"/>
      <c r="I55" s="145"/>
    </row>
    <row r="56" spans="1:9" x14ac:dyDescent="0.25">
      <c r="A56" s="152"/>
      <c r="B56" s="153"/>
      <c r="C56" s="21"/>
      <c r="D56" s="21"/>
      <c r="E56" s="21"/>
      <c r="F56" s="63"/>
      <c r="G56" s="143"/>
      <c r="H56" s="151"/>
      <c r="I56" s="145"/>
    </row>
    <row r="57" spans="1:9" x14ac:dyDescent="0.25">
      <c r="A57" s="152"/>
      <c r="B57" s="153"/>
      <c r="C57" s="21"/>
      <c r="D57" s="21"/>
      <c r="E57" s="21"/>
      <c r="F57" s="63"/>
      <c r="G57" s="143"/>
      <c r="H57" s="151"/>
      <c r="I57" s="145"/>
    </row>
    <row r="58" spans="1:9" x14ac:dyDescent="0.25">
      <c r="A58" s="152"/>
      <c r="B58" s="153"/>
      <c r="C58" s="21"/>
      <c r="D58" s="21"/>
      <c r="E58" s="21"/>
      <c r="F58" s="63"/>
      <c r="G58" s="143"/>
      <c r="H58" s="151"/>
      <c r="I58" s="145"/>
    </row>
    <row r="59" spans="1:9" x14ac:dyDescent="0.25">
      <c r="A59" s="154"/>
      <c r="B59" s="155"/>
      <c r="C59" s="49"/>
      <c r="D59" s="49"/>
      <c r="E59" s="49"/>
      <c r="F59" s="49"/>
      <c r="G59" s="156"/>
      <c r="H59" s="157"/>
      <c r="I59" s="145"/>
    </row>
    <row r="60" spans="1:9" x14ac:dyDescent="0.25">
      <c r="A60" s="158"/>
      <c r="B60" s="158"/>
      <c r="C60" s="158"/>
      <c r="D60" s="158"/>
      <c r="E60" s="158"/>
      <c r="F60" s="158"/>
      <c r="G60" s="158"/>
      <c r="H60" s="158"/>
    </row>
    <row r="61" spans="1:9" ht="12.75" customHeight="1" x14ac:dyDescent="0.25">
      <c r="A61" s="159" t="s">
        <v>242</v>
      </c>
      <c r="G61" s="160"/>
      <c r="H61" s="223">
        <v>22</v>
      </c>
    </row>
    <row r="62" spans="1:9" ht="12.75" customHeight="1" x14ac:dyDescent="0.25">
      <c r="A62" s="159" t="s">
        <v>243</v>
      </c>
      <c r="G62" s="160"/>
      <c r="H62" s="224"/>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80" zoomScaleNormal="80" zoomScaleSheetLayoutView="50" workbookViewId="0"/>
  </sheetViews>
  <sheetFormatPr defaultColWidth="11.44140625" defaultRowHeight="13.2" x14ac:dyDescent="0.25"/>
  <cols>
    <col min="1" max="1" width="26.33203125" style="115" customWidth="1"/>
    <col min="2" max="2" width="8.109375" style="115" customWidth="1"/>
    <col min="3" max="4" width="10.5546875" style="115" customWidth="1"/>
    <col min="5" max="5" width="9.88671875" style="115" customWidth="1"/>
    <col min="6" max="6" width="1.6640625" style="115" customWidth="1"/>
    <col min="7" max="7" width="7.6640625" style="115" customWidth="1"/>
    <col min="8" max="8" width="8.88671875" style="115" customWidth="1"/>
    <col min="9" max="16384" width="11.44140625" style="115"/>
  </cols>
  <sheetData>
    <row r="1" spans="1:8" ht="5.25" customHeight="1" x14ac:dyDescent="0.25"/>
    <row r="2" spans="1:8" x14ac:dyDescent="0.25">
      <c r="A2" s="91" t="s">
        <v>0</v>
      </c>
      <c r="B2" s="116"/>
      <c r="C2" s="116"/>
      <c r="D2" s="116"/>
      <c r="E2" s="116"/>
      <c r="F2" s="116"/>
      <c r="G2" s="116"/>
    </row>
    <row r="3" spans="1:8" ht="6" customHeight="1" x14ac:dyDescent="0.25">
      <c r="A3" s="3"/>
      <c r="B3" s="116"/>
      <c r="C3" s="116"/>
      <c r="D3" s="116"/>
      <c r="E3" s="116"/>
      <c r="F3" s="116"/>
      <c r="G3" s="116"/>
    </row>
    <row r="4" spans="1:8" ht="16.2" thickBot="1" x14ac:dyDescent="0.35">
      <c r="A4" s="117" t="s">
        <v>220</v>
      </c>
      <c r="B4" s="118"/>
      <c r="C4" s="118"/>
      <c r="D4" s="118"/>
      <c r="E4" s="118"/>
      <c r="F4" s="118"/>
      <c r="G4" s="118"/>
      <c r="H4" s="119"/>
    </row>
    <row r="5" spans="1:8" x14ac:dyDescent="0.25">
      <c r="A5" s="120"/>
      <c r="B5" s="121"/>
      <c r="C5" s="122"/>
      <c r="D5" s="121"/>
      <c r="E5" s="123"/>
      <c r="F5" s="124"/>
      <c r="G5" s="225" t="s">
        <v>1</v>
      </c>
      <c r="H5" s="226"/>
    </row>
    <row r="6" spans="1:8" x14ac:dyDescent="0.25">
      <c r="A6" s="125"/>
      <c r="B6" s="126"/>
      <c r="C6" s="206">
        <v>2016</v>
      </c>
      <c r="D6" s="207">
        <v>2017</v>
      </c>
      <c r="E6" s="207">
        <v>2018</v>
      </c>
      <c r="F6" s="127"/>
      <c r="G6" s="128" t="s">
        <v>238</v>
      </c>
      <c r="H6" s="129" t="s">
        <v>239</v>
      </c>
    </row>
    <row r="7" spans="1:8" ht="12.75" customHeight="1" x14ac:dyDescent="0.25">
      <c r="A7" s="227" t="s">
        <v>211</v>
      </c>
      <c r="B7" s="130" t="s">
        <v>3</v>
      </c>
      <c r="C7" s="20">
        <v>247116.93649583799</v>
      </c>
      <c r="D7" s="20">
        <v>269991.33667365101</v>
      </c>
      <c r="E7" s="78">
        <v>283655.24036615033</v>
      </c>
      <c r="F7" s="22" t="s">
        <v>240</v>
      </c>
      <c r="G7" s="131">
        <v>14.785835559647182</v>
      </c>
      <c r="H7" s="132">
        <v>5.0608674562826508</v>
      </c>
    </row>
    <row r="8" spans="1:8" ht="12.75" customHeight="1" x14ac:dyDescent="0.25">
      <c r="A8" s="228"/>
      <c r="B8" s="133" t="s">
        <v>241</v>
      </c>
      <c r="C8" s="26">
        <v>116037</v>
      </c>
      <c r="D8" s="26">
        <v>121817</v>
      </c>
      <c r="E8" s="26">
        <v>129673.422610183</v>
      </c>
      <c r="F8" s="27"/>
      <c r="G8" s="134">
        <v>11.751788317677111</v>
      </c>
      <c r="H8" s="135">
        <v>6.4493647111511621</v>
      </c>
    </row>
    <row r="9" spans="1:8" x14ac:dyDescent="0.25">
      <c r="A9" s="136" t="s">
        <v>231</v>
      </c>
      <c r="B9" s="137" t="s">
        <v>3</v>
      </c>
      <c r="C9" s="20">
        <v>10549.791249242</v>
      </c>
      <c r="D9" s="20">
        <v>11637.129718671</v>
      </c>
      <c r="E9" s="20">
        <v>12377.948411473551</v>
      </c>
      <c r="F9" s="22" t="s">
        <v>240</v>
      </c>
      <c r="G9" s="138">
        <v>17.328846789863306</v>
      </c>
      <c r="H9" s="139">
        <v>6.3659915349569189</v>
      </c>
    </row>
    <row r="10" spans="1:8" x14ac:dyDescent="0.25">
      <c r="A10" s="140"/>
      <c r="B10" s="133" t="s">
        <v>241</v>
      </c>
      <c r="C10" s="26">
        <v>4186</v>
      </c>
      <c r="D10" s="26">
        <v>5521</v>
      </c>
      <c r="E10" s="26">
        <v>5512.8722733599998</v>
      </c>
      <c r="F10" s="27"/>
      <c r="G10" s="141">
        <v>31.69785650645008</v>
      </c>
      <c r="H10" s="135">
        <v>-0.14721475529795214</v>
      </c>
    </row>
    <row r="11" spans="1:8" x14ac:dyDescent="0.25">
      <c r="A11" s="136" t="s">
        <v>212</v>
      </c>
      <c r="B11" s="137" t="s">
        <v>3</v>
      </c>
      <c r="C11" s="20">
        <v>151361.056871704</v>
      </c>
      <c r="D11" s="20">
        <v>152231.312281883</v>
      </c>
      <c r="E11" s="20">
        <v>175208.17464157793</v>
      </c>
      <c r="F11" s="22" t="s">
        <v>240</v>
      </c>
      <c r="G11" s="142">
        <v>15.755121074562211</v>
      </c>
      <c r="H11" s="139">
        <v>15.093387828877965</v>
      </c>
    </row>
    <row r="12" spans="1:8" x14ac:dyDescent="0.25">
      <c r="A12" s="140"/>
      <c r="B12" s="133" t="s">
        <v>241</v>
      </c>
      <c r="C12" s="26">
        <v>62156</v>
      </c>
      <c r="D12" s="26">
        <v>66439</v>
      </c>
      <c r="E12" s="26">
        <v>74899.091164548998</v>
      </c>
      <c r="F12" s="27"/>
      <c r="G12" s="134">
        <v>20.501787702794587</v>
      </c>
      <c r="H12" s="135">
        <v>12.733622066179493</v>
      </c>
    </row>
    <row r="13" spans="1:8" x14ac:dyDescent="0.25">
      <c r="A13" s="136" t="s">
        <v>213</v>
      </c>
      <c r="B13" s="137" t="s">
        <v>3</v>
      </c>
      <c r="C13" s="20">
        <v>87322.360329718998</v>
      </c>
      <c r="D13" s="20">
        <v>101479.158045181</v>
      </c>
      <c r="E13" s="20">
        <v>104692.86469080251</v>
      </c>
      <c r="F13" s="22" t="s">
        <v>240</v>
      </c>
      <c r="G13" s="131">
        <v>19.892389870698096</v>
      </c>
      <c r="H13" s="132">
        <v>3.1668637260378887</v>
      </c>
    </row>
    <row r="14" spans="1:8" x14ac:dyDescent="0.25">
      <c r="A14" s="140"/>
      <c r="B14" s="133" t="s">
        <v>241</v>
      </c>
      <c r="C14" s="26">
        <v>37263</v>
      </c>
      <c r="D14" s="26">
        <v>47865</v>
      </c>
      <c r="E14" s="26">
        <v>47705.987555703003</v>
      </c>
      <c r="F14" s="27"/>
      <c r="G14" s="143">
        <v>28.025085354649377</v>
      </c>
      <c r="H14" s="132">
        <v>-0.33221026699466449</v>
      </c>
    </row>
    <row r="15" spans="1:8" x14ac:dyDescent="0.25">
      <c r="A15" s="136" t="s">
        <v>214</v>
      </c>
      <c r="B15" s="137" t="s">
        <v>3</v>
      </c>
      <c r="C15" s="20">
        <v>5622</v>
      </c>
      <c r="D15" s="20">
        <v>6395</v>
      </c>
      <c r="E15" s="20">
        <v>12130.222077766519</v>
      </c>
      <c r="F15" s="22" t="s">
        <v>240</v>
      </c>
      <c r="G15" s="142">
        <v>115.76346634234292</v>
      </c>
      <c r="H15" s="139">
        <v>89.682909738334928</v>
      </c>
    </row>
    <row r="16" spans="1:8" x14ac:dyDescent="0.25">
      <c r="A16" s="140"/>
      <c r="B16" s="133" t="s">
        <v>241</v>
      </c>
      <c r="C16" s="26">
        <v>1442</v>
      </c>
      <c r="D16" s="26">
        <v>2383</v>
      </c>
      <c r="E16" s="26">
        <v>3927.36</v>
      </c>
      <c r="F16" s="27"/>
      <c r="G16" s="134">
        <v>172.35506241331484</v>
      </c>
      <c r="H16" s="135">
        <v>64.807385648342432</v>
      </c>
    </row>
    <row r="17" spans="1:9" x14ac:dyDescent="0.25">
      <c r="A17" s="136" t="s">
        <v>215</v>
      </c>
      <c r="B17" s="137" t="s">
        <v>3</v>
      </c>
      <c r="C17" s="20">
        <v>12116.728045173</v>
      </c>
      <c r="D17" s="20">
        <v>15147.736627914999</v>
      </c>
      <c r="E17" s="20">
        <v>8350.6056615677408</v>
      </c>
      <c r="F17" s="22" t="s">
        <v>240</v>
      </c>
      <c r="G17" s="131">
        <v>-31.082008026957311</v>
      </c>
      <c r="H17" s="132">
        <v>-44.872254735543585</v>
      </c>
    </row>
    <row r="18" spans="1:9" ht="13.8" thickBot="1" x14ac:dyDescent="0.3">
      <c r="A18" s="146"/>
      <c r="B18" s="147" t="s">
        <v>241</v>
      </c>
      <c r="C18" s="43">
        <v>15582</v>
      </c>
      <c r="D18" s="43">
        <v>6897</v>
      </c>
      <c r="E18" s="43">
        <v>4845.4544737140004</v>
      </c>
      <c r="F18" s="44"/>
      <c r="G18" s="148">
        <v>-68.903513838313444</v>
      </c>
      <c r="H18" s="149">
        <v>-29.745476675163104</v>
      </c>
    </row>
    <row r="25" spans="1:9" x14ac:dyDescent="0.25">
      <c r="I25" s="145"/>
    </row>
    <row r="26" spans="1:9" x14ac:dyDescent="0.25">
      <c r="I26" s="145"/>
    </row>
    <row r="27" spans="1:9" x14ac:dyDescent="0.25">
      <c r="A27" s="150"/>
      <c r="B27" s="150"/>
      <c r="C27" s="64"/>
      <c r="D27" s="64"/>
      <c r="E27" s="21"/>
      <c r="F27" s="59"/>
      <c r="G27" s="143"/>
      <c r="H27" s="151"/>
      <c r="I27" s="145"/>
    </row>
    <row r="28" spans="1:9" x14ac:dyDescent="0.25">
      <c r="A28" s="150"/>
      <c r="B28" s="150"/>
      <c r="C28" s="64"/>
      <c r="D28" s="64"/>
      <c r="E28" s="21"/>
      <c r="F28" s="59"/>
      <c r="G28" s="143"/>
      <c r="H28" s="151"/>
      <c r="I28" s="145"/>
    </row>
    <row r="29" spans="1:9" x14ac:dyDescent="0.25">
      <c r="A29" s="150"/>
      <c r="B29" s="150"/>
      <c r="C29" s="64"/>
      <c r="D29" s="64"/>
      <c r="E29" s="21"/>
      <c r="F29" s="59"/>
      <c r="G29" s="143"/>
      <c r="H29" s="151"/>
      <c r="I29" s="145"/>
    </row>
    <row r="30" spans="1:9" x14ac:dyDescent="0.25">
      <c r="A30" s="152"/>
      <c r="B30" s="153"/>
      <c r="C30" s="21"/>
      <c r="D30" s="21"/>
      <c r="E30" s="21"/>
      <c r="F30" s="63"/>
      <c r="G30" s="143"/>
      <c r="H30" s="151"/>
      <c r="I30" s="145"/>
    </row>
    <row r="31" spans="1:9" x14ac:dyDescent="0.25">
      <c r="A31" s="154"/>
      <c r="B31" s="155"/>
      <c r="C31" s="49"/>
      <c r="D31" s="55"/>
      <c r="E31" s="49"/>
      <c r="F31" s="49"/>
      <c r="G31" s="156"/>
      <c r="H31" s="157"/>
      <c r="I31" s="145"/>
    </row>
    <row r="32" spans="1:9" ht="16.2" thickBot="1" x14ac:dyDescent="0.35">
      <c r="A32" s="117" t="s">
        <v>221</v>
      </c>
      <c r="B32" s="118"/>
      <c r="C32" s="118"/>
      <c r="D32" s="118"/>
      <c r="E32" s="118"/>
      <c r="F32" s="118"/>
      <c r="G32" s="118"/>
      <c r="H32" s="119"/>
    </row>
    <row r="33" spans="1:8" x14ac:dyDescent="0.25">
      <c r="A33" s="120"/>
      <c r="B33" s="121"/>
      <c r="C33" s="229" t="s">
        <v>16</v>
      </c>
      <c r="D33" s="225"/>
      <c r="E33" s="225"/>
      <c r="F33" s="230"/>
      <c r="G33" s="225" t="s">
        <v>1</v>
      </c>
      <c r="H33" s="226"/>
    </row>
    <row r="34" spans="1:8" x14ac:dyDescent="0.25">
      <c r="A34" s="125"/>
      <c r="B34" s="126"/>
      <c r="C34" s="206">
        <v>2016</v>
      </c>
      <c r="D34" s="207">
        <v>2017</v>
      </c>
      <c r="E34" s="207">
        <v>2018</v>
      </c>
      <c r="F34" s="127"/>
      <c r="G34" s="128" t="s">
        <v>238</v>
      </c>
      <c r="H34" s="129" t="s">
        <v>239</v>
      </c>
    </row>
    <row r="35" spans="1:8" ht="12.75" customHeight="1" x14ac:dyDescent="0.25">
      <c r="A35" s="227" t="s">
        <v>211</v>
      </c>
      <c r="B35" s="130" t="s">
        <v>3</v>
      </c>
      <c r="C35" s="79">
        <v>889.62084010800004</v>
      </c>
      <c r="D35" s="79">
        <v>982.35582708200002</v>
      </c>
      <c r="E35" s="80">
        <v>1015.043487045734</v>
      </c>
      <c r="F35" s="22" t="s">
        <v>240</v>
      </c>
      <c r="G35" s="131">
        <v>14.098438490099625</v>
      </c>
      <c r="H35" s="132">
        <v>3.3274765683255225</v>
      </c>
    </row>
    <row r="36" spans="1:8" ht="12.75" customHeight="1" x14ac:dyDescent="0.25">
      <c r="A36" s="228"/>
      <c r="B36" s="133" t="s">
        <v>241</v>
      </c>
      <c r="C36" s="81">
        <v>428.955324152</v>
      </c>
      <c r="D36" s="81">
        <v>483.07478021600002</v>
      </c>
      <c r="E36" s="81">
        <v>495.86716792999999</v>
      </c>
      <c r="F36" s="27"/>
      <c r="G36" s="134">
        <v>15.598790832186964</v>
      </c>
      <c r="H36" s="135">
        <v>2.6481174836492301</v>
      </c>
    </row>
    <row r="37" spans="1:8" x14ac:dyDescent="0.25">
      <c r="A37" s="136" t="s">
        <v>231</v>
      </c>
      <c r="B37" s="137" t="s">
        <v>3</v>
      </c>
      <c r="C37" s="79">
        <v>299.26708655300001</v>
      </c>
      <c r="D37" s="79">
        <v>317.98876156699998</v>
      </c>
      <c r="E37" s="79">
        <v>313.65944906592762</v>
      </c>
      <c r="F37" s="22" t="s">
        <v>240</v>
      </c>
      <c r="G37" s="138">
        <v>4.8092032701293306</v>
      </c>
      <c r="H37" s="139">
        <v>-1.3614671410832813</v>
      </c>
    </row>
    <row r="38" spans="1:8" x14ac:dyDescent="0.25">
      <c r="A38" s="140"/>
      <c r="B38" s="133" t="s">
        <v>241</v>
      </c>
      <c r="C38" s="81">
        <v>131.763745277</v>
      </c>
      <c r="D38" s="81">
        <v>160.98655413</v>
      </c>
      <c r="E38" s="81">
        <v>151.240363194</v>
      </c>
      <c r="F38" s="27"/>
      <c r="G38" s="141">
        <v>14.781469573481942</v>
      </c>
      <c r="H38" s="135">
        <v>-6.0540403443443864</v>
      </c>
    </row>
    <row r="39" spans="1:8" x14ac:dyDescent="0.25">
      <c r="A39" s="136" t="s">
        <v>212</v>
      </c>
      <c r="B39" s="137" t="s">
        <v>3</v>
      </c>
      <c r="C39" s="79">
        <v>217.65020579399999</v>
      </c>
      <c r="D39" s="79">
        <v>227.19536181300001</v>
      </c>
      <c r="E39" s="79">
        <v>251.1904074565565</v>
      </c>
      <c r="F39" s="22" t="s">
        <v>240</v>
      </c>
      <c r="G39" s="142">
        <v>15.410140109998977</v>
      </c>
      <c r="H39" s="139">
        <v>10.561415273656124</v>
      </c>
    </row>
    <row r="40" spans="1:8" x14ac:dyDescent="0.25">
      <c r="A40" s="140"/>
      <c r="B40" s="133" t="s">
        <v>241</v>
      </c>
      <c r="C40" s="81">
        <v>94.366635126999995</v>
      </c>
      <c r="D40" s="81">
        <v>118.73847566400001</v>
      </c>
      <c r="E40" s="81">
        <v>122.866515433</v>
      </c>
      <c r="F40" s="27"/>
      <c r="G40" s="134">
        <v>30.201225536594023</v>
      </c>
      <c r="H40" s="135">
        <v>3.4765814079349582</v>
      </c>
    </row>
    <row r="41" spans="1:8" x14ac:dyDescent="0.25">
      <c r="A41" s="136" t="s">
        <v>213</v>
      </c>
      <c r="B41" s="137" t="s">
        <v>3</v>
      </c>
      <c r="C41" s="79">
        <v>269.30721068600002</v>
      </c>
      <c r="D41" s="79">
        <v>283.77362038000001</v>
      </c>
      <c r="E41" s="79">
        <v>318.78370337253733</v>
      </c>
      <c r="F41" s="22" t="s">
        <v>240</v>
      </c>
      <c r="G41" s="131">
        <v>18.371766786528653</v>
      </c>
      <c r="H41" s="132">
        <v>12.337328235674434</v>
      </c>
    </row>
    <row r="42" spans="1:8" x14ac:dyDescent="0.25">
      <c r="A42" s="140"/>
      <c r="B42" s="133" t="s">
        <v>241</v>
      </c>
      <c r="C42" s="81">
        <v>117.35726455</v>
      </c>
      <c r="D42" s="81">
        <v>149.07903666799999</v>
      </c>
      <c r="E42" s="81">
        <v>156.732972674</v>
      </c>
      <c r="F42" s="27"/>
      <c r="G42" s="143">
        <v>33.551998911174366</v>
      </c>
      <c r="H42" s="132">
        <v>5.1341464078852113</v>
      </c>
    </row>
    <row r="43" spans="1:8" x14ac:dyDescent="0.25">
      <c r="A43" s="136" t="s">
        <v>214</v>
      </c>
      <c r="B43" s="137" t="s">
        <v>3</v>
      </c>
      <c r="C43" s="79">
        <v>27.488966675</v>
      </c>
      <c r="D43" s="79">
        <v>31.958343426999999</v>
      </c>
      <c r="E43" s="79">
        <v>68.873363257590313</v>
      </c>
      <c r="F43" s="22" t="s">
        <v>240</v>
      </c>
      <c r="G43" s="142">
        <v>150.54911693071239</v>
      </c>
      <c r="H43" s="139">
        <v>115.50980392620312</v>
      </c>
    </row>
    <row r="44" spans="1:8" x14ac:dyDescent="0.25">
      <c r="A44" s="140"/>
      <c r="B44" s="133" t="s">
        <v>241</v>
      </c>
      <c r="C44" s="81">
        <v>6.0577606660000001</v>
      </c>
      <c r="D44" s="81">
        <v>14.939064255</v>
      </c>
      <c r="E44" s="81">
        <v>23.436136767000001</v>
      </c>
      <c r="F44" s="27"/>
      <c r="G44" s="134">
        <v>286.87789199957143</v>
      </c>
      <c r="H44" s="135">
        <v>56.878211158079012</v>
      </c>
    </row>
    <row r="45" spans="1:8" x14ac:dyDescent="0.25">
      <c r="A45" s="136" t="s">
        <v>215</v>
      </c>
      <c r="B45" s="137" t="s">
        <v>3</v>
      </c>
      <c r="C45" s="79">
        <v>75.907370400000005</v>
      </c>
      <c r="D45" s="79">
        <v>121.439739893</v>
      </c>
      <c r="E45" s="79">
        <v>98.863055210109863</v>
      </c>
      <c r="F45" s="22" t="s">
        <v>240</v>
      </c>
      <c r="G45" s="131">
        <v>30.24170734560164</v>
      </c>
      <c r="H45" s="132">
        <v>-18.590853951747874</v>
      </c>
    </row>
    <row r="46" spans="1:8" ht="13.8" thickBot="1" x14ac:dyDescent="0.3">
      <c r="A46" s="146"/>
      <c r="B46" s="147" t="s">
        <v>241</v>
      </c>
      <c r="C46" s="85">
        <v>79.409918531000002</v>
      </c>
      <c r="D46" s="85">
        <v>39.331649499000001</v>
      </c>
      <c r="E46" s="85">
        <v>41.591179861000001</v>
      </c>
      <c r="F46" s="44"/>
      <c r="G46" s="148">
        <v>-47.62470402892599</v>
      </c>
      <c r="H46" s="149">
        <v>5.7448146487155185</v>
      </c>
    </row>
    <row r="53" spans="1:9" x14ac:dyDescent="0.25">
      <c r="I53" s="145"/>
    </row>
    <row r="54" spans="1:9" x14ac:dyDescent="0.25">
      <c r="I54" s="145"/>
    </row>
    <row r="55" spans="1:9" x14ac:dyDescent="0.25">
      <c r="A55" s="152"/>
      <c r="B55" s="153"/>
      <c r="C55" s="21"/>
      <c r="D55" s="21"/>
      <c r="E55" s="21"/>
      <c r="F55" s="63"/>
      <c r="G55" s="143"/>
      <c r="H55" s="151"/>
      <c r="I55" s="145"/>
    </row>
    <row r="56" spans="1:9" x14ac:dyDescent="0.25">
      <c r="A56" s="152"/>
      <c r="B56" s="153"/>
      <c r="C56" s="21"/>
      <c r="D56" s="21"/>
      <c r="E56" s="21"/>
      <c r="F56" s="63"/>
      <c r="G56" s="143"/>
      <c r="H56" s="151"/>
      <c r="I56" s="145"/>
    </row>
    <row r="57" spans="1:9" x14ac:dyDescent="0.25">
      <c r="A57" s="152"/>
      <c r="B57" s="153"/>
      <c r="C57" s="21"/>
      <c r="D57" s="21"/>
      <c r="E57" s="21"/>
      <c r="F57" s="63"/>
      <c r="G57" s="143"/>
      <c r="H57" s="151"/>
      <c r="I57" s="145"/>
    </row>
    <row r="58" spans="1:9" x14ac:dyDescent="0.25">
      <c r="A58" s="152"/>
      <c r="B58" s="153"/>
      <c r="C58" s="21"/>
      <c r="D58" s="21"/>
      <c r="E58" s="21"/>
      <c r="F58" s="63"/>
      <c r="G58" s="143"/>
      <c r="H58" s="151"/>
      <c r="I58" s="145"/>
    </row>
    <row r="59" spans="1:9" x14ac:dyDescent="0.25">
      <c r="A59" s="154"/>
      <c r="B59" s="155"/>
      <c r="C59" s="49"/>
      <c r="D59" s="49"/>
      <c r="E59" s="49"/>
      <c r="F59" s="49"/>
      <c r="G59" s="156"/>
      <c r="H59" s="157"/>
      <c r="I59" s="145"/>
    </row>
    <row r="60" spans="1:9" x14ac:dyDescent="0.25">
      <c r="A60" s="158"/>
      <c r="B60" s="158"/>
      <c r="C60" s="158"/>
      <c r="D60" s="158"/>
      <c r="E60" s="158"/>
      <c r="F60" s="158"/>
      <c r="G60" s="158"/>
      <c r="H60" s="158"/>
    </row>
    <row r="61" spans="1:9" ht="12.75" customHeight="1" x14ac:dyDescent="0.25">
      <c r="A61" s="159" t="s">
        <v>242</v>
      </c>
      <c r="G61" s="160"/>
      <c r="H61" s="223">
        <v>23</v>
      </c>
    </row>
    <row r="62" spans="1:9" ht="12.75" customHeight="1" x14ac:dyDescent="0.25">
      <c r="A62" s="159" t="s">
        <v>243</v>
      </c>
      <c r="G62" s="160"/>
      <c r="H62" s="224"/>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1" t="s">
        <v>0</v>
      </c>
      <c r="B2" s="2"/>
      <c r="C2" s="2"/>
      <c r="D2" s="2"/>
      <c r="E2" s="2"/>
      <c r="F2" s="2"/>
      <c r="G2" s="2"/>
    </row>
    <row r="3" spans="1:8" ht="6" customHeight="1" x14ac:dyDescent="0.25">
      <c r="A3" s="3"/>
      <c r="B3" s="2"/>
      <c r="C3" s="2"/>
      <c r="D3" s="2"/>
      <c r="E3" s="2"/>
      <c r="F3" s="2"/>
      <c r="G3" s="2"/>
    </row>
    <row r="4" spans="1:8" ht="16.2" thickBot="1" x14ac:dyDescent="0.35">
      <c r="A4" s="4" t="s">
        <v>155</v>
      </c>
      <c r="B4" s="5"/>
      <c r="C4" s="5"/>
      <c r="D4" s="5"/>
      <c r="E4" s="5"/>
      <c r="F4" s="5"/>
      <c r="G4" s="5"/>
      <c r="H4" s="6"/>
    </row>
    <row r="5" spans="1:8" x14ac:dyDescent="0.25">
      <c r="A5" s="7"/>
      <c r="B5" s="8"/>
      <c r="C5" s="9"/>
      <c r="D5" s="8"/>
      <c r="E5" s="10"/>
      <c r="F5" s="11"/>
      <c r="G5" s="214" t="s">
        <v>1</v>
      </c>
      <c r="H5" s="215"/>
    </row>
    <row r="6" spans="1:8" x14ac:dyDescent="0.25">
      <c r="A6" s="12"/>
      <c r="B6" s="13"/>
      <c r="C6" s="204">
        <v>2016</v>
      </c>
      <c r="D6" s="205">
        <v>2017</v>
      </c>
      <c r="E6" s="205">
        <v>2018</v>
      </c>
      <c r="F6" s="16"/>
      <c r="G6" s="17" t="s">
        <v>238</v>
      </c>
      <c r="H6" s="18" t="s">
        <v>239</v>
      </c>
    </row>
    <row r="7" spans="1:8" x14ac:dyDescent="0.25">
      <c r="A7" s="216" t="s">
        <v>61</v>
      </c>
      <c r="B7" s="19" t="s">
        <v>3</v>
      </c>
      <c r="C7" s="20">
        <v>311962</v>
      </c>
      <c r="D7" s="20">
        <v>320312</v>
      </c>
      <c r="E7" s="78">
        <v>329541.11109461711</v>
      </c>
      <c r="F7" s="22" t="s">
        <v>240</v>
      </c>
      <c r="G7" s="23">
        <v>5.6350167951920724</v>
      </c>
      <c r="H7" s="24">
        <v>2.8812879613055742</v>
      </c>
    </row>
    <row r="8" spans="1:8" x14ac:dyDescent="0.25">
      <c r="A8" s="217"/>
      <c r="B8" s="25" t="s">
        <v>241</v>
      </c>
      <c r="C8" s="26">
        <v>149261.141025641</v>
      </c>
      <c r="D8" s="26">
        <v>148449</v>
      </c>
      <c r="E8" s="26">
        <v>154340</v>
      </c>
      <c r="F8" s="27"/>
      <c r="G8" s="28">
        <v>3.402666587874009</v>
      </c>
      <c r="H8" s="29">
        <v>3.968366240257609</v>
      </c>
    </row>
    <row r="9" spans="1:8" x14ac:dyDescent="0.25">
      <c r="A9" s="30" t="s">
        <v>62</v>
      </c>
      <c r="B9" s="31" t="s">
        <v>3</v>
      </c>
      <c r="C9" s="20">
        <v>101646.25</v>
      </c>
      <c r="D9" s="20">
        <v>95488</v>
      </c>
      <c r="E9" s="21">
        <v>91540.981284239228</v>
      </c>
      <c r="F9" s="22" t="s">
        <v>240</v>
      </c>
      <c r="G9" s="32">
        <v>-9.9416050427445981</v>
      </c>
      <c r="H9" s="33">
        <v>-4.1335232864451825</v>
      </c>
    </row>
    <row r="10" spans="1:8" x14ac:dyDescent="0.25">
      <c r="A10" s="34"/>
      <c r="B10" s="25" t="s">
        <v>241</v>
      </c>
      <c r="C10" s="26">
        <v>46966.145833333001</v>
      </c>
      <c r="D10" s="26">
        <v>43408</v>
      </c>
      <c r="E10" s="26">
        <v>41839</v>
      </c>
      <c r="F10" s="27"/>
      <c r="G10" s="35">
        <v>-10.916684225117194</v>
      </c>
      <c r="H10" s="29">
        <v>-3.6145410984150317</v>
      </c>
    </row>
    <row r="11" spans="1:8" x14ac:dyDescent="0.25">
      <c r="A11" s="30" t="s">
        <v>47</v>
      </c>
      <c r="B11" s="31" t="s">
        <v>3</v>
      </c>
      <c r="C11" s="20">
        <v>11526.5</v>
      </c>
      <c r="D11" s="20">
        <v>11450</v>
      </c>
      <c r="E11" s="21">
        <v>11750.583669348562</v>
      </c>
      <c r="F11" s="22" t="s">
        <v>240</v>
      </c>
      <c r="G11" s="37">
        <v>1.9440738242186342</v>
      </c>
      <c r="H11" s="33">
        <v>2.6251848851402713</v>
      </c>
    </row>
    <row r="12" spans="1:8" x14ac:dyDescent="0.25">
      <c r="A12" s="34"/>
      <c r="B12" s="25" t="s">
        <v>241</v>
      </c>
      <c r="C12" s="26">
        <v>5973.5243055560004</v>
      </c>
      <c r="D12" s="26">
        <v>5811</v>
      </c>
      <c r="E12" s="26">
        <v>6005</v>
      </c>
      <c r="F12" s="27"/>
      <c r="G12" s="28">
        <v>0.52692000289886209</v>
      </c>
      <c r="H12" s="29">
        <v>3.3384959559456178</v>
      </c>
    </row>
    <row r="13" spans="1:8" x14ac:dyDescent="0.25">
      <c r="A13" s="30" t="s">
        <v>48</v>
      </c>
      <c r="B13" s="31" t="s">
        <v>3</v>
      </c>
      <c r="C13" s="20">
        <v>94852.25</v>
      </c>
      <c r="D13" s="20">
        <v>94408</v>
      </c>
      <c r="E13" s="21">
        <v>96528.201264503645</v>
      </c>
      <c r="F13" s="22" t="s">
        <v>240</v>
      </c>
      <c r="G13" s="23">
        <v>1.7669072315138976</v>
      </c>
      <c r="H13" s="24">
        <v>2.2457855949746346</v>
      </c>
    </row>
    <row r="14" spans="1:8" x14ac:dyDescent="0.25">
      <c r="A14" s="34"/>
      <c r="B14" s="25" t="s">
        <v>241</v>
      </c>
      <c r="C14" s="26">
        <v>46319.208333333001</v>
      </c>
      <c r="D14" s="26">
        <v>43578</v>
      </c>
      <c r="E14" s="26">
        <v>45385</v>
      </c>
      <c r="F14" s="27"/>
      <c r="G14" s="38">
        <v>-2.016891840227558</v>
      </c>
      <c r="H14" s="24">
        <v>4.1465877277525323</v>
      </c>
    </row>
    <row r="15" spans="1:8" x14ac:dyDescent="0.25">
      <c r="A15" s="30" t="s">
        <v>49</v>
      </c>
      <c r="B15" s="31" t="s">
        <v>3</v>
      </c>
      <c r="C15" s="20">
        <v>76225.75</v>
      </c>
      <c r="D15" s="20">
        <v>80714</v>
      </c>
      <c r="E15" s="21">
        <v>83613.197684572384</v>
      </c>
      <c r="F15" s="22" t="s">
        <v>240</v>
      </c>
      <c r="G15" s="37">
        <v>9.6915382066721207</v>
      </c>
      <c r="H15" s="33">
        <v>3.5919390496969186</v>
      </c>
    </row>
    <row r="16" spans="1:8" x14ac:dyDescent="0.25">
      <c r="A16" s="34"/>
      <c r="B16" s="25" t="s">
        <v>241</v>
      </c>
      <c r="C16" s="26">
        <v>37706.6875</v>
      </c>
      <c r="D16" s="26">
        <v>39736</v>
      </c>
      <c r="E16" s="26">
        <v>41229</v>
      </c>
      <c r="F16" s="27"/>
      <c r="G16" s="28">
        <v>9.3413469427671174</v>
      </c>
      <c r="H16" s="29">
        <v>3.7572981679082034</v>
      </c>
    </row>
    <row r="17" spans="1:9" x14ac:dyDescent="0.25">
      <c r="A17" s="30" t="s">
        <v>50</v>
      </c>
      <c r="B17" s="31" t="s">
        <v>3</v>
      </c>
      <c r="C17" s="20">
        <v>42717.25</v>
      </c>
      <c r="D17" s="20">
        <v>50788</v>
      </c>
      <c r="E17" s="21">
        <v>59422.951093657393</v>
      </c>
      <c r="F17" s="22" t="s">
        <v>240</v>
      </c>
      <c r="G17" s="37">
        <v>39.107623018001846</v>
      </c>
      <c r="H17" s="33">
        <v>17.001951432734884</v>
      </c>
    </row>
    <row r="18" spans="1:9" ht="13.8" thickBot="1" x14ac:dyDescent="0.3">
      <c r="A18" s="56"/>
      <c r="B18" s="42" t="s">
        <v>241</v>
      </c>
      <c r="C18" s="43">
        <v>19324.229166666999</v>
      </c>
      <c r="D18" s="43">
        <v>20779</v>
      </c>
      <c r="E18" s="43">
        <v>25112</v>
      </c>
      <c r="F18" s="44"/>
      <c r="G18" s="57">
        <v>29.950849699694714</v>
      </c>
      <c r="H18" s="46">
        <v>20.852784060830643</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71</v>
      </c>
      <c r="B32" s="5"/>
      <c r="C32" s="5"/>
      <c r="D32" s="5"/>
      <c r="E32" s="5"/>
      <c r="F32" s="5"/>
      <c r="G32" s="5"/>
      <c r="H32" s="6"/>
    </row>
    <row r="33" spans="1:9" x14ac:dyDescent="0.25">
      <c r="A33" s="7"/>
      <c r="B33" s="8"/>
      <c r="C33" s="220" t="s">
        <v>16</v>
      </c>
      <c r="D33" s="214"/>
      <c r="E33" s="214"/>
      <c r="F33" s="221"/>
      <c r="G33" s="214" t="s">
        <v>1</v>
      </c>
      <c r="H33" s="215"/>
    </row>
    <row r="34" spans="1:9" x14ac:dyDescent="0.25">
      <c r="A34" s="12"/>
      <c r="B34" s="13"/>
      <c r="C34" s="204">
        <v>2016</v>
      </c>
      <c r="D34" s="205">
        <v>2017</v>
      </c>
      <c r="E34" s="205">
        <v>2018</v>
      </c>
      <c r="F34" s="16"/>
      <c r="G34" s="17" t="s">
        <v>238</v>
      </c>
      <c r="H34" s="18" t="s">
        <v>239</v>
      </c>
    </row>
    <row r="35" spans="1:9" ht="12.75" customHeight="1" x14ac:dyDescent="0.25">
      <c r="A35" s="216" t="s">
        <v>61</v>
      </c>
      <c r="B35" s="19" t="s">
        <v>3</v>
      </c>
      <c r="C35" s="79">
        <v>2043.508105676</v>
      </c>
      <c r="D35" s="79">
        <v>2078.891997967</v>
      </c>
      <c r="E35" s="80">
        <v>2189.7452616496676</v>
      </c>
      <c r="F35" s="22" t="s">
        <v>240</v>
      </c>
      <c r="G35" s="23">
        <v>7.1561818408002722</v>
      </c>
      <c r="H35" s="24">
        <v>5.3323243242589626</v>
      </c>
    </row>
    <row r="36" spans="1:9" ht="12.75" customHeight="1" x14ac:dyDescent="0.25">
      <c r="A36" s="217"/>
      <c r="B36" s="25" t="s">
        <v>241</v>
      </c>
      <c r="C36" s="81">
        <v>1054.3515800069999</v>
      </c>
      <c r="D36" s="81">
        <v>1010.191873648</v>
      </c>
      <c r="E36" s="81">
        <v>1085.1063746960001</v>
      </c>
      <c r="F36" s="27"/>
      <c r="G36" s="28">
        <v>2.9169392138432642</v>
      </c>
      <c r="H36" s="29">
        <v>7.4158685099563399</v>
      </c>
    </row>
    <row r="37" spans="1:9" x14ac:dyDescent="0.25">
      <c r="A37" s="30" t="s">
        <v>62</v>
      </c>
      <c r="B37" s="31" t="s">
        <v>3</v>
      </c>
      <c r="C37" s="79">
        <v>329.54042657700001</v>
      </c>
      <c r="D37" s="79">
        <v>319.845063987</v>
      </c>
      <c r="E37" s="82">
        <v>309.64392725418827</v>
      </c>
      <c r="F37" s="22" t="s">
        <v>240</v>
      </c>
      <c r="G37" s="32">
        <v>-6.0376505333444328</v>
      </c>
      <c r="H37" s="33">
        <v>-3.1893994566151349</v>
      </c>
    </row>
    <row r="38" spans="1:9" x14ac:dyDescent="0.25">
      <c r="A38" s="34"/>
      <c r="B38" s="25" t="s">
        <v>241</v>
      </c>
      <c r="C38" s="81">
        <v>164.098688471</v>
      </c>
      <c r="D38" s="81">
        <v>148.03059381099999</v>
      </c>
      <c r="E38" s="81">
        <v>146.76176559800001</v>
      </c>
      <c r="F38" s="27"/>
      <c r="G38" s="35">
        <v>-10.564936889220675</v>
      </c>
      <c r="H38" s="29">
        <v>-0.85713917666232931</v>
      </c>
    </row>
    <row r="39" spans="1:9" x14ac:dyDescent="0.25">
      <c r="A39" s="30" t="s">
        <v>47</v>
      </c>
      <c r="B39" s="31" t="s">
        <v>3</v>
      </c>
      <c r="C39" s="79">
        <v>199.75558718400001</v>
      </c>
      <c r="D39" s="79">
        <v>202.57119352000001</v>
      </c>
      <c r="E39" s="82">
        <v>211.78103926566726</v>
      </c>
      <c r="F39" s="22" t="s">
        <v>240</v>
      </c>
      <c r="G39" s="37">
        <v>6.0200829679874204</v>
      </c>
      <c r="H39" s="33">
        <v>4.5464735561021143</v>
      </c>
    </row>
    <row r="40" spans="1:9" x14ac:dyDescent="0.25">
      <c r="A40" s="34"/>
      <c r="B40" s="25" t="s">
        <v>241</v>
      </c>
      <c r="C40" s="81">
        <v>121.005045606</v>
      </c>
      <c r="D40" s="81">
        <v>120.14336167800001</v>
      </c>
      <c r="E40" s="81">
        <v>126.487749038</v>
      </c>
      <c r="F40" s="27"/>
      <c r="G40" s="28">
        <v>4.5309709231894573</v>
      </c>
      <c r="H40" s="29">
        <v>5.2806807395682682</v>
      </c>
    </row>
    <row r="41" spans="1:9" x14ac:dyDescent="0.25">
      <c r="A41" s="30" t="s">
        <v>48</v>
      </c>
      <c r="B41" s="31" t="s">
        <v>3</v>
      </c>
      <c r="C41" s="79">
        <v>980.790994071</v>
      </c>
      <c r="D41" s="79">
        <v>965.91741902199999</v>
      </c>
      <c r="E41" s="82">
        <v>1029.9271562579536</v>
      </c>
      <c r="F41" s="22" t="s">
        <v>240</v>
      </c>
      <c r="G41" s="23">
        <v>5.0098504660001595</v>
      </c>
      <c r="H41" s="24">
        <v>6.6268333063880505</v>
      </c>
    </row>
    <row r="42" spans="1:9" x14ac:dyDescent="0.25">
      <c r="A42" s="34"/>
      <c r="B42" s="25" t="s">
        <v>241</v>
      </c>
      <c r="C42" s="81">
        <v>501.11447703699997</v>
      </c>
      <c r="D42" s="81">
        <v>459.43859886799999</v>
      </c>
      <c r="E42" s="81">
        <v>501.42574739899999</v>
      </c>
      <c r="F42" s="27"/>
      <c r="G42" s="38">
        <v>6.2115619536768918E-2</v>
      </c>
      <c r="H42" s="24">
        <v>9.138794309936344</v>
      </c>
    </row>
    <row r="43" spans="1:9" x14ac:dyDescent="0.25">
      <c r="A43" s="30" t="s">
        <v>49</v>
      </c>
      <c r="B43" s="31" t="s">
        <v>3</v>
      </c>
      <c r="C43" s="79">
        <v>411.24821371500002</v>
      </c>
      <c r="D43" s="79">
        <v>435.815231283</v>
      </c>
      <c r="E43" s="82">
        <v>476.7288203079076</v>
      </c>
      <c r="F43" s="22" t="s">
        <v>240</v>
      </c>
      <c r="G43" s="37">
        <v>15.922405109408317</v>
      </c>
      <c r="H43" s="33">
        <v>9.3878290817100947</v>
      </c>
    </row>
    <row r="44" spans="1:9" x14ac:dyDescent="0.25">
      <c r="A44" s="34"/>
      <c r="B44" s="25" t="s">
        <v>241</v>
      </c>
      <c r="C44" s="81">
        <v>207.318756748</v>
      </c>
      <c r="D44" s="81">
        <v>217.154718113</v>
      </c>
      <c r="E44" s="81">
        <v>238.462968765</v>
      </c>
      <c r="F44" s="27"/>
      <c r="G44" s="28">
        <v>15.022380273511104</v>
      </c>
      <c r="H44" s="29">
        <v>9.812474182997903</v>
      </c>
    </row>
    <row r="45" spans="1:9" x14ac:dyDescent="0.25">
      <c r="A45" s="30" t="s">
        <v>50</v>
      </c>
      <c r="B45" s="31" t="s">
        <v>3</v>
      </c>
      <c r="C45" s="79">
        <v>122.172884129</v>
      </c>
      <c r="D45" s="79">
        <v>154.743090155</v>
      </c>
      <c r="E45" s="82">
        <v>161.67319184156679</v>
      </c>
      <c r="F45" s="22" t="s">
        <v>240</v>
      </c>
      <c r="G45" s="37">
        <v>32.331485005182628</v>
      </c>
      <c r="H45" s="33">
        <v>4.4784563107956359</v>
      </c>
    </row>
    <row r="46" spans="1:9" ht="13.8" thickBot="1" x14ac:dyDescent="0.3">
      <c r="A46" s="56"/>
      <c r="B46" s="42" t="s">
        <v>241</v>
      </c>
      <c r="C46" s="85">
        <v>60.814612144999998</v>
      </c>
      <c r="D46" s="85">
        <v>65.424601178000003</v>
      </c>
      <c r="E46" s="85">
        <v>71.968143896000001</v>
      </c>
      <c r="F46" s="44"/>
      <c r="G46" s="57">
        <v>18.34021686170864</v>
      </c>
      <c r="H46" s="46">
        <v>10.001654729536753</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6"/>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G61" s="53"/>
      <c r="H61" s="219">
        <v>24</v>
      </c>
    </row>
    <row r="62" spans="1:9" ht="12.75" customHeight="1" x14ac:dyDescent="0.25">
      <c r="A62" s="54" t="s">
        <v>243</v>
      </c>
      <c r="G62" s="53"/>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1" t="s">
        <v>0</v>
      </c>
      <c r="B2" s="2"/>
      <c r="C2" s="2"/>
      <c r="D2" s="2"/>
      <c r="E2" s="2"/>
      <c r="F2" s="2"/>
      <c r="G2" s="2"/>
    </row>
    <row r="3" spans="1:8" ht="6" customHeight="1" x14ac:dyDescent="0.25">
      <c r="A3" s="3"/>
      <c r="B3" s="2"/>
      <c r="C3" s="2"/>
      <c r="D3" s="2"/>
      <c r="E3" s="2"/>
      <c r="F3" s="2"/>
      <c r="G3" s="2"/>
    </row>
    <row r="4" spans="1:8" ht="16.2" thickBot="1" x14ac:dyDescent="0.35">
      <c r="A4" s="4" t="s">
        <v>156</v>
      </c>
      <c r="B4" s="5"/>
      <c r="C4" s="5"/>
      <c r="D4" s="5"/>
      <c r="E4" s="5"/>
      <c r="F4" s="5"/>
      <c r="G4" s="5"/>
      <c r="H4" s="6"/>
    </row>
    <row r="5" spans="1:8" x14ac:dyDescent="0.25">
      <c r="A5" s="7"/>
      <c r="B5" s="8"/>
      <c r="C5" s="9"/>
      <c r="D5" s="8"/>
      <c r="E5" s="10"/>
      <c r="F5" s="11"/>
      <c r="G5" s="214" t="s">
        <v>1</v>
      </c>
      <c r="H5" s="215"/>
    </row>
    <row r="6" spans="1:8" x14ac:dyDescent="0.25">
      <c r="A6" s="12"/>
      <c r="B6" s="13"/>
      <c r="C6" s="204">
        <v>2016</v>
      </c>
      <c r="D6" s="205">
        <v>2017</v>
      </c>
      <c r="E6" s="205">
        <v>2018</v>
      </c>
      <c r="F6" s="16"/>
      <c r="G6" s="17" t="s">
        <v>238</v>
      </c>
      <c r="H6" s="18" t="s">
        <v>239</v>
      </c>
    </row>
    <row r="7" spans="1:8" x14ac:dyDescent="0.25">
      <c r="A7" s="216" t="s">
        <v>51</v>
      </c>
      <c r="B7" s="19" t="s">
        <v>3</v>
      </c>
      <c r="C7" s="20">
        <v>10018.849101247</v>
      </c>
      <c r="D7" s="20">
        <v>9835.3017456359994</v>
      </c>
      <c r="E7" s="78">
        <v>11464.339520296331</v>
      </c>
      <c r="F7" s="22" t="s">
        <v>240</v>
      </c>
      <c r="G7" s="23">
        <v>14.427709255241879</v>
      </c>
      <c r="H7" s="24">
        <v>16.563170269617288</v>
      </c>
    </row>
    <row r="8" spans="1:8" x14ac:dyDescent="0.25">
      <c r="A8" s="217"/>
      <c r="B8" s="25" t="s">
        <v>241</v>
      </c>
      <c r="C8" s="26">
        <v>4070.6695760600001</v>
      </c>
      <c r="D8" s="26">
        <v>3833.5464347259999</v>
      </c>
      <c r="E8" s="26">
        <v>4529.9239401499999</v>
      </c>
      <c r="F8" s="27"/>
      <c r="G8" s="28">
        <v>11.282034945575518</v>
      </c>
      <c r="H8" s="29">
        <v>18.165359864064683</v>
      </c>
    </row>
    <row r="9" spans="1:8" x14ac:dyDescent="0.25">
      <c r="A9" s="30" t="s">
        <v>12</v>
      </c>
      <c r="B9" s="31" t="s">
        <v>3</v>
      </c>
      <c r="C9" s="20">
        <v>236.87614895999999</v>
      </c>
      <c r="D9" s="20">
        <v>251.97450000000001</v>
      </c>
      <c r="E9" s="21">
        <v>324.11108717043862</v>
      </c>
      <c r="F9" s="22" t="s">
        <v>240</v>
      </c>
      <c r="G9" s="32">
        <v>36.827235917774715</v>
      </c>
      <c r="H9" s="33">
        <v>28.62852676379498</v>
      </c>
    </row>
    <row r="10" spans="1:8" x14ac:dyDescent="0.25">
      <c r="A10" s="34"/>
      <c r="B10" s="25" t="s">
        <v>241</v>
      </c>
      <c r="C10" s="26">
        <v>90.387749999999997</v>
      </c>
      <c r="D10" s="26">
        <v>78.463012031999995</v>
      </c>
      <c r="E10" s="26">
        <v>107.51824999999999</v>
      </c>
      <c r="F10" s="27"/>
      <c r="G10" s="35">
        <v>18.952236337335535</v>
      </c>
      <c r="H10" s="29">
        <v>37.030490183260156</v>
      </c>
    </row>
    <row r="11" spans="1:8" x14ac:dyDescent="0.25">
      <c r="A11" s="30" t="s">
        <v>18</v>
      </c>
      <c r="B11" s="31" t="s">
        <v>3</v>
      </c>
      <c r="C11" s="20">
        <v>447.35045958400002</v>
      </c>
      <c r="D11" s="20">
        <v>273.38979999999998</v>
      </c>
      <c r="E11" s="21">
        <v>295.79337275207558</v>
      </c>
      <c r="F11" s="22" t="s">
        <v>240</v>
      </c>
      <c r="G11" s="37">
        <v>-33.878826674920674</v>
      </c>
      <c r="H11" s="33">
        <v>8.1947361430732286</v>
      </c>
    </row>
    <row r="12" spans="1:8" x14ac:dyDescent="0.25">
      <c r="A12" s="34"/>
      <c r="B12" s="25" t="s">
        <v>241</v>
      </c>
      <c r="C12" s="26">
        <v>116.1551</v>
      </c>
      <c r="D12" s="26">
        <v>113.185204813</v>
      </c>
      <c r="E12" s="26">
        <v>102.2073</v>
      </c>
      <c r="F12" s="27"/>
      <c r="G12" s="28">
        <v>-12.007910113288176</v>
      </c>
      <c r="H12" s="29">
        <v>-9.6990634342511868</v>
      </c>
    </row>
    <row r="13" spans="1:8" x14ac:dyDescent="0.25">
      <c r="A13" s="30" t="s">
        <v>63</v>
      </c>
      <c r="B13" s="31" t="s">
        <v>3</v>
      </c>
      <c r="C13" s="20">
        <v>1366.2855586000001</v>
      </c>
      <c r="D13" s="20">
        <v>1360.6543750000001</v>
      </c>
      <c r="E13" s="21">
        <v>1226.0694012167507</v>
      </c>
      <c r="F13" s="22" t="s">
        <v>240</v>
      </c>
      <c r="G13" s="23">
        <v>-10.262580651655668</v>
      </c>
      <c r="H13" s="24">
        <v>-9.8911947263058124</v>
      </c>
    </row>
    <row r="14" spans="1:8" x14ac:dyDescent="0.25">
      <c r="A14" s="34"/>
      <c r="B14" s="25" t="s">
        <v>241</v>
      </c>
      <c r="C14" s="26">
        <v>568.45406249999996</v>
      </c>
      <c r="D14" s="26">
        <v>587.736295122</v>
      </c>
      <c r="E14" s="26">
        <v>522.94343749999996</v>
      </c>
      <c r="F14" s="27"/>
      <c r="G14" s="38">
        <v>-8.0060339088525723</v>
      </c>
      <c r="H14" s="24">
        <v>-11.024137552803438</v>
      </c>
    </row>
    <row r="15" spans="1:8" x14ac:dyDescent="0.25">
      <c r="A15" s="30" t="s">
        <v>52</v>
      </c>
      <c r="B15" s="31" t="s">
        <v>3</v>
      </c>
      <c r="C15" s="20">
        <v>4753.3326067999997</v>
      </c>
      <c r="D15" s="20">
        <v>4984.05375</v>
      </c>
      <c r="E15" s="21">
        <v>6338.8140992444105</v>
      </c>
      <c r="F15" s="22" t="s">
        <v>240</v>
      </c>
      <c r="G15" s="37">
        <v>33.355155710674666</v>
      </c>
      <c r="H15" s="33">
        <v>27.18189684941521</v>
      </c>
    </row>
    <row r="16" spans="1:8" x14ac:dyDescent="0.25">
      <c r="A16" s="34"/>
      <c r="B16" s="25" t="s">
        <v>241</v>
      </c>
      <c r="C16" s="26">
        <v>1956.785625</v>
      </c>
      <c r="D16" s="26">
        <v>1846.102710569</v>
      </c>
      <c r="E16" s="26">
        <v>2429.069375</v>
      </c>
      <c r="F16" s="27"/>
      <c r="G16" s="28">
        <v>24.135691920774406</v>
      </c>
      <c r="H16" s="29">
        <v>31.578235657934755</v>
      </c>
    </row>
    <row r="17" spans="1:9" x14ac:dyDescent="0.25">
      <c r="A17" s="30" t="s">
        <v>50</v>
      </c>
      <c r="B17" s="31" t="s">
        <v>3</v>
      </c>
      <c r="C17" s="20">
        <v>3921.3807447999998</v>
      </c>
      <c r="D17" s="20">
        <v>3582.8724999999999</v>
      </c>
      <c r="E17" s="21">
        <v>3955.269100708882</v>
      </c>
      <c r="F17" s="22" t="s">
        <v>240</v>
      </c>
      <c r="G17" s="37">
        <v>0.86419447929968385</v>
      </c>
      <c r="H17" s="33">
        <v>10.393799966615674</v>
      </c>
    </row>
    <row r="18" spans="1:9" ht="13.8" thickBot="1" x14ac:dyDescent="0.3">
      <c r="A18" s="56"/>
      <c r="B18" s="42" t="s">
        <v>241</v>
      </c>
      <c r="C18" s="43">
        <v>1532.93875</v>
      </c>
      <c r="D18" s="43">
        <v>1390.315060162</v>
      </c>
      <c r="E18" s="43">
        <v>1538.5912499999999</v>
      </c>
      <c r="F18" s="44"/>
      <c r="G18" s="57">
        <v>0.36873619379768741</v>
      </c>
      <c r="H18" s="46">
        <v>10.664934451671897</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70</v>
      </c>
      <c r="B32" s="5"/>
      <c r="C32" s="5"/>
      <c r="D32" s="5"/>
      <c r="E32" s="5"/>
      <c r="F32" s="5"/>
      <c r="G32" s="5"/>
      <c r="H32" s="6"/>
    </row>
    <row r="33" spans="1:9" x14ac:dyDescent="0.25">
      <c r="A33" s="7"/>
      <c r="B33" s="8"/>
      <c r="C33" s="220" t="s">
        <v>16</v>
      </c>
      <c r="D33" s="214"/>
      <c r="E33" s="214"/>
      <c r="F33" s="221"/>
      <c r="G33" s="214" t="s">
        <v>1</v>
      </c>
      <c r="H33" s="215"/>
    </row>
    <row r="34" spans="1:9" x14ac:dyDescent="0.25">
      <c r="A34" s="12"/>
      <c r="B34" s="13"/>
      <c r="C34" s="204">
        <v>2016</v>
      </c>
      <c r="D34" s="205">
        <v>2017</v>
      </c>
      <c r="E34" s="205">
        <v>2018</v>
      </c>
      <c r="F34" s="16"/>
      <c r="G34" s="17" t="s">
        <v>238</v>
      </c>
      <c r="H34" s="18" t="s">
        <v>239</v>
      </c>
    </row>
    <row r="35" spans="1:9" ht="12.75" customHeight="1" x14ac:dyDescent="0.25">
      <c r="A35" s="216" t="s">
        <v>51</v>
      </c>
      <c r="B35" s="19" t="s">
        <v>3</v>
      </c>
      <c r="C35" s="79">
        <v>453.98179332199999</v>
      </c>
      <c r="D35" s="79">
        <v>468.76565664700001</v>
      </c>
      <c r="E35" s="80">
        <v>516.03233023186817</v>
      </c>
      <c r="F35" s="22" t="s">
        <v>240</v>
      </c>
      <c r="G35" s="23">
        <v>13.668067271115646</v>
      </c>
      <c r="H35" s="24">
        <v>10.083220243342609</v>
      </c>
    </row>
    <row r="36" spans="1:9" ht="12.75" customHeight="1" x14ac:dyDescent="0.25">
      <c r="A36" s="217"/>
      <c r="B36" s="25" t="s">
        <v>241</v>
      </c>
      <c r="C36" s="81">
        <v>182.68802268300001</v>
      </c>
      <c r="D36" s="81">
        <v>194.09698577200001</v>
      </c>
      <c r="E36" s="81">
        <v>211.626502254</v>
      </c>
      <c r="F36" s="27"/>
      <c r="G36" s="28">
        <v>15.840381403226417</v>
      </c>
      <c r="H36" s="29">
        <v>9.0313182413823654</v>
      </c>
    </row>
    <row r="37" spans="1:9" x14ac:dyDescent="0.25">
      <c r="A37" s="30" t="s">
        <v>12</v>
      </c>
      <c r="B37" s="31" t="s">
        <v>3</v>
      </c>
      <c r="C37" s="79">
        <v>2.505784298</v>
      </c>
      <c r="D37" s="79">
        <v>2.9888742339999999</v>
      </c>
      <c r="E37" s="82">
        <v>6.2562700178283155</v>
      </c>
      <c r="F37" s="22" t="s">
        <v>240</v>
      </c>
      <c r="G37" s="32">
        <v>149.67312720499439</v>
      </c>
      <c r="H37" s="33">
        <v>109.31861055443511</v>
      </c>
    </row>
    <row r="38" spans="1:9" x14ac:dyDescent="0.25">
      <c r="A38" s="34"/>
      <c r="B38" s="25" t="s">
        <v>241</v>
      </c>
      <c r="C38" s="81">
        <v>1.059681713</v>
      </c>
      <c r="D38" s="81">
        <v>1.2721786909999999</v>
      </c>
      <c r="E38" s="81">
        <v>2.657159966</v>
      </c>
      <c r="F38" s="27"/>
      <c r="G38" s="35">
        <v>150.75076161100083</v>
      </c>
      <c r="H38" s="29">
        <v>108.86688205029839</v>
      </c>
    </row>
    <row r="39" spans="1:9" x14ac:dyDescent="0.25">
      <c r="A39" s="30" t="s">
        <v>18</v>
      </c>
      <c r="B39" s="31" t="s">
        <v>3</v>
      </c>
      <c r="C39" s="79">
        <v>29.545403823000001</v>
      </c>
      <c r="D39" s="79">
        <v>31.574270387999999</v>
      </c>
      <c r="E39" s="82">
        <v>30.641734828715748</v>
      </c>
      <c r="F39" s="22" t="s">
        <v>240</v>
      </c>
      <c r="G39" s="37">
        <v>3.7106651588978821</v>
      </c>
      <c r="H39" s="33">
        <v>-2.9534666924201218</v>
      </c>
    </row>
    <row r="40" spans="1:9" x14ac:dyDescent="0.25">
      <c r="A40" s="34"/>
      <c r="B40" s="25" t="s">
        <v>241</v>
      </c>
      <c r="C40" s="81">
        <v>15.340461014000001</v>
      </c>
      <c r="D40" s="81">
        <v>13.347601092</v>
      </c>
      <c r="E40" s="81">
        <v>13.808685636</v>
      </c>
      <c r="F40" s="27"/>
      <c r="G40" s="28">
        <v>-9.9851978151248062</v>
      </c>
      <c r="H40" s="29">
        <v>3.454437548904238</v>
      </c>
    </row>
    <row r="41" spans="1:9" x14ac:dyDescent="0.25">
      <c r="A41" s="30" t="s">
        <v>63</v>
      </c>
      <c r="B41" s="31" t="s">
        <v>3</v>
      </c>
      <c r="C41" s="79">
        <v>60.209540357999998</v>
      </c>
      <c r="D41" s="79">
        <v>63.538101099999999</v>
      </c>
      <c r="E41" s="82">
        <v>52.08860183975532</v>
      </c>
      <c r="F41" s="22" t="s">
        <v>240</v>
      </c>
      <c r="G41" s="23">
        <v>-13.487793578822192</v>
      </c>
      <c r="H41" s="24">
        <v>-18.019895247144362</v>
      </c>
    </row>
    <row r="42" spans="1:9" x14ac:dyDescent="0.25">
      <c r="A42" s="34"/>
      <c r="B42" s="25" t="s">
        <v>241</v>
      </c>
      <c r="C42" s="81">
        <v>26.122610181999999</v>
      </c>
      <c r="D42" s="81">
        <v>29.805062898999999</v>
      </c>
      <c r="E42" s="81">
        <v>23.790326244999999</v>
      </c>
      <c r="F42" s="27"/>
      <c r="G42" s="38">
        <v>-8.9282193500214646</v>
      </c>
      <c r="H42" s="24">
        <v>-20.180251504189243</v>
      </c>
    </row>
    <row r="43" spans="1:9" x14ac:dyDescent="0.25">
      <c r="A43" s="30" t="s">
        <v>52</v>
      </c>
      <c r="B43" s="31" t="s">
        <v>3</v>
      </c>
      <c r="C43" s="79">
        <v>222.122603161</v>
      </c>
      <c r="D43" s="79">
        <v>234.64305984500001</v>
      </c>
      <c r="E43" s="82">
        <v>305.54703896740102</v>
      </c>
      <c r="F43" s="22" t="s">
        <v>240</v>
      </c>
      <c r="G43" s="37">
        <v>37.557832755063174</v>
      </c>
      <c r="H43" s="33">
        <v>30.217803658560626</v>
      </c>
    </row>
    <row r="44" spans="1:9" x14ac:dyDescent="0.25">
      <c r="A44" s="34"/>
      <c r="B44" s="25" t="s">
        <v>241</v>
      </c>
      <c r="C44" s="81">
        <v>88.645508840999995</v>
      </c>
      <c r="D44" s="81">
        <v>90.837673472999995</v>
      </c>
      <c r="E44" s="81">
        <v>119.479611495</v>
      </c>
      <c r="F44" s="27"/>
      <c r="G44" s="28">
        <v>34.783603881507332</v>
      </c>
      <c r="H44" s="29">
        <v>31.530902242353619</v>
      </c>
    </row>
    <row r="45" spans="1:9" x14ac:dyDescent="0.25">
      <c r="A45" s="30" t="s">
        <v>50</v>
      </c>
      <c r="B45" s="31" t="s">
        <v>3</v>
      </c>
      <c r="C45" s="79">
        <v>139.59846168199999</v>
      </c>
      <c r="D45" s="79">
        <v>136.02135107999999</v>
      </c>
      <c r="E45" s="82">
        <v>126.84644756231076</v>
      </c>
      <c r="F45" s="22" t="s">
        <v>240</v>
      </c>
      <c r="G45" s="37">
        <v>-9.1347812619438713</v>
      </c>
      <c r="H45" s="33">
        <v>-6.7451936367644834</v>
      </c>
    </row>
    <row r="46" spans="1:9" ht="13.8" thickBot="1" x14ac:dyDescent="0.3">
      <c r="A46" s="56"/>
      <c r="B46" s="42" t="s">
        <v>241</v>
      </c>
      <c r="C46" s="85">
        <v>51.519760933000001</v>
      </c>
      <c r="D46" s="85">
        <v>58.834469618</v>
      </c>
      <c r="E46" s="85">
        <v>51.890718911999997</v>
      </c>
      <c r="F46" s="44"/>
      <c r="G46" s="57">
        <v>0.72003047429203093</v>
      </c>
      <c r="H46" s="46">
        <v>-11.802181189164003</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6"/>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H61" s="209">
        <v>25</v>
      </c>
    </row>
    <row r="62" spans="1:9" ht="12.75" customHeight="1" x14ac:dyDescent="0.25">
      <c r="A62" s="54" t="s">
        <v>243</v>
      </c>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80" zoomScaleNormal="80" zoomScaleSheetLayoutView="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1" t="s">
        <v>0</v>
      </c>
      <c r="B2" s="2"/>
      <c r="C2" s="2"/>
      <c r="D2" s="2"/>
      <c r="E2" s="2"/>
      <c r="F2" s="2"/>
      <c r="G2" s="2"/>
    </row>
    <row r="3" spans="1:8" ht="6" customHeight="1" x14ac:dyDescent="0.25">
      <c r="A3" s="3"/>
      <c r="B3" s="2"/>
      <c r="C3" s="2"/>
      <c r="D3" s="2"/>
      <c r="E3" s="2"/>
      <c r="F3" s="2"/>
      <c r="G3" s="2"/>
    </row>
    <row r="4" spans="1:8" ht="16.2" thickBot="1" x14ac:dyDescent="0.35">
      <c r="A4" s="4" t="s">
        <v>157</v>
      </c>
      <c r="B4" s="5"/>
      <c r="C4" s="5"/>
      <c r="D4" s="5"/>
      <c r="E4" s="5"/>
      <c r="F4" s="5"/>
      <c r="G4" s="5"/>
      <c r="H4" s="6"/>
    </row>
    <row r="5" spans="1:8" x14ac:dyDescent="0.25">
      <c r="A5" s="7"/>
      <c r="B5" s="8"/>
      <c r="C5" s="9"/>
      <c r="D5" s="8"/>
      <c r="E5" s="10"/>
      <c r="F5" s="11"/>
      <c r="G5" s="214" t="s">
        <v>1</v>
      </c>
      <c r="H5" s="215"/>
    </row>
    <row r="6" spans="1:8" x14ac:dyDescent="0.25">
      <c r="A6" s="12"/>
      <c r="B6" s="13"/>
      <c r="C6" s="204">
        <v>2016</v>
      </c>
      <c r="D6" s="205">
        <v>2017</v>
      </c>
      <c r="E6" s="205">
        <v>2018</v>
      </c>
      <c r="F6" s="16"/>
      <c r="G6" s="17" t="s">
        <v>238</v>
      </c>
      <c r="H6" s="18" t="s">
        <v>239</v>
      </c>
    </row>
    <row r="7" spans="1:8" ht="12.75" customHeight="1" x14ac:dyDescent="0.25">
      <c r="A7" s="216" t="s">
        <v>64</v>
      </c>
      <c r="B7" s="19" t="s">
        <v>3</v>
      </c>
      <c r="C7" s="20">
        <v>8825.3934933599994</v>
      </c>
      <c r="D7" s="20">
        <v>9480.0519999999997</v>
      </c>
      <c r="E7" s="78">
        <v>10373.983976370599</v>
      </c>
      <c r="F7" s="22" t="s">
        <v>240</v>
      </c>
      <c r="G7" s="23">
        <v>17.546985119425202</v>
      </c>
      <c r="H7" s="24">
        <v>9.4296104744003344</v>
      </c>
    </row>
    <row r="8" spans="1:8" ht="12.75" customHeight="1" x14ac:dyDescent="0.25">
      <c r="A8" s="217"/>
      <c r="B8" s="25" t="s">
        <v>241</v>
      </c>
      <c r="C8" s="26">
        <v>4769.7039999999997</v>
      </c>
      <c r="D8" s="26">
        <v>4864.4012554769997</v>
      </c>
      <c r="E8" s="26">
        <v>5414.37</v>
      </c>
      <c r="F8" s="27"/>
      <c r="G8" s="28">
        <v>13.515849201543745</v>
      </c>
      <c r="H8" s="29">
        <v>11.305990514326325</v>
      </c>
    </row>
    <row r="9" spans="1:8" x14ac:dyDescent="0.25">
      <c r="A9" s="30" t="s">
        <v>53</v>
      </c>
      <c r="B9" s="31" t="s">
        <v>3</v>
      </c>
      <c r="C9" s="20">
        <v>2.1039349340000002</v>
      </c>
      <c r="D9" s="20">
        <v>3.12052</v>
      </c>
      <c r="E9" s="21">
        <v>19.56914116155934</v>
      </c>
      <c r="F9" s="22" t="s">
        <v>240</v>
      </c>
      <c r="G9" s="32">
        <v>830.12102443465301</v>
      </c>
      <c r="H9" s="33">
        <v>527.1115442797784</v>
      </c>
    </row>
    <row r="10" spans="1:8" x14ac:dyDescent="0.25">
      <c r="A10" s="34"/>
      <c r="B10" s="25" t="s">
        <v>241</v>
      </c>
      <c r="C10" s="26">
        <v>4.6570400000000003</v>
      </c>
      <c r="D10" s="26">
        <v>0.114012555</v>
      </c>
      <c r="E10" s="26">
        <v>1.0637000000000001</v>
      </c>
      <c r="F10" s="27"/>
      <c r="G10" s="35">
        <v>-77.159311493996185</v>
      </c>
      <c r="H10" s="29">
        <v>832.96742626283572</v>
      </c>
    </row>
    <row r="11" spans="1:8" x14ac:dyDescent="0.25">
      <c r="A11" s="30" t="s">
        <v>54</v>
      </c>
      <c r="B11" s="31" t="s">
        <v>3</v>
      </c>
      <c r="C11" s="20">
        <v>697.51967466799999</v>
      </c>
      <c r="D11" s="20">
        <v>781.60260000000005</v>
      </c>
      <c r="E11" s="21">
        <v>771.07152380464549</v>
      </c>
      <c r="F11" s="22" t="s">
        <v>240</v>
      </c>
      <c r="G11" s="37">
        <v>10.544770535921316</v>
      </c>
      <c r="H11" s="33">
        <v>-1.3473696473571835</v>
      </c>
    </row>
    <row r="12" spans="1:8" x14ac:dyDescent="0.25">
      <c r="A12" s="34"/>
      <c r="B12" s="25" t="s">
        <v>241</v>
      </c>
      <c r="C12" s="26">
        <v>403.28519999999997</v>
      </c>
      <c r="D12" s="26">
        <v>352.57006277400001</v>
      </c>
      <c r="E12" s="26">
        <v>375.31849999999997</v>
      </c>
      <c r="F12" s="27"/>
      <c r="G12" s="28">
        <v>-6.934720143461746</v>
      </c>
      <c r="H12" s="29">
        <v>6.4521749370938295</v>
      </c>
    </row>
    <row r="13" spans="1:8" x14ac:dyDescent="0.25">
      <c r="A13" s="30" t="s">
        <v>66</v>
      </c>
      <c r="B13" s="31" t="s">
        <v>3</v>
      </c>
      <c r="C13" s="20">
        <v>108.207869867</v>
      </c>
      <c r="D13" s="20">
        <v>370.24104</v>
      </c>
      <c r="E13" s="21">
        <v>204.35015017001447</v>
      </c>
      <c r="F13" s="22" t="s">
        <v>240</v>
      </c>
      <c r="G13" s="23">
        <v>88.849619183137463</v>
      </c>
      <c r="H13" s="24">
        <v>-44.80618621587319</v>
      </c>
    </row>
    <row r="14" spans="1:8" x14ac:dyDescent="0.25">
      <c r="A14" s="34"/>
      <c r="B14" s="25" t="s">
        <v>241</v>
      </c>
      <c r="C14" s="26">
        <v>45.314079999999997</v>
      </c>
      <c r="D14" s="26">
        <v>41.228025109999997</v>
      </c>
      <c r="E14" s="26">
        <v>30.127400000000002</v>
      </c>
      <c r="F14" s="27"/>
      <c r="G14" s="38">
        <v>-33.51426311645298</v>
      </c>
      <c r="H14" s="24">
        <v>-26.92494991060704</v>
      </c>
    </row>
    <row r="15" spans="1:8" x14ac:dyDescent="0.25">
      <c r="A15" s="30" t="s">
        <v>55</v>
      </c>
      <c r="B15" s="31" t="s">
        <v>3</v>
      </c>
      <c r="C15" s="20">
        <v>6271.3147946879999</v>
      </c>
      <c r="D15" s="20">
        <v>6849.6415999999999</v>
      </c>
      <c r="E15" s="21">
        <v>7420.9150656828533</v>
      </c>
      <c r="F15" s="22" t="s">
        <v>240</v>
      </c>
      <c r="G15" s="37">
        <v>18.331088593552991</v>
      </c>
      <c r="H15" s="33">
        <v>8.3401949918496996</v>
      </c>
    </row>
    <row r="16" spans="1:8" x14ac:dyDescent="0.25">
      <c r="A16" s="34"/>
      <c r="B16" s="25" t="s">
        <v>241</v>
      </c>
      <c r="C16" s="26">
        <v>3421.5632000000001</v>
      </c>
      <c r="D16" s="26">
        <v>3571.1210043810001</v>
      </c>
      <c r="E16" s="26">
        <v>3927.096</v>
      </c>
      <c r="F16" s="27"/>
      <c r="G16" s="28">
        <v>14.77490756271871</v>
      </c>
      <c r="H16" s="29">
        <v>9.9681583228990149</v>
      </c>
    </row>
    <row r="17" spans="1:9" x14ac:dyDescent="0.25">
      <c r="A17" s="30" t="s">
        <v>67</v>
      </c>
      <c r="B17" s="31" t="s">
        <v>3</v>
      </c>
      <c r="C17" s="20">
        <v>424.51967466799999</v>
      </c>
      <c r="D17" s="20">
        <v>355.6026</v>
      </c>
      <c r="E17" s="21">
        <v>353.20982707910582</v>
      </c>
      <c r="F17" s="22" t="s">
        <v>240</v>
      </c>
      <c r="G17" s="37">
        <v>-16.797772127914399</v>
      </c>
      <c r="H17" s="33">
        <v>-0.67287835378429861</v>
      </c>
    </row>
    <row r="18" spans="1:9" x14ac:dyDescent="0.25">
      <c r="A18" s="30"/>
      <c r="B18" s="25" t="s">
        <v>241</v>
      </c>
      <c r="C18" s="26">
        <v>259.28519999999997</v>
      </c>
      <c r="D18" s="26">
        <v>216.57006277400001</v>
      </c>
      <c r="E18" s="26">
        <v>215.3185</v>
      </c>
      <c r="F18" s="27"/>
      <c r="G18" s="28">
        <v>-16.956887627986475</v>
      </c>
      <c r="H18" s="29">
        <v>-0.57790202300770943</v>
      </c>
    </row>
    <row r="19" spans="1:9" x14ac:dyDescent="0.25">
      <c r="A19" s="39" t="s">
        <v>56</v>
      </c>
      <c r="B19" s="31" t="s">
        <v>3</v>
      </c>
      <c r="C19" s="20">
        <v>14.103934934</v>
      </c>
      <c r="D19" s="20">
        <v>8.1205200000000008</v>
      </c>
      <c r="E19" s="21">
        <v>3.767417810519929</v>
      </c>
      <c r="F19" s="22" t="s">
        <v>240</v>
      </c>
      <c r="G19" s="23">
        <v>-73.288179304926388</v>
      </c>
      <c r="H19" s="24">
        <v>-53.606199966012909</v>
      </c>
    </row>
    <row r="20" spans="1:9" x14ac:dyDescent="0.25">
      <c r="A20" s="34"/>
      <c r="B20" s="25" t="s">
        <v>241</v>
      </c>
      <c r="C20" s="26">
        <v>13.65704</v>
      </c>
      <c r="D20" s="26">
        <v>6.1140125550000004</v>
      </c>
      <c r="E20" s="26">
        <v>3.0636999999999999</v>
      </c>
      <c r="F20" s="27"/>
      <c r="G20" s="38">
        <v>-77.566881256846287</v>
      </c>
      <c r="H20" s="24">
        <v>-49.890518338983036</v>
      </c>
    </row>
    <row r="21" spans="1:9" x14ac:dyDescent="0.25">
      <c r="A21" s="39" t="s">
        <v>68</v>
      </c>
      <c r="B21" s="31" t="s">
        <v>3</v>
      </c>
      <c r="C21" s="20">
        <v>82.103934933999994</v>
      </c>
      <c r="D21" s="20">
        <v>103.12052</v>
      </c>
      <c r="E21" s="21">
        <v>54.090766302316858</v>
      </c>
      <c r="F21" s="22" t="s">
        <v>240</v>
      </c>
      <c r="G21" s="37">
        <v>-34.119154769137168</v>
      </c>
      <c r="H21" s="33">
        <v>-47.546069102137132</v>
      </c>
    </row>
    <row r="22" spans="1:9" x14ac:dyDescent="0.25">
      <c r="A22" s="34"/>
      <c r="B22" s="25" t="s">
        <v>241</v>
      </c>
      <c r="C22" s="26">
        <v>36.657040000000002</v>
      </c>
      <c r="D22" s="26">
        <v>69.114012555000002</v>
      </c>
      <c r="E22" s="26">
        <v>31.063700000000001</v>
      </c>
      <c r="F22" s="27"/>
      <c r="G22" s="28">
        <v>-15.258569704482412</v>
      </c>
      <c r="H22" s="29">
        <v>-55.054411035273162</v>
      </c>
    </row>
    <row r="23" spans="1:9" x14ac:dyDescent="0.25">
      <c r="A23" s="30" t="s">
        <v>69</v>
      </c>
      <c r="B23" s="31" t="s">
        <v>3</v>
      </c>
      <c r="C23" s="20">
        <v>1299.5196746680001</v>
      </c>
      <c r="D23" s="20">
        <v>1266.6025999999999</v>
      </c>
      <c r="E23" s="21">
        <v>1770.5668772741906</v>
      </c>
      <c r="F23" s="22" t="s">
        <v>240</v>
      </c>
      <c r="G23" s="23">
        <v>36.247793072200551</v>
      </c>
      <c r="H23" s="24">
        <v>39.78866593785537</v>
      </c>
    </row>
    <row r="24" spans="1:9" ht="13.8" thickBot="1" x14ac:dyDescent="0.3">
      <c r="A24" s="56"/>
      <c r="B24" s="42" t="s">
        <v>241</v>
      </c>
      <c r="C24" s="43">
        <v>599.28520000000003</v>
      </c>
      <c r="D24" s="43">
        <v>615.57006277400001</v>
      </c>
      <c r="E24" s="43">
        <v>845.31849999999997</v>
      </c>
      <c r="F24" s="44"/>
      <c r="G24" s="57">
        <v>41.054459546139299</v>
      </c>
      <c r="H24" s="46">
        <v>37.322873726292585</v>
      </c>
    </row>
    <row r="25" spans="1:9" x14ac:dyDescent="0.25">
      <c r="A25" s="58"/>
      <c r="B25" s="58"/>
      <c r="C25" s="64"/>
      <c r="D25" s="64"/>
      <c r="E25" s="21"/>
      <c r="F25" s="59"/>
      <c r="G25" s="38"/>
      <c r="H25" s="60"/>
      <c r="I25" s="61"/>
    </row>
    <row r="26" spans="1:9" x14ac:dyDescent="0.25">
      <c r="A26" s="58"/>
      <c r="B26" s="58"/>
      <c r="C26" s="64"/>
      <c r="D26" s="64"/>
      <c r="E26" s="21"/>
      <c r="F26" s="59"/>
      <c r="G26" s="38"/>
      <c r="H26" s="60"/>
      <c r="I26" s="61"/>
    </row>
    <row r="27" spans="1:9" x14ac:dyDescent="0.25">
      <c r="A27" s="58"/>
      <c r="B27" s="58"/>
      <c r="C27" s="64"/>
      <c r="D27" s="64"/>
      <c r="E27" s="21"/>
      <c r="F27" s="59"/>
      <c r="G27" s="38"/>
      <c r="H27" s="60"/>
      <c r="I27" s="61"/>
    </row>
    <row r="28" spans="1:9" x14ac:dyDescent="0.25">
      <c r="A28" s="58"/>
      <c r="B28" s="58"/>
      <c r="C28" s="64"/>
      <c r="D28" s="64"/>
      <c r="E28" s="21"/>
      <c r="F28" s="59"/>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65</v>
      </c>
      <c r="B32" s="5"/>
      <c r="C32" s="5"/>
      <c r="D32" s="5"/>
      <c r="E32" s="5"/>
      <c r="F32" s="5"/>
      <c r="G32" s="5"/>
      <c r="H32" s="6"/>
    </row>
    <row r="33" spans="1:8" x14ac:dyDescent="0.25">
      <c r="A33" s="7"/>
      <c r="B33" s="8"/>
      <c r="C33" s="220" t="s">
        <v>16</v>
      </c>
      <c r="D33" s="214"/>
      <c r="E33" s="214"/>
      <c r="F33" s="221"/>
      <c r="G33" s="214" t="s">
        <v>1</v>
      </c>
      <c r="H33" s="215"/>
    </row>
    <row r="34" spans="1:8" x14ac:dyDescent="0.25">
      <c r="A34" s="12"/>
      <c r="B34" s="13"/>
      <c r="C34" s="204">
        <v>2016</v>
      </c>
      <c r="D34" s="205">
        <v>2017</v>
      </c>
      <c r="E34" s="205">
        <v>2018</v>
      </c>
      <c r="F34" s="16"/>
      <c r="G34" s="17" t="s">
        <v>238</v>
      </c>
      <c r="H34" s="18" t="s">
        <v>239</v>
      </c>
    </row>
    <row r="35" spans="1:8" ht="12.75" customHeight="1" x14ac:dyDescent="0.25">
      <c r="A35" s="216" t="s">
        <v>64</v>
      </c>
      <c r="B35" s="19" t="s">
        <v>3</v>
      </c>
      <c r="C35" s="79">
        <v>1026.4393155570001</v>
      </c>
      <c r="D35" s="79">
        <v>963.64843128899997</v>
      </c>
      <c r="E35" s="80">
        <v>1042.6085938175415</v>
      </c>
      <c r="F35" s="22" t="s">
        <v>240</v>
      </c>
      <c r="G35" s="23">
        <v>1.5752785396540645</v>
      </c>
      <c r="H35" s="24">
        <v>8.1938765181117361</v>
      </c>
    </row>
    <row r="36" spans="1:8" ht="12.75" customHeight="1" x14ac:dyDescent="0.25">
      <c r="A36" s="217"/>
      <c r="B36" s="25" t="s">
        <v>241</v>
      </c>
      <c r="C36" s="81">
        <v>523.92029056199999</v>
      </c>
      <c r="D36" s="81">
        <v>461.43342745899997</v>
      </c>
      <c r="E36" s="81">
        <v>509.75726957000001</v>
      </c>
      <c r="F36" s="27"/>
      <c r="G36" s="28">
        <v>-2.7032778167090186</v>
      </c>
      <c r="H36" s="29">
        <v>10.472549068910666</v>
      </c>
    </row>
    <row r="37" spans="1:8" x14ac:dyDescent="0.25">
      <c r="A37" s="30" t="s">
        <v>53</v>
      </c>
      <c r="B37" s="31" t="s">
        <v>3</v>
      </c>
      <c r="C37" s="79">
        <v>0.16332212600000001</v>
      </c>
      <c r="D37" s="79">
        <v>0.22367484400000001</v>
      </c>
      <c r="E37" s="82">
        <v>0.16189967937786948</v>
      </c>
      <c r="F37" s="22" t="s">
        <v>240</v>
      </c>
      <c r="G37" s="32">
        <v>-0.8709454480959522</v>
      </c>
      <c r="H37" s="33">
        <v>-27.618288904285777</v>
      </c>
    </row>
    <row r="38" spans="1:8" x14ac:dyDescent="0.25">
      <c r="A38" s="34"/>
      <c r="B38" s="25" t="s">
        <v>241</v>
      </c>
      <c r="C38" s="81">
        <v>0.274772723</v>
      </c>
      <c r="D38" s="81">
        <v>5.8026899999999999E-2</v>
      </c>
      <c r="E38" s="81">
        <v>5.8491599999999998E-2</v>
      </c>
      <c r="F38" s="27"/>
      <c r="G38" s="35">
        <v>-78.712734160297273</v>
      </c>
      <c r="H38" s="29">
        <v>0.80083547458160353</v>
      </c>
    </row>
    <row r="39" spans="1:8" x14ac:dyDescent="0.25">
      <c r="A39" s="30" t="s">
        <v>54</v>
      </c>
      <c r="B39" s="31" t="s">
        <v>3</v>
      </c>
      <c r="C39" s="79">
        <v>52.123447636999998</v>
      </c>
      <c r="D39" s="79">
        <v>49.903237326000003</v>
      </c>
      <c r="E39" s="82">
        <v>49.005251864604062</v>
      </c>
      <c r="F39" s="22" t="s">
        <v>240</v>
      </c>
      <c r="G39" s="37">
        <v>-5.9823283258463391</v>
      </c>
      <c r="H39" s="33">
        <v>-1.7994533210936225</v>
      </c>
    </row>
    <row r="40" spans="1:8" x14ac:dyDescent="0.25">
      <c r="A40" s="34"/>
      <c r="B40" s="25" t="s">
        <v>241</v>
      </c>
      <c r="C40" s="81">
        <v>24.017279835</v>
      </c>
      <c r="D40" s="81">
        <v>24.369913918999998</v>
      </c>
      <c r="E40" s="81">
        <v>23.463479582000001</v>
      </c>
      <c r="F40" s="27"/>
      <c r="G40" s="28">
        <v>-2.3058408645968029</v>
      </c>
      <c r="H40" s="29">
        <v>-3.7194810782376067</v>
      </c>
    </row>
    <row r="41" spans="1:8" x14ac:dyDescent="0.25">
      <c r="A41" s="30" t="s">
        <v>66</v>
      </c>
      <c r="B41" s="31" t="s">
        <v>3</v>
      </c>
      <c r="C41" s="79">
        <v>9.8222711030000003</v>
      </c>
      <c r="D41" s="79">
        <v>29.691987090000001</v>
      </c>
      <c r="E41" s="82">
        <v>44.531576796261234</v>
      </c>
      <c r="F41" s="22" t="s">
        <v>240</v>
      </c>
      <c r="G41" s="23">
        <v>353.37352562647169</v>
      </c>
      <c r="H41" s="24">
        <v>49.97843243458459</v>
      </c>
    </row>
    <row r="42" spans="1:8" x14ac:dyDescent="0.25">
      <c r="A42" s="34"/>
      <c r="B42" s="25" t="s">
        <v>241</v>
      </c>
      <c r="C42" s="81">
        <v>5.6701673689999996</v>
      </c>
      <c r="D42" s="81">
        <v>3.2248929340000001</v>
      </c>
      <c r="E42" s="81">
        <v>6.6311571440000003</v>
      </c>
      <c r="F42" s="27"/>
      <c r="G42" s="38">
        <v>16.948172998453884</v>
      </c>
      <c r="H42" s="24">
        <v>105.62410224810273</v>
      </c>
    </row>
    <row r="43" spans="1:8" x14ac:dyDescent="0.25">
      <c r="A43" s="30" t="s">
        <v>55</v>
      </c>
      <c r="B43" s="31" t="s">
        <v>3</v>
      </c>
      <c r="C43" s="79">
        <v>660.72391437900001</v>
      </c>
      <c r="D43" s="79">
        <v>639.02268746599998</v>
      </c>
      <c r="E43" s="82">
        <v>692.9403926005956</v>
      </c>
      <c r="F43" s="22" t="s">
        <v>240</v>
      </c>
      <c r="G43" s="37">
        <v>4.8759364570412345</v>
      </c>
      <c r="H43" s="33">
        <v>8.4375259583353142</v>
      </c>
    </row>
    <row r="44" spans="1:8" x14ac:dyDescent="0.25">
      <c r="A44" s="34"/>
      <c r="B44" s="25" t="s">
        <v>241</v>
      </c>
      <c r="C44" s="81">
        <v>326.77170786200003</v>
      </c>
      <c r="D44" s="81">
        <v>311.49451997599999</v>
      </c>
      <c r="E44" s="81">
        <v>339.40377403700001</v>
      </c>
      <c r="F44" s="27"/>
      <c r="G44" s="28">
        <v>3.8657159940953818</v>
      </c>
      <c r="H44" s="29">
        <v>8.9597897462691662</v>
      </c>
    </row>
    <row r="45" spans="1:8" x14ac:dyDescent="0.25">
      <c r="A45" s="30" t="s">
        <v>67</v>
      </c>
      <c r="B45" s="31" t="s">
        <v>3</v>
      </c>
      <c r="C45" s="79">
        <v>162.56982649700001</v>
      </c>
      <c r="D45" s="79">
        <v>123.460698687</v>
      </c>
      <c r="E45" s="82">
        <v>117.04323128784645</v>
      </c>
      <c r="F45" s="22" t="s">
        <v>240</v>
      </c>
      <c r="G45" s="37">
        <v>-28.004332778194652</v>
      </c>
      <c r="H45" s="33">
        <v>-5.1979840284423204</v>
      </c>
    </row>
    <row r="46" spans="1:8" x14ac:dyDescent="0.25">
      <c r="A46" s="30"/>
      <c r="B46" s="25" t="s">
        <v>241</v>
      </c>
      <c r="C46" s="81">
        <v>95.625562527</v>
      </c>
      <c r="D46" s="81">
        <v>56.605670375999999</v>
      </c>
      <c r="E46" s="81">
        <v>57.921180921000001</v>
      </c>
      <c r="F46" s="27"/>
      <c r="G46" s="28">
        <v>-39.429186725415718</v>
      </c>
      <c r="H46" s="29">
        <v>2.3239907526256616</v>
      </c>
    </row>
    <row r="47" spans="1:8" x14ac:dyDescent="0.25">
      <c r="A47" s="39" t="s">
        <v>56</v>
      </c>
      <c r="B47" s="31" t="s">
        <v>3</v>
      </c>
      <c r="C47" s="79">
        <v>11.886587322</v>
      </c>
      <c r="D47" s="79">
        <v>3.9777678179999998</v>
      </c>
      <c r="E47" s="82">
        <v>3.2353250286249571</v>
      </c>
      <c r="F47" s="22" t="s">
        <v>240</v>
      </c>
      <c r="G47" s="23">
        <v>-72.781716560169173</v>
      </c>
      <c r="H47" s="24">
        <v>-18.664809595355891</v>
      </c>
    </row>
    <row r="48" spans="1:8" x14ac:dyDescent="0.25">
      <c r="A48" s="34"/>
      <c r="B48" s="25" t="s">
        <v>241</v>
      </c>
      <c r="C48" s="81">
        <v>7.6604675279999999</v>
      </c>
      <c r="D48" s="81">
        <v>2.237133617</v>
      </c>
      <c r="E48" s="81">
        <v>1.9002231460000001</v>
      </c>
      <c r="F48" s="27"/>
      <c r="G48" s="38">
        <v>-75.194423329197093</v>
      </c>
      <c r="H48" s="24">
        <v>-15.05991722800168</v>
      </c>
    </row>
    <row r="49" spans="1:9" x14ac:dyDescent="0.25">
      <c r="A49" s="39" t="s">
        <v>68</v>
      </c>
      <c r="B49" s="31" t="s">
        <v>3</v>
      </c>
      <c r="C49" s="79">
        <v>12.626289169</v>
      </c>
      <c r="D49" s="79">
        <v>12.01689635</v>
      </c>
      <c r="E49" s="82">
        <v>9.5699523081661209</v>
      </c>
      <c r="F49" s="22" t="s">
        <v>240</v>
      </c>
      <c r="G49" s="37">
        <v>-24.20613705203094</v>
      </c>
      <c r="H49" s="33">
        <v>-20.362529313435246</v>
      </c>
    </row>
    <row r="50" spans="1:9" x14ac:dyDescent="0.25">
      <c r="A50" s="34"/>
      <c r="B50" s="25" t="s">
        <v>241</v>
      </c>
      <c r="C50" s="81">
        <v>5.2262577720000003</v>
      </c>
      <c r="D50" s="81">
        <v>7.7368785039999999</v>
      </c>
      <c r="E50" s="81">
        <v>5.1988693450000003</v>
      </c>
      <c r="F50" s="27"/>
      <c r="G50" s="28">
        <v>-0.52405426970585722</v>
      </c>
      <c r="H50" s="29">
        <v>-32.804045684417019</v>
      </c>
    </row>
    <row r="51" spans="1:9" x14ac:dyDescent="0.25">
      <c r="A51" s="30" t="s">
        <v>69</v>
      </c>
      <c r="B51" s="31" t="s">
        <v>3</v>
      </c>
      <c r="C51" s="79">
        <v>116.523657324</v>
      </c>
      <c r="D51" s="79">
        <v>105.351481707</v>
      </c>
      <c r="E51" s="82">
        <v>144.55457854926263</v>
      </c>
      <c r="F51" s="22" t="s">
        <v>240</v>
      </c>
      <c r="G51" s="23">
        <v>24.055991606340683</v>
      </c>
      <c r="H51" s="24">
        <v>37.211718532154066</v>
      </c>
    </row>
    <row r="52" spans="1:9" ht="13.8" thickBot="1" x14ac:dyDescent="0.3">
      <c r="A52" s="56"/>
      <c r="B52" s="42" t="s">
        <v>241</v>
      </c>
      <c r="C52" s="85">
        <v>58.674074947000001</v>
      </c>
      <c r="D52" s="85">
        <v>55.706391246000003</v>
      </c>
      <c r="E52" s="85">
        <v>75.180093784999997</v>
      </c>
      <c r="F52" s="44"/>
      <c r="G52" s="57">
        <v>28.131706981166388</v>
      </c>
      <c r="H52" s="46">
        <v>34.957752788192522</v>
      </c>
    </row>
    <row r="53" spans="1:9" x14ac:dyDescent="0.25">
      <c r="A53" s="65"/>
      <c r="B53" s="62"/>
      <c r="C53" s="21"/>
      <c r="D53" s="21"/>
      <c r="E53" s="21"/>
      <c r="F53" s="63"/>
      <c r="G53" s="38"/>
      <c r="H53" s="60"/>
      <c r="I53" s="61"/>
    </row>
    <row r="54" spans="1:9" x14ac:dyDescent="0.25">
      <c r="A54" s="65"/>
      <c r="B54" s="62"/>
      <c r="C54" s="21"/>
      <c r="D54" s="21"/>
      <c r="E54" s="21"/>
      <c r="F54" s="63"/>
      <c r="G54" s="38"/>
      <c r="H54" s="60"/>
      <c r="I54" s="61"/>
    </row>
    <row r="55" spans="1:9" x14ac:dyDescent="0.25">
      <c r="A55" s="65"/>
      <c r="B55" s="62"/>
      <c r="C55" s="21"/>
      <c r="D55" s="21"/>
      <c r="E55" s="21"/>
      <c r="F55" s="63"/>
      <c r="G55" s="38"/>
      <c r="H55" s="60"/>
      <c r="I55" s="61"/>
    </row>
    <row r="56" spans="1:9" x14ac:dyDescent="0.25">
      <c r="A56" s="65"/>
      <c r="B56" s="62"/>
      <c r="C56" s="21"/>
      <c r="D56" s="21"/>
      <c r="E56" s="21"/>
      <c r="F56" s="63"/>
      <c r="G56" s="38"/>
      <c r="H56" s="60"/>
      <c r="I56" s="61"/>
    </row>
    <row r="57" spans="1:9" x14ac:dyDescent="0.25">
      <c r="A57" s="65"/>
      <c r="B57" s="62"/>
      <c r="C57" s="21"/>
      <c r="D57" s="21"/>
      <c r="E57" s="21"/>
      <c r="F57" s="63"/>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242</v>
      </c>
      <c r="G61" s="53"/>
      <c r="H61" s="219">
        <v>26</v>
      </c>
    </row>
    <row r="62" spans="1:9" ht="12.75" customHeight="1" x14ac:dyDescent="0.25">
      <c r="A62" s="54" t="s">
        <v>243</v>
      </c>
      <c r="G62" s="53"/>
      <c r="H62" s="210"/>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80" zoomScaleNormal="80" zoomScaleSheetLayoutView="50" workbookViewId="0"/>
  </sheetViews>
  <sheetFormatPr defaultColWidth="11.44140625" defaultRowHeight="13.2" x14ac:dyDescent="0.25"/>
  <cols>
    <col min="1" max="1" width="27.109375" style="1" customWidth="1"/>
    <col min="2" max="4" width="10.6640625" style="1" customWidth="1"/>
    <col min="5" max="6" width="7.6640625" style="1" customWidth="1"/>
    <col min="7" max="7" width="8.109375" style="1" customWidth="1"/>
    <col min="8" max="16384" width="11.44140625" style="1"/>
  </cols>
  <sheetData>
    <row r="1" spans="1:7" ht="5.25" customHeight="1" x14ac:dyDescent="0.25"/>
    <row r="2" spans="1:7" x14ac:dyDescent="0.25">
      <c r="A2" s="91" t="s">
        <v>0</v>
      </c>
      <c r="B2" s="2"/>
      <c r="C2" s="2"/>
      <c r="D2" s="2"/>
      <c r="E2" s="2"/>
      <c r="F2" s="2"/>
    </row>
    <row r="3" spans="1:7" ht="6" customHeight="1" x14ac:dyDescent="0.25">
      <c r="A3" s="2"/>
      <c r="B3" s="2"/>
      <c r="C3" s="2"/>
      <c r="D3" s="2"/>
      <c r="E3" s="2"/>
      <c r="F3" s="2"/>
    </row>
    <row r="4" spans="1:7" ht="15.75" customHeight="1" x14ac:dyDescent="0.3">
      <c r="A4" s="87" t="s">
        <v>109</v>
      </c>
      <c r="B4" s="73"/>
      <c r="C4" s="73"/>
      <c r="D4" s="73"/>
      <c r="E4" s="73"/>
      <c r="F4" s="73"/>
      <c r="G4" s="73"/>
    </row>
    <row r="5" spans="1:7" ht="15.75" customHeight="1" x14ac:dyDescent="0.3">
      <c r="A5" s="74"/>
      <c r="B5" s="73"/>
      <c r="C5" s="73"/>
      <c r="D5" s="73"/>
      <c r="E5" s="73"/>
      <c r="F5" s="73"/>
      <c r="G5" s="73"/>
    </row>
    <row r="6" spans="1:7" ht="15.75" customHeight="1" x14ac:dyDescent="0.3">
      <c r="A6" s="72"/>
      <c r="B6" s="72"/>
      <c r="C6" s="72"/>
      <c r="D6" s="72"/>
      <c r="E6" s="72"/>
      <c r="F6" s="72"/>
      <c r="G6" s="72"/>
    </row>
    <row r="7" spans="1:7" ht="15.75" customHeight="1" x14ac:dyDescent="0.3">
      <c r="A7" s="72"/>
      <c r="B7" s="72"/>
      <c r="C7" s="72"/>
      <c r="D7" s="72"/>
      <c r="E7" s="72"/>
      <c r="F7" s="72"/>
      <c r="G7" s="72"/>
    </row>
    <row r="8" spans="1:7" ht="15.75" customHeight="1" x14ac:dyDescent="0.3">
      <c r="A8" s="72"/>
      <c r="B8" s="72"/>
      <c r="C8" s="72"/>
      <c r="D8" s="72"/>
      <c r="E8" s="72"/>
      <c r="F8" s="72"/>
      <c r="G8" s="72"/>
    </row>
    <row r="9" spans="1:7" ht="15.75" customHeight="1" x14ac:dyDescent="0.3">
      <c r="A9" s="72"/>
      <c r="B9" s="72"/>
      <c r="C9" s="72"/>
      <c r="D9" s="72"/>
      <c r="E9" s="72"/>
      <c r="F9" s="72"/>
      <c r="G9" s="72"/>
    </row>
    <row r="10" spans="1:7" ht="15.75" customHeight="1" x14ac:dyDescent="0.3">
      <c r="A10" s="72"/>
      <c r="B10" s="72"/>
      <c r="C10" s="72"/>
      <c r="D10" s="72"/>
      <c r="E10" s="72"/>
      <c r="F10" s="72"/>
      <c r="G10" s="72"/>
    </row>
    <row r="11" spans="1:7" ht="15.75" customHeight="1" x14ac:dyDescent="0.3">
      <c r="A11" s="72"/>
      <c r="B11" s="72"/>
      <c r="C11" s="72"/>
      <c r="D11" s="72"/>
      <c r="E11" s="72"/>
      <c r="F11" s="72"/>
      <c r="G11" s="72"/>
    </row>
    <row r="12" spans="1:7" ht="15.75" customHeight="1" x14ac:dyDescent="0.3">
      <c r="A12" s="72"/>
      <c r="B12" s="72"/>
      <c r="C12" s="72"/>
      <c r="D12" s="72"/>
      <c r="E12" s="72"/>
      <c r="F12" s="72"/>
      <c r="G12" s="72"/>
    </row>
    <row r="13" spans="1:7" ht="15.75" customHeight="1" x14ac:dyDescent="0.3">
      <c r="A13" s="72"/>
      <c r="B13" s="72"/>
      <c r="C13" s="72"/>
      <c r="D13" s="72"/>
      <c r="E13" s="72"/>
      <c r="F13" s="72"/>
      <c r="G13" s="72"/>
    </row>
    <row r="14" spans="1:7" ht="15.75" customHeight="1" x14ac:dyDescent="0.3">
      <c r="A14" s="72"/>
      <c r="B14" s="72"/>
      <c r="C14" s="72"/>
      <c r="D14" s="72"/>
      <c r="E14" s="72"/>
      <c r="F14" s="72"/>
      <c r="G14" s="72"/>
    </row>
    <row r="15" spans="1:7" ht="15.75" customHeight="1" x14ac:dyDescent="0.3">
      <c r="A15" s="72"/>
      <c r="B15" s="72"/>
      <c r="C15" s="72"/>
      <c r="D15" s="72"/>
      <c r="E15" s="72"/>
      <c r="F15" s="72"/>
      <c r="G15" s="72"/>
    </row>
    <row r="16" spans="1:7" ht="15.75" customHeight="1" x14ac:dyDescent="0.3">
      <c r="A16" s="72"/>
      <c r="B16" s="72"/>
      <c r="C16" s="72"/>
      <c r="D16" s="72"/>
      <c r="E16" s="72"/>
      <c r="F16" s="72"/>
      <c r="G16" s="72"/>
    </row>
    <row r="17" spans="1:13" ht="15.75" customHeight="1" x14ac:dyDescent="0.3">
      <c r="A17" s="72"/>
      <c r="B17" s="72"/>
      <c r="C17" s="72"/>
      <c r="D17" s="72"/>
      <c r="E17" s="72"/>
      <c r="F17" s="72"/>
      <c r="G17" s="72"/>
    </row>
    <row r="18" spans="1:13" ht="15.75" customHeight="1" x14ac:dyDescent="0.3">
      <c r="A18" s="72"/>
      <c r="B18" s="72"/>
      <c r="C18" s="72"/>
      <c r="D18" s="72"/>
      <c r="E18" s="72"/>
      <c r="F18" s="72"/>
      <c r="G18" s="72"/>
    </row>
    <row r="19" spans="1:13" ht="15.75" customHeight="1" x14ac:dyDescent="0.3">
      <c r="A19" s="72"/>
      <c r="B19" s="72"/>
      <c r="C19" s="72"/>
      <c r="D19" s="72"/>
      <c r="E19" s="72"/>
      <c r="F19" s="72"/>
      <c r="G19" s="72"/>
    </row>
    <row r="20" spans="1:13" ht="15.75" customHeight="1" x14ac:dyDescent="0.3">
      <c r="A20" s="72"/>
      <c r="B20" s="72"/>
      <c r="C20" s="72"/>
      <c r="D20" s="72"/>
      <c r="E20" s="72"/>
      <c r="F20" s="72"/>
      <c r="G20" s="72"/>
    </row>
    <row r="21" spans="1:13" ht="15.75" customHeight="1" x14ac:dyDescent="0.3">
      <c r="A21" s="72"/>
      <c r="B21" s="72"/>
      <c r="C21" s="72"/>
      <c r="D21" s="72"/>
      <c r="E21" s="72"/>
      <c r="F21" s="72"/>
      <c r="G21" s="72"/>
    </row>
    <row r="22" spans="1:13" ht="15.75" customHeight="1" x14ac:dyDescent="0.3">
      <c r="A22" s="72"/>
      <c r="B22" s="72"/>
      <c r="C22" s="72"/>
      <c r="D22" s="72"/>
      <c r="E22" s="72"/>
      <c r="F22" s="72"/>
      <c r="G22" s="72"/>
    </row>
    <row r="23" spans="1:13" ht="15.75" customHeight="1" x14ac:dyDescent="0.3">
      <c r="A23" s="72"/>
      <c r="B23" s="72"/>
      <c r="C23" s="72"/>
      <c r="D23" s="72"/>
      <c r="E23" s="72"/>
      <c r="F23" s="72"/>
      <c r="G23" s="72"/>
    </row>
    <row r="24" spans="1:13" ht="15.75" customHeight="1" x14ac:dyDescent="0.3">
      <c r="A24" s="72"/>
      <c r="B24" s="72"/>
      <c r="C24" s="72"/>
      <c r="D24" s="72"/>
      <c r="E24" s="72"/>
      <c r="F24" s="72"/>
      <c r="G24" s="72"/>
    </row>
    <row r="25" spans="1:13" ht="15.75" customHeight="1" x14ac:dyDescent="0.3">
      <c r="A25" s="72"/>
      <c r="B25" s="72"/>
      <c r="C25" s="72"/>
      <c r="D25" s="72"/>
      <c r="E25" s="72"/>
      <c r="F25" s="72"/>
      <c r="G25" s="72"/>
    </row>
    <row r="26" spans="1:13" ht="15.75" customHeight="1" x14ac:dyDescent="0.3">
      <c r="A26" s="72"/>
      <c r="B26" s="72"/>
      <c r="C26" s="72"/>
      <c r="D26" s="72"/>
      <c r="E26" s="72"/>
      <c r="F26" s="72"/>
      <c r="G26" s="72"/>
    </row>
    <row r="27" spans="1:13" ht="15.75" customHeight="1" x14ac:dyDescent="0.3">
      <c r="A27" s="72"/>
      <c r="B27" s="72"/>
      <c r="C27" s="72"/>
      <c r="D27" s="72"/>
      <c r="E27" s="72"/>
      <c r="F27" s="72"/>
      <c r="G27" s="72"/>
      <c r="M27" s="76"/>
    </row>
    <row r="28" spans="1:13" ht="15.75" customHeight="1" x14ac:dyDescent="0.3">
      <c r="A28" s="72"/>
      <c r="B28" s="72"/>
      <c r="C28" s="72"/>
      <c r="D28" s="72"/>
      <c r="E28" s="72"/>
      <c r="F28" s="72"/>
      <c r="G28" s="72"/>
      <c r="M28" s="76"/>
    </row>
    <row r="29" spans="1:13" ht="15.75" customHeight="1" x14ac:dyDescent="0.3">
      <c r="A29" s="72"/>
      <c r="B29" s="72"/>
      <c r="C29" s="72"/>
      <c r="D29" s="72"/>
      <c r="E29" s="72"/>
      <c r="F29" s="72"/>
      <c r="G29" s="72"/>
      <c r="M29" s="76"/>
    </row>
    <row r="30" spans="1:13" ht="15.75" customHeight="1" x14ac:dyDescent="0.3">
      <c r="A30" s="72"/>
      <c r="B30" s="72"/>
      <c r="C30" s="72"/>
      <c r="D30" s="72"/>
      <c r="E30" s="72"/>
      <c r="F30" s="72"/>
      <c r="G30" s="72"/>
      <c r="M30" s="76"/>
    </row>
    <row r="31" spans="1:13" ht="15.75" customHeight="1" x14ac:dyDescent="0.3">
      <c r="A31" s="72"/>
      <c r="B31" s="72"/>
      <c r="C31" s="72"/>
      <c r="D31" s="72"/>
      <c r="E31" s="72"/>
      <c r="F31" s="72"/>
      <c r="G31" s="72"/>
      <c r="M31" s="76"/>
    </row>
    <row r="32" spans="1:13" ht="15.75" customHeight="1" x14ac:dyDescent="0.3">
      <c r="A32" s="72"/>
      <c r="B32" s="72"/>
      <c r="C32" s="72"/>
      <c r="D32" s="72"/>
      <c r="E32" s="72"/>
      <c r="F32" s="72"/>
      <c r="G32" s="72"/>
      <c r="M32" s="76"/>
    </row>
    <row r="33" spans="1:13" ht="15.75" customHeight="1" x14ac:dyDescent="0.3">
      <c r="A33" s="72"/>
      <c r="B33" s="72"/>
      <c r="C33" s="72"/>
      <c r="D33" s="72"/>
      <c r="E33" s="72"/>
      <c r="F33" s="72"/>
      <c r="G33" s="72"/>
      <c r="M33" s="76"/>
    </row>
    <row r="34" spans="1:13" ht="15.75" customHeight="1" x14ac:dyDescent="0.3">
      <c r="A34" s="72"/>
      <c r="B34" s="72"/>
      <c r="C34" s="72"/>
      <c r="D34" s="72"/>
      <c r="E34" s="72"/>
      <c r="F34" s="72"/>
      <c r="G34" s="72"/>
      <c r="M34" s="76"/>
    </row>
    <row r="35" spans="1:13" ht="15.75" customHeight="1" x14ac:dyDescent="0.3">
      <c r="A35" s="72"/>
      <c r="B35" s="72"/>
      <c r="C35" s="72"/>
      <c r="D35" s="72"/>
      <c r="E35" s="72"/>
      <c r="F35" s="72"/>
      <c r="G35" s="72"/>
      <c r="M35" s="76"/>
    </row>
    <row r="36" spans="1:13" ht="15.75" customHeight="1" x14ac:dyDescent="0.3">
      <c r="A36" s="72"/>
      <c r="B36" s="72"/>
      <c r="C36" s="72"/>
      <c r="D36" s="72"/>
      <c r="E36" s="72"/>
      <c r="F36" s="72"/>
      <c r="G36" s="72"/>
      <c r="M36" s="76"/>
    </row>
    <row r="37" spans="1:13" ht="15.75" customHeight="1" x14ac:dyDescent="0.3">
      <c r="A37" s="72"/>
      <c r="B37" s="72"/>
      <c r="C37" s="72"/>
      <c r="D37" s="72"/>
      <c r="E37" s="72"/>
      <c r="F37" s="72"/>
      <c r="G37" s="72"/>
      <c r="M37" s="76"/>
    </row>
    <row r="38" spans="1:13" ht="15.75" customHeight="1" x14ac:dyDescent="0.3">
      <c r="A38" s="72"/>
      <c r="B38" s="72"/>
      <c r="C38" s="72"/>
      <c r="D38" s="72"/>
      <c r="E38" s="72"/>
      <c r="F38" s="72"/>
      <c r="G38" s="72"/>
      <c r="M38" s="76"/>
    </row>
    <row r="39" spans="1:13" ht="15.75" customHeight="1" x14ac:dyDescent="0.3">
      <c r="A39" s="72"/>
      <c r="B39" s="72"/>
      <c r="C39" s="72"/>
      <c r="D39" s="72"/>
      <c r="E39" s="72"/>
      <c r="F39" s="72"/>
      <c r="G39" s="72"/>
      <c r="M39" s="76"/>
    </row>
    <row r="40" spans="1:13" ht="15.75" customHeight="1" x14ac:dyDescent="0.3">
      <c r="A40" s="72"/>
      <c r="B40" s="72"/>
      <c r="C40" s="72"/>
      <c r="D40" s="72"/>
      <c r="E40" s="72"/>
      <c r="F40" s="72"/>
      <c r="G40" s="72"/>
      <c r="M40" s="76"/>
    </row>
    <row r="41" spans="1:13" ht="15.75" customHeight="1" x14ac:dyDescent="0.3">
      <c r="A41" s="72"/>
      <c r="B41" s="72"/>
      <c r="C41" s="72"/>
      <c r="D41" s="72"/>
      <c r="E41" s="72"/>
      <c r="F41" s="72"/>
      <c r="G41" s="72"/>
      <c r="M41" s="76"/>
    </row>
    <row r="42" spans="1:13" ht="15.75" customHeight="1" x14ac:dyDescent="0.3">
      <c r="A42" s="72"/>
      <c r="B42" s="72"/>
      <c r="C42" s="72"/>
      <c r="D42" s="72"/>
      <c r="E42" s="72"/>
      <c r="F42" s="72"/>
      <c r="G42" s="72"/>
      <c r="M42" s="76"/>
    </row>
    <row r="43" spans="1:13" ht="15.75" customHeight="1" x14ac:dyDescent="0.3">
      <c r="A43" s="72"/>
      <c r="B43" s="72"/>
      <c r="C43" s="72"/>
      <c r="D43" s="72"/>
      <c r="E43" s="72"/>
      <c r="F43" s="72"/>
      <c r="G43" s="72"/>
      <c r="M43" s="76"/>
    </row>
    <row r="44" spans="1:13" ht="15.75" customHeight="1" x14ac:dyDescent="0.3">
      <c r="A44" s="72"/>
      <c r="B44" s="72"/>
      <c r="C44" s="72"/>
      <c r="D44" s="72"/>
      <c r="E44" s="72"/>
      <c r="F44" s="72"/>
      <c r="G44" s="72"/>
      <c r="M44" s="76"/>
    </row>
    <row r="45" spans="1:13" ht="15.75" customHeight="1" x14ac:dyDescent="0.3">
      <c r="A45" s="72"/>
      <c r="B45" s="72"/>
      <c r="C45" s="72"/>
      <c r="D45" s="72"/>
      <c r="E45" s="72"/>
      <c r="F45" s="72"/>
      <c r="G45" s="72"/>
      <c r="M45" s="76"/>
    </row>
    <row r="46" spans="1:13" ht="15.75" customHeight="1" x14ac:dyDescent="0.3">
      <c r="A46" s="72"/>
      <c r="B46" s="72"/>
      <c r="C46" s="72"/>
      <c r="D46" s="72"/>
      <c r="E46" s="72"/>
      <c r="F46" s="72"/>
      <c r="G46" s="72"/>
      <c r="M46" s="76"/>
    </row>
    <row r="47" spans="1:13" ht="15.75" customHeight="1" x14ac:dyDescent="0.3">
      <c r="A47" s="72"/>
      <c r="B47" s="72"/>
      <c r="C47" s="72"/>
      <c r="D47" s="72"/>
      <c r="E47" s="72"/>
      <c r="F47" s="72"/>
      <c r="G47" s="72"/>
      <c r="M47" s="76"/>
    </row>
    <row r="48" spans="1:13" ht="15.75" customHeight="1" x14ac:dyDescent="0.3">
      <c r="A48" s="72"/>
      <c r="B48" s="72"/>
      <c r="C48" s="72"/>
      <c r="D48" s="72"/>
      <c r="E48" s="72"/>
      <c r="F48" s="72"/>
      <c r="G48" s="72"/>
      <c r="M48" s="76"/>
    </row>
    <row r="49" spans="1:14" ht="15.75" customHeight="1" x14ac:dyDescent="0.3">
      <c r="A49" s="72"/>
      <c r="B49" s="72"/>
      <c r="C49" s="72"/>
      <c r="D49" s="72"/>
      <c r="E49" s="95"/>
      <c r="F49" s="72"/>
      <c r="G49" s="72"/>
      <c r="M49" s="76"/>
    </row>
    <row r="50" spans="1:14" ht="15.75" customHeight="1" x14ac:dyDescent="0.3">
      <c r="A50" s="72"/>
      <c r="B50" s="72"/>
      <c r="C50" s="72"/>
      <c r="D50" s="72"/>
      <c r="E50" s="72"/>
      <c r="F50" s="72"/>
      <c r="G50" s="72"/>
      <c r="M50" s="76"/>
    </row>
    <row r="51" spans="1:14" ht="12.75" customHeight="1" x14ac:dyDescent="0.25">
      <c r="A51" s="52"/>
      <c r="B51" s="52"/>
      <c r="C51" s="52"/>
      <c r="D51" s="52"/>
      <c r="E51" s="52"/>
      <c r="F51" s="52"/>
      <c r="G51" s="52"/>
      <c r="H51" s="52"/>
      <c r="I51" s="52"/>
      <c r="J51" s="52"/>
      <c r="K51" s="52"/>
      <c r="L51" s="52"/>
      <c r="M51" s="52"/>
      <c r="N51" s="52"/>
    </row>
    <row r="52" spans="1:14" ht="12.75" customHeight="1" x14ac:dyDescent="0.25">
      <c r="A52" s="54" t="str">
        <f>+Innhold!B123</f>
        <v>Finans Norge / Skadestatistikk</v>
      </c>
      <c r="G52" s="209">
        <v>27</v>
      </c>
      <c r="H52" s="54" t="str">
        <f>+Innhold!B123</f>
        <v>Finans Norge / Skadestatistikk</v>
      </c>
      <c r="N52" s="209">
        <v>28</v>
      </c>
    </row>
    <row r="53" spans="1:14" ht="12.75" customHeight="1" x14ac:dyDescent="0.25">
      <c r="A53" s="54" t="str">
        <f>+Innhold!B124</f>
        <v>Skadestatistikk for landbasert forsikring 1. kvartal 2017</v>
      </c>
      <c r="G53" s="210"/>
      <c r="H53" s="54" t="str">
        <f>+Innhold!B124</f>
        <v>Skadestatistikk for landbasert forsikring 1. kvartal 2017</v>
      </c>
      <c r="N53" s="210"/>
    </row>
    <row r="54" spans="1:14" ht="15.75" customHeight="1" x14ac:dyDescent="0.25"/>
    <row r="55" spans="1:14" ht="15.75" customHeight="1" x14ac:dyDescent="0.25"/>
    <row r="56" spans="1:14" ht="15.75" customHeight="1" x14ac:dyDescent="0.25"/>
    <row r="57" spans="1:14" ht="15.75" customHeight="1" x14ac:dyDescent="0.25"/>
    <row r="58" spans="1:14" ht="15.75" customHeight="1" x14ac:dyDescent="0.25"/>
    <row r="59" spans="1:14" ht="15.75" customHeight="1" x14ac:dyDescent="0.25"/>
    <row r="60" spans="1:14" ht="15.75" customHeight="1" x14ac:dyDescent="0.25">
      <c r="J60"/>
      <c r="K60"/>
      <c r="L60"/>
    </row>
    <row r="61" spans="1:14" ht="15.75" customHeight="1" x14ac:dyDescent="0.25">
      <c r="J61" s="70"/>
      <c r="K61" s="71"/>
      <c r="L61" s="71"/>
    </row>
    <row r="62" spans="1:14" ht="15.75" customHeight="1" x14ac:dyDescent="0.25">
      <c r="J62" s="69"/>
      <c r="K62"/>
      <c r="L62"/>
    </row>
    <row r="63" spans="1:14" ht="15.75" customHeight="1" x14ac:dyDescent="0.25">
      <c r="J63" s="68"/>
      <c r="K63" s="68"/>
      <c r="L63" s="68"/>
    </row>
    <row r="64" spans="1:14" ht="15.75" customHeight="1" x14ac:dyDescent="0.25">
      <c r="J64" s="68"/>
      <c r="K64" s="68"/>
      <c r="L64" s="68"/>
    </row>
    <row r="65" spans="1:12" ht="15.75" customHeight="1" x14ac:dyDescent="0.25">
      <c r="J65" s="68"/>
      <c r="K65" s="68"/>
      <c r="L65" s="68"/>
    </row>
    <row r="66" spans="1:12" ht="15.75" customHeight="1" x14ac:dyDescent="0.25">
      <c r="J66" s="68"/>
      <c r="K66" s="68"/>
      <c r="L66" s="68"/>
    </row>
    <row r="67" spans="1:12" ht="15.75" customHeight="1" x14ac:dyDescent="0.25">
      <c r="J67" s="68"/>
      <c r="K67" s="68"/>
      <c r="L67" s="68"/>
    </row>
    <row r="68" spans="1:12" ht="15.75" customHeight="1" x14ac:dyDescent="0.25">
      <c r="J68" s="68"/>
      <c r="K68" s="68"/>
      <c r="L68" s="68"/>
    </row>
    <row r="69" spans="1:12" ht="15.75" customHeight="1" x14ac:dyDescent="0.25">
      <c r="J69" s="68"/>
      <c r="K69" s="68"/>
      <c r="L69" s="68"/>
    </row>
    <row r="70" spans="1:12" ht="15.75" customHeight="1" x14ac:dyDescent="0.25">
      <c r="J70"/>
      <c r="K70"/>
      <c r="L70"/>
    </row>
    <row r="71" spans="1:12" x14ac:dyDescent="0.25">
      <c r="J71"/>
      <c r="K71"/>
      <c r="L71"/>
    </row>
    <row r="72" spans="1:12" x14ac:dyDescent="0.25">
      <c r="J72"/>
      <c r="K72"/>
      <c r="L72"/>
    </row>
    <row r="73" spans="1:12" x14ac:dyDescent="0.25">
      <c r="A73"/>
      <c r="B73"/>
      <c r="C73"/>
      <c r="D73"/>
      <c r="E73"/>
      <c r="F73"/>
      <c r="H73"/>
      <c r="I73"/>
      <c r="J73"/>
      <c r="K73"/>
      <c r="L73"/>
    </row>
    <row r="74" spans="1:12" x14ac:dyDescent="0.25">
      <c r="A74"/>
      <c r="B74"/>
      <c r="C74"/>
      <c r="D74"/>
      <c r="E74"/>
      <c r="F74"/>
      <c r="H74"/>
      <c r="I74"/>
      <c r="J74"/>
      <c r="K74"/>
      <c r="L74"/>
    </row>
    <row r="75" spans="1:12" x14ac:dyDescent="0.25">
      <c r="A75"/>
      <c r="B75"/>
      <c r="C75"/>
      <c r="D75"/>
      <c r="E75"/>
      <c r="F75"/>
      <c r="H75"/>
      <c r="I75"/>
      <c r="J75"/>
      <c r="K75"/>
      <c r="L75"/>
    </row>
    <row r="76" spans="1:12" x14ac:dyDescent="0.25">
      <c r="A76"/>
      <c r="B76"/>
      <c r="C76"/>
      <c r="D76"/>
      <c r="E76"/>
      <c r="F76"/>
      <c r="H76"/>
      <c r="I76"/>
      <c r="J76"/>
      <c r="K76"/>
      <c r="L76"/>
    </row>
    <row r="77" spans="1:12" x14ac:dyDescent="0.25">
      <c r="A77"/>
      <c r="B77"/>
      <c r="C77"/>
      <c r="D77"/>
      <c r="E77"/>
      <c r="F77"/>
      <c r="H77"/>
      <c r="I77"/>
      <c r="J77"/>
      <c r="K77"/>
      <c r="L77"/>
    </row>
    <row r="78" spans="1:12" x14ac:dyDescent="0.25">
      <c r="A78"/>
      <c r="B78"/>
      <c r="C78"/>
      <c r="D78"/>
      <c r="E78"/>
      <c r="F78"/>
      <c r="H78"/>
      <c r="I78"/>
      <c r="J78"/>
      <c r="K78"/>
      <c r="L78"/>
    </row>
    <row r="79" spans="1:12" x14ac:dyDescent="0.25">
      <c r="A79"/>
      <c r="B79"/>
      <c r="C79"/>
      <c r="D79"/>
      <c r="E79"/>
      <c r="F79"/>
      <c r="H79"/>
      <c r="I79"/>
      <c r="J79"/>
      <c r="K79"/>
      <c r="L79"/>
    </row>
    <row r="80" spans="1:12" x14ac:dyDescent="0.25">
      <c r="A80"/>
      <c r="B80"/>
      <c r="C80"/>
      <c r="D80"/>
      <c r="E80"/>
      <c r="F80"/>
      <c r="H80"/>
      <c r="I80"/>
      <c r="J80"/>
      <c r="K80"/>
      <c r="L80"/>
    </row>
    <row r="81" spans="1:12" x14ac:dyDescent="0.25">
      <c r="A81"/>
      <c r="B81"/>
      <c r="C81"/>
      <c r="D81"/>
      <c r="E81"/>
      <c r="F81"/>
      <c r="H81"/>
      <c r="I81"/>
      <c r="J81"/>
      <c r="K81"/>
      <c r="L81"/>
    </row>
    <row r="82" spans="1:12" x14ac:dyDescent="0.25">
      <c r="A82"/>
      <c r="B82"/>
      <c r="C82"/>
      <c r="D82"/>
      <c r="E82"/>
      <c r="F82"/>
      <c r="H82"/>
      <c r="I82"/>
      <c r="J82"/>
      <c r="K82"/>
      <c r="L82"/>
    </row>
    <row r="83" spans="1:12" x14ac:dyDescent="0.25">
      <c r="A83"/>
      <c r="B83"/>
      <c r="C83"/>
      <c r="D83"/>
      <c r="E83"/>
      <c r="F83"/>
      <c r="H83"/>
      <c r="I83"/>
      <c r="J83"/>
      <c r="K83"/>
      <c r="L83"/>
    </row>
    <row r="84" spans="1:12" x14ac:dyDescent="0.25">
      <c r="A84"/>
      <c r="B84"/>
      <c r="C84"/>
      <c r="D84"/>
      <c r="E84"/>
      <c r="F84"/>
      <c r="H84"/>
      <c r="I84"/>
      <c r="J84"/>
      <c r="K84"/>
      <c r="L84"/>
    </row>
    <row r="85" spans="1:12" x14ac:dyDescent="0.25">
      <c r="A85"/>
      <c r="B85"/>
      <c r="C85"/>
      <c r="D85"/>
      <c r="E85"/>
      <c r="F85"/>
      <c r="H85"/>
      <c r="I85"/>
      <c r="J85"/>
      <c r="K85"/>
      <c r="L85"/>
    </row>
    <row r="86" spans="1:12" x14ac:dyDescent="0.25">
      <c r="A86"/>
      <c r="B86"/>
      <c r="C86"/>
      <c r="D86"/>
      <c r="E86"/>
      <c r="F86"/>
      <c r="H86"/>
      <c r="I86"/>
      <c r="J86"/>
      <c r="K86"/>
      <c r="L86"/>
    </row>
    <row r="87" spans="1:12" x14ac:dyDescent="0.25">
      <c r="A87"/>
      <c r="B87"/>
      <c r="C87"/>
      <c r="D87"/>
      <c r="E87"/>
      <c r="F87"/>
      <c r="H87"/>
      <c r="I87"/>
      <c r="J87"/>
      <c r="K87"/>
      <c r="L87"/>
    </row>
    <row r="88" spans="1:12" x14ac:dyDescent="0.25">
      <c r="A88"/>
      <c r="B88"/>
      <c r="C88"/>
      <c r="D88"/>
      <c r="E88"/>
      <c r="F88"/>
      <c r="H88"/>
      <c r="I88"/>
      <c r="J88"/>
      <c r="K88"/>
      <c r="L88"/>
    </row>
    <row r="89" spans="1:12" x14ac:dyDescent="0.25">
      <c r="A89"/>
      <c r="B89"/>
      <c r="C89"/>
      <c r="D89"/>
      <c r="E89"/>
      <c r="F89"/>
      <c r="H89"/>
      <c r="I89"/>
      <c r="J89"/>
      <c r="K89"/>
      <c r="L89"/>
    </row>
    <row r="90" spans="1:12" x14ac:dyDescent="0.25">
      <c r="A90"/>
      <c r="B90"/>
      <c r="C90"/>
      <c r="D90"/>
      <c r="E90"/>
      <c r="F90"/>
      <c r="H90"/>
      <c r="I90"/>
      <c r="J90"/>
      <c r="K90"/>
      <c r="L90"/>
    </row>
    <row r="91" spans="1:12" x14ac:dyDescent="0.25">
      <c r="A91"/>
      <c r="B91"/>
      <c r="C91"/>
      <c r="D91"/>
      <c r="E91"/>
      <c r="F91"/>
      <c r="H91"/>
      <c r="I91"/>
      <c r="J91"/>
      <c r="K91"/>
      <c r="L91"/>
    </row>
    <row r="92" spans="1:12" x14ac:dyDescent="0.25">
      <c r="A92"/>
      <c r="B92"/>
      <c r="C92"/>
      <c r="D92"/>
      <c r="E92"/>
      <c r="F92"/>
      <c r="H92"/>
      <c r="I92"/>
      <c r="J92"/>
      <c r="K92"/>
      <c r="L92"/>
    </row>
    <row r="93" spans="1:12" x14ac:dyDescent="0.25">
      <c r="A93"/>
      <c r="B93"/>
      <c r="C93"/>
      <c r="D93"/>
      <c r="E93"/>
      <c r="F93"/>
      <c r="H93"/>
      <c r="I93"/>
      <c r="J93"/>
      <c r="K93"/>
      <c r="L93"/>
    </row>
    <row r="94" spans="1:12" x14ac:dyDescent="0.25">
      <c r="A94"/>
      <c r="B94"/>
      <c r="C94"/>
      <c r="D94"/>
      <c r="E94"/>
      <c r="F94"/>
      <c r="H94"/>
      <c r="I94"/>
      <c r="J94"/>
      <c r="K94"/>
      <c r="L94"/>
    </row>
    <row r="95" spans="1:12" x14ac:dyDescent="0.25">
      <c r="A95"/>
      <c r="B95"/>
      <c r="C95"/>
      <c r="D95"/>
      <c r="E95"/>
      <c r="F95"/>
      <c r="H95"/>
      <c r="I95"/>
      <c r="J95"/>
      <c r="K95"/>
      <c r="L95"/>
    </row>
    <row r="96" spans="1:12" x14ac:dyDescent="0.25">
      <c r="A96"/>
      <c r="B96"/>
      <c r="C96"/>
      <c r="D96"/>
      <c r="E96"/>
      <c r="F96"/>
      <c r="H96"/>
      <c r="I96"/>
      <c r="J96"/>
      <c r="K96"/>
      <c r="L96"/>
    </row>
    <row r="97" spans="1:12" x14ac:dyDescent="0.25">
      <c r="A97"/>
      <c r="B97"/>
      <c r="C97"/>
      <c r="D97"/>
      <c r="E97"/>
      <c r="F97"/>
      <c r="H97"/>
      <c r="I97"/>
      <c r="J97"/>
      <c r="K97"/>
      <c r="L97"/>
    </row>
    <row r="98" spans="1:12" x14ac:dyDescent="0.25">
      <c r="A98"/>
      <c r="B98"/>
      <c r="C98"/>
      <c r="D98"/>
      <c r="E98"/>
      <c r="F98"/>
      <c r="H98"/>
      <c r="I98"/>
      <c r="J98"/>
      <c r="K98"/>
      <c r="L98"/>
    </row>
    <row r="99" spans="1:12" x14ac:dyDescent="0.25">
      <c r="A99"/>
      <c r="B99"/>
      <c r="C99"/>
      <c r="D99"/>
      <c r="E99"/>
      <c r="F99"/>
      <c r="K99"/>
    </row>
    <row r="100" spans="1:12" x14ac:dyDescent="0.25">
      <c r="A100"/>
      <c r="B100"/>
      <c r="C100"/>
      <c r="D100"/>
      <c r="E100"/>
      <c r="F100"/>
      <c r="K100"/>
    </row>
    <row r="101" spans="1:12" x14ac:dyDescent="0.25">
      <c r="A101"/>
      <c r="B101"/>
      <c r="C101"/>
      <c r="D101"/>
      <c r="E101"/>
      <c r="F101"/>
      <c r="H101" s="67"/>
      <c r="I101"/>
      <c r="J101"/>
      <c r="K101"/>
    </row>
    <row r="102" spans="1:12" x14ac:dyDescent="0.25">
      <c r="A102"/>
      <c r="B102"/>
      <c r="C102"/>
      <c r="D102"/>
      <c r="E102"/>
      <c r="F102"/>
      <c r="H102"/>
      <c r="I102"/>
      <c r="J102"/>
      <c r="K102"/>
    </row>
    <row r="103" spans="1:12" x14ac:dyDescent="0.25">
      <c r="A103"/>
      <c r="B103"/>
      <c r="C103"/>
      <c r="D103"/>
      <c r="E103"/>
      <c r="F103"/>
      <c r="H103"/>
      <c r="I103"/>
      <c r="J103"/>
      <c r="K103"/>
    </row>
    <row r="104" spans="1:12" x14ac:dyDescent="0.25">
      <c r="A104"/>
      <c r="B104"/>
      <c r="C104"/>
      <c r="D104"/>
      <c r="E104"/>
      <c r="F104"/>
      <c r="H104"/>
      <c r="I104"/>
      <c r="J104"/>
      <c r="K104"/>
    </row>
    <row r="105" spans="1:12" x14ac:dyDescent="0.25">
      <c r="A105"/>
      <c r="B105"/>
      <c r="C105"/>
      <c r="D105"/>
      <c r="E105"/>
      <c r="F105"/>
      <c r="H105"/>
      <c r="I105" s="68"/>
      <c r="J105" s="68"/>
      <c r="K105" s="68"/>
    </row>
    <row r="106" spans="1:12" x14ac:dyDescent="0.25">
      <c r="A106"/>
      <c r="B106"/>
      <c r="C106"/>
      <c r="D106"/>
      <c r="E106"/>
      <c r="F106"/>
      <c r="H106"/>
      <c r="I106" s="68"/>
      <c r="J106" s="68"/>
      <c r="K106" s="68"/>
    </row>
    <row r="107" spans="1:12" x14ac:dyDescent="0.25">
      <c r="D107"/>
      <c r="E107"/>
      <c r="F107"/>
      <c r="H107"/>
      <c r="I107" s="68"/>
      <c r="J107" s="68"/>
      <c r="K107" s="68"/>
    </row>
    <row r="108" spans="1:12" x14ac:dyDescent="0.25">
      <c r="D108"/>
      <c r="E108"/>
      <c r="F108"/>
      <c r="H108"/>
      <c r="I108"/>
      <c r="J108"/>
      <c r="K108"/>
    </row>
    <row r="109" spans="1:12" x14ac:dyDescent="0.25">
      <c r="A109" s="77"/>
      <c r="B109"/>
      <c r="C109"/>
      <c r="D109"/>
      <c r="E109"/>
      <c r="F109"/>
      <c r="H109"/>
      <c r="I109"/>
      <c r="J109"/>
      <c r="K109"/>
    </row>
    <row r="110" spans="1:12" x14ac:dyDescent="0.25">
      <c r="A110"/>
      <c r="B110"/>
      <c r="C110"/>
      <c r="D110"/>
      <c r="E110"/>
      <c r="F110"/>
      <c r="H110"/>
      <c r="I110"/>
      <c r="J110"/>
      <c r="K110"/>
    </row>
    <row r="111" spans="1:12" x14ac:dyDescent="0.25">
      <c r="A111"/>
      <c r="B111"/>
      <c r="C111"/>
      <c r="D111"/>
      <c r="E111"/>
      <c r="F111"/>
      <c r="H111"/>
      <c r="I111"/>
      <c r="J111"/>
      <c r="K111"/>
    </row>
    <row r="112" spans="1:12" x14ac:dyDescent="0.25">
      <c r="A112"/>
      <c r="B112"/>
      <c r="C112"/>
      <c r="D112"/>
      <c r="E112"/>
      <c r="F112"/>
      <c r="H112"/>
      <c r="I112"/>
      <c r="J112"/>
      <c r="K112"/>
    </row>
    <row r="113" spans="1:11" x14ac:dyDescent="0.25">
      <c r="A113"/>
      <c r="B113"/>
      <c r="C113"/>
      <c r="D113"/>
      <c r="E113"/>
      <c r="F113"/>
    </row>
    <row r="114" spans="1:11" x14ac:dyDescent="0.25">
      <c r="A114"/>
      <c r="B114"/>
      <c r="C114"/>
      <c r="D114"/>
      <c r="E114"/>
      <c r="F114"/>
    </row>
    <row r="115" spans="1:11" x14ac:dyDescent="0.25">
      <c r="A115"/>
      <c r="B115"/>
      <c r="C115"/>
      <c r="D115"/>
      <c r="E115"/>
      <c r="F115"/>
      <c r="H115" s="67"/>
      <c r="I115"/>
      <c r="J115"/>
      <c r="K115"/>
    </row>
    <row r="116" spans="1:11" x14ac:dyDescent="0.25">
      <c r="A116"/>
      <c r="B116"/>
      <c r="C116"/>
      <c r="D116"/>
      <c r="E116"/>
      <c r="F116"/>
      <c r="H116"/>
      <c r="I116"/>
      <c r="J116"/>
      <c r="K116"/>
    </row>
    <row r="117" spans="1:11" x14ac:dyDescent="0.25">
      <c r="A117"/>
      <c r="B117"/>
      <c r="C117"/>
      <c r="D117"/>
      <c r="E117"/>
      <c r="F117"/>
      <c r="H117"/>
      <c r="I117"/>
      <c r="J117"/>
      <c r="K117"/>
    </row>
    <row r="118" spans="1:11" x14ac:dyDescent="0.25">
      <c r="A118"/>
      <c r="B118"/>
      <c r="C118"/>
      <c r="D118"/>
      <c r="E118"/>
      <c r="F118"/>
      <c r="H118"/>
      <c r="I118"/>
      <c r="J118" s="68"/>
      <c r="K118" s="68"/>
    </row>
    <row r="119" spans="1:11" x14ac:dyDescent="0.25">
      <c r="A119"/>
      <c r="B119"/>
      <c r="C119"/>
      <c r="D119"/>
      <c r="E119"/>
      <c r="F119"/>
      <c r="H119"/>
      <c r="I119"/>
      <c r="J119" s="68"/>
      <c r="K119" s="68"/>
    </row>
    <row r="120" spans="1:11" x14ac:dyDescent="0.25">
      <c r="A120"/>
      <c r="B120"/>
      <c r="C120"/>
      <c r="D120"/>
      <c r="E120"/>
      <c r="F120"/>
      <c r="H120"/>
      <c r="I120"/>
      <c r="J120" s="68"/>
      <c r="K120" s="68"/>
    </row>
    <row r="121" spans="1:11" x14ac:dyDescent="0.25">
      <c r="A121"/>
      <c r="B121"/>
      <c r="C121"/>
      <c r="D121"/>
      <c r="E121"/>
      <c r="F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s="68"/>
      <c r="J124" s="68"/>
    </row>
    <row r="125" spans="1:11" x14ac:dyDescent="0.25">
      <c r="A125"/>
      <c r="B125" s="68"/>
      <c r="C125" s="68"/>
      <c r="D125"/>
      <c r="E125"/>
      <c r="F125"/>
      <c r="G125"/>
      <c r="H125"/>
      <c r="I125" s="68"/>
      <c r="J125" s="68"/>
    </row>
    <row r="126" spans="1:11" x14ac:dyDescent="0.25">
      <c r="A126"/>
      <c r="B126"/>
      <c r="C126"/>
      <c r="D126"/>
      <c r="F126"/>
      <c r="G126"/>
      <c r="H126"/>
      <c r="I126"/>
      <c r="J126"/>
    </row>
    <row r="127" spans="1:11" x14ac:dyDescent="0.25">
      <c r="A127"/>
      <c r="B127"/>
      <c r="C127"/>
      <c r="D127"/>
      <c r="F127"/>
      <c r="G127"/>
      <c r="H127"/>
      <c r="I127"/>
      <c r="J127"/>
    </row>
    <row r="128" spans="1:11" x14ac:dyDescent="0.25">
      <c r="A128"/>
      <c r="B128"/>
      <c r="C128"/>
      <c r="D128"/>
      <c r="F128"/>
      <c r="G128"/>
      <c r="H128"/>
      <c r="I128"/>
      <c r="J128"/>
    </row>
    <row r="129" spans="1:10" x14ac:dyDescent="0.25">
      <c r="A129"/>
      <c r="B129" s="68"/>
      <c r="C129" s="68"/>
      <c r="D129"/>
      <c r="F129"/>
      <c r="G129"/>
      <c r="H129"/>
      <c r="I129"/>
      <c r="J129"/>
    </row>
    <row r="130" spans="1:10" x14ac:dyDescent="0.25">
      <c r="A130"/>
      <c r="B130" s="68"/>
      <c r="C130" s="68"/>
      <c r="D130"/>
      <c r="F130"/>
      <c r="G130"/>
      <c r="H130"/>
      <c r="I130"/>
      <c r="J130"/>
    </row>
    <row r="131" spans="1:10" x14ac:dyDescent="0.25">
      <c r="A131"/>
      <c r="B131" s="68"/>
      <c r="C131" s="68"/>
      <c r="D131"/>
      <c r="F131"/>
    </row>
    <row r="132" spans="1:10" x14ac:dyDescent="0.25">
      <c r="A132"/>
      <c r="B132"/>
      <c r="C132"/>
      <c r="D132"/>
      <c r="F132"/>
    </row>
    <row r="133" spans="1:10" x14ac:dyDescent="0.25">
      <c r="A133"/>
      <c r="B133" s="68"/>
      <c r="C133" s="68"/>
      <c r="D133"/>
      <c r="F133"/>
    </row>
    <row r="134" spans="1:10" x14ac:dyDescent="0.25">
      <c r="A134"/>
      <c r="B134" s="68"/>
      <c r="C134" s="68"/>
      <c r="D134"/>
      <c r="F134"/>
    </row>
    <row r="135" spans="1:10" x14ac:dyDescent="0.25">
      <c r="A135"/>
      <c r="B135" s="68"/>
      <c r="C135" s="68"/>
      <c r="D135"/>
      <c r="F135"/>
    </row>
    <row r="136" spans="1:10" x14ac:dyDescent="0.25">
      <c r="A136"/>
      <c r="B136"/>
      <c r="C136"/>
      <c r="D136"/>
      <c r="F136"/>
    </row>
    <row r="137" spans="1:10" x14ac:dyDescent="0.25">
      <c r="A137"/>
      <c r="B137" s="68"/>
      <c r="C137" s="68"/>
      <c r="D137"/>
      <c r="F137"/>
    </row>
    <row r="138" spans="1:10" x14ac:dyDescent="0.25">
      <c r="A138"/>
      <c r="B138" s="68"/>
      <c r="C138" s="68"/>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'Tab2'!Print_Area</vt:lpstr>
      <vt:lpstr>'Tab21'!Print_Area</vt:lpstr>
      <vt:lpstr>'Tab3'!Print_Area</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2018-08-22T06:31:51Z</dcterms:modified>
</cp:coreProperties>
</file>