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M:\Kvartalstatistikkene\Skadestatistikk\Rapport\"/>
    </mc:Choice>
  </mc:AlternateContent>
  <bookViews>
    <workbookView xWindow="7668" yWindow="-12" windowWidth="7356" windowHeight="5292" tabRatio="721" activeTab="1"/>
  </bookViews>
  <sheets>
    <sheet name="Forside" sheetId="47"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 r:id="rId25"/>
  </externalReferences>
  <definedNames>
    <definedName name="aar">'Tab3'!$E$6</definedName>
    <definedName name="aar_1">'Tab3'!$D$6</definedName>
    <definedName name="aar_2">'Tab3'!$C$6</definedName>
    <definedName name="aaret_i_alt">'Tab3'!$B$7</definedName>
    <definedName name="DATA_0" localSheetId="0">#REF!</definedName>
    <definedName name="DATA_0">#REF!</definedName>
    <definedName name="DATA_AN" localSheetId="0">#REF!</definedName>
    <definedName name="DATA_AN">#REF!</definedName>
    <definedName name="DATA_B" localSheetId="0">#REF!</definedName>
    <definedName name="DATA_B">#REF!</definedName>
    <definedName name="DATA_BEH" localSheetId="0">#REF!</definedName>
    <definedName name="DATA_BEH">#REF!</definedName>
    <definedName name="DATA_BKN" localSheetId="0">#REF!</definedName>
    <definedName name="DATA_BKN">#REF!</definedName>
    <definedName name="DATA_BKP" localSheetId="0">#REF!</definedName>
    <definedName name="DATA_BKP">#REF!</definedName>
    <definedName name="DATA_FB" localSheetId="0">#REF!</definedName>
    <definedName name="DATA_FB">#REF!</definedName>
    <definedName name="DATA_K" localSheetId="0">#REF!</definedName>
    <definedName name="DATA_K">#REF!</definedName>
    <definedName name="DATA_M1" localSheetId="0">#REF!</definedName>
    <definedName name="DATA_M1">#REF!</definedName>
    <definedName name="DATA_M2" localSheetId="0">#REF!</definedName>
    <definedName name="DATA_M2">#REF!</definedName>
    <definedName name="DATA_P" localSheetId="0">#REF!</definedName>
    <definedName name="DATA_P">#REF!</definedName>
    <definedName name="DATA_RS" localSheetId="0">#REF!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'Tab9'!$A$4:$H$62</definedName>
    <definedName name="pros_1">'Tab3'!$H$6</definedName>
    <definedName name="pros_2">'Tab3'!$G$6</definedName>
  </definedNames>
  <calcPr calcId="171027"/>
</workbook>
</file>

<file path=xl/calcChain.xml><?xml version="1.0" encoding="utf-8"?>
<calcChain xmlns="http://schemas.openxmlformats.org/spreadsheetml/2006/main">
  <c r="T204" i="19" l="1"/>
  <c r="Q204" i="19"/>
  <c r="N204" i="19"/>
  <c r="D204" i="19" l="1"/>
  <c r="C204" i="19"/>
  <c r="B124" i="21"/>
  <c r="I69" i="19" l="1"/>
  <c r="T203" i="19" s="1"/>
  <c r="N203" i="19" l="1"/>
  <c r="Q203" i="19"/>
  <c r="D203" i="19"/>
  <c r="C203" i="19"/>
  <c r="D202" i="19" l="1"/>
  <c r="C202" i="19"/>
  <c r="C201" i="19" l="1"/>
  <c r="D201" i="19"/>
  <c r="D200" i="19"/>
  <c r="C200" i="19"/>
  <c r="D199" i="19"/>
  <c r="C199" i="19"/>
  <c r="C198" i="19"/>
  <c r="D198" i="19"/>
  <c r="C197" i="19"/>
  <c r="D197" i="19"/>
  <c r="T198" i="19" l="1"/>
  <c r="N202" i="19"/>
  <c r="Q202" i="19"/>
  <c r="T202" i="19"/>
  <c r="Q201" i="19"/>
  <c r="N201" i="19"/>
  <c r="N200" i="19"/>
  <c r="T201" i="19"/>
  <c r="T200" i="19"/>
  <c r="Q200" i="19"/>
  <c r="T199" i="19"/>
  <c r="Q199" i="19"/>
  <c r="N199" i="19"/>
  <c r="Q198" i="19"/>
  <c r="N198" i="19"/>
  <c r="H24" i="21"/>
  <c r="D196" i="19"/>
  <c r="C196" i="19"/>
  <c r="K195" i="19"/>
  <c r="J195" i="19"/>
  <c r="D195" i="19"/>
  <c r="C195" i="19"/>
  <c r="K191" i="19"/>
  <c r="D194" i="19" l="1"/>
  <c r="C194" i="19"/>
  <c r="T197" i="19" l="1"/>
  <c r="N197" i="19"/>
  <c r="Q197" i="19"/>
  <c r="N195" i="19"/>
  <c r="T196" i="19"/>
  <c r="N196" i="19"/>
  <c r="Q196" i="19"/>
  <c r="B123" i="21"/>
  <c r="C193" i="19"/>
  <c r="D193" i="19"/>
  <c r="D192" i="19"/>
  <c r="C192" i="19"/>
  <c r="L207" i="19"/>
  <c r="L205" i="19" s="1"/>
  <c r="D191" i="19"/>
  <c r="C191" i="19"/>
  <c r="Q191" i="19"/>
  <c r="C190" i="19"/>
  <c r="D190" i="19"/>
  <c r="D189" i="19"/>
  <c r="C189" i="19"/>
  <c r="D188" i="19"/>
  <c r="C188" i="19"/>
  <c r="D187" i="19"/>
  <c r="C187" i="19"/>
  <c r="C186" i="19"/>
  <c r="D186" i="19"/>
  <c r="B15" i="21"/>
  <c r="AD32" i="19"/>
  <c r="B20" i="21" s="1"/>
  <c r="AD6" i="19"/>
  <c r="B19" i="21" s="1"/>
  <c r="X112" i="19" l="1"/>
  <c r="W112" i="19"/>
  <c r="T193" i="19"/>
  <c r="Q193" i="19"/>
  <c r="N193" i="19"/>
  <c r="T192" i="19"/>
  <c r="T191" i="19"/>
  <c r="Q192" i="19"/>
  <c r="N192" i="19"/>
  <c r="T189" i="19"/>
  <c r="Q188" i="19"/>
  <c r="N186" i="19"/>
  <c r="T187" i="19"/>
  <c r="N188" i="19"/>
  <c r="N190" i="19"/>
  <c r="N191" i="19"/>
  <c r="Q186" i="19"/>
  <c r="Q187" i="19"/>
  <c r="N187" i="19"/>
  <c r="N189" i="19"/>
  <c r="Q190" i="19"/>
  <c r="T188" i="19"/>
  <c r="Q189" i="19"/>
  <c r="T190" i="19"/>
  <c r="T186" i="19"/>
  <c r="D185" i="19"/>
  <c r="C185" i="19"/>
  <c r="D184" i="19"/>
  <c r="C184" i="19"/>
  <c r="N181" i="19"/>
  <c r="D183" i="19"/>
  <c r="C183" i="19"/>
  <c r="D182" i="19"/>
  <c r="C182" i="19"/>
  <c r="C181" i="19"/>
  <c r="D181" i="19"/>
  <c r="C180" i="19"/>
  <c r="D180" i="19"/>
  <c r="I32" i="19"/>
  <c r="B14" i="21" s="1"/>
  <c r="N108" i="19"/>
  <c r="D179" i="19"/>
  <c r="C179" i="19"/>
  <c r="D178" i="19"/>
  <c r="C178" i="19"/>
  <c r="C177" i="19"/>
  <c r="D177" i="19"/>
  <c r="D176" i="19"/>
  <c r="C176" i="19"/>
  <c r="D175" i="19"/>
  <c r="C175" i="19"/>
  <c r="D174" i="19"/>
  <c r="C174" i="19"/>
  <c r="D173" i="19"/>
  <c r="C173" i="19"/>
  <c r="D172" i="19"/>
  <c r="C172" i="19"/>
  <c r="D171" i="19"/>
  <c r="C171" i="19"/>
  <c r="D170" i="19"/>
  <c r="C170" i="19"/>
  <c r="D169" i="19"/>
  <c r="C169" i="19"/>
  <c r="D168" i="19"/>
  <c r="C168" i="19"/>
  <c r="D167" i="19"/>
  <c r="C167" i="19"/>
  <c r="D166" i="19"/>
  <c r="C166" i="19"/>
  <c r="D165" i="19"/>
  <c r="C165" i="19"/>
  <c r="D164" i="19"/>
  <c r="C164" i="19"/>
  <c r="D163" i="19"/>
  <c r="C163" i="19"/>
  <c r="D162" i="19"/>
  <c r="C162" i="19"/>
  <c r="D161" i="19"/>
  <c r="C161" i="19"/>
  <c r="D160" i="19"/>
  <c r="C160" i="19"/>
  <c r="D156" i="19"/>
  <c r="D159" i="19"/>
  <c r="C159" i="19"/>
  <c r="C158" i="19"/>
  <c r="D158" i="19"/>
  <c r="D157" i="19"/>
  <c r="C157" i="19"/>
  <c r="C156" i="19"/>
  <c r="C112" i="19"/>
  <c r="C113" i="19" s="1"/>
  <c r="C114" i="19" s="1"/>
  <c r="D112" i="19"/>
  <c r="D113" i="19" s="1"/>
  <c r="D114" i="19" s="1"/>
  <c r="C116" i="19"/>
  <c r="D116" i="19"/>
  <c r="D117" i="19" s="1"/>
  <c r="D118" i="19" s="1"/>
  <c r="C120" i="19"/>
  <c r="C121" i="19" s="1"/>
  <c r="C122" i="19" s="1"/>
  <c r="D120" i="19"/>
  <c r="D121" i="19" s="1"/>
  <c r="D122" i="19" s="1"/>
  <c r="C124" i="19"/>
  <c r="C125" i="19" s="1"/>
  <c r="C126" i="19" s="1"/>
  <c r="D124" i="19"/>
  <c r="D125" i="19" s="1"/>
  <c r="D126" i="19" s="1"/>
  <c r="C128" i="19"/>
  <c r="C129" i="19" s="1"/>
  <c r="C130" i="19" s="1"/>
  <c r="D128" i="19"/>
  <c r="D129" i="19" s="1"/>
  <c r="D130" i="19" s="1"/>
  <c r="C132" i="19"/>
  <c r="C133" i="19" s="1"/>
  <c r="D132" i="19"/>
  <c r="D133" i="19" s="1"/>
  <c r="C134" i="19"/>
  <c r="D134" i="19"/>
  <c r="C135" i="19"/>
  <c r="D135" i="19"/>
  <c r="C136" i="19"/>
  <c r="D136" i="19"/>
  <c r="C137" i="19"/>
  <c r="D137" i="19"/>
  <c r="C138" i="19"/>
  <c r="D138" i="19"/>
  <c r="C139" i="19"/>
  <c r="D139" i="19"/>
  <c r="C140" i="19"/>
  <c r="D140" i="19"/>
  <c r="C141" i="19"/>
  <c r="D141" i="19"/>
  <c r="C142" i="19"/>
  <c r="D142" i="19"/>
  <c r="C143" i="19"/>
  <c r="D143" i="19"/>
  <c r="C144" i="19"/>
  <c r="D144" i="19"/>
  <c r="C145" i="19"/>
  <c r="D145" i="19"/>
  <c r="C146" i="19"/>
  <c r="D146" i="19"/>
  <c r="C147" i="19"/>
  <c r="D147" i="19"/>
  <c r="C148" i="19"/>
  <c r="D148" i="19"/>
  <c r="C149" i="19"/>
  <c r="D149" i="19"/>
  <c r="C150" i="19"/>
  <c r="D150" i="19"/>
  <c r="C151" i="19"/>
  <c r="D151" i="19"/>
  <c r="C152" i="19"/>
  <c r="D152" i="19"/>
  <c r="C153" i="19"/>
  <c r="D153" i="19"/>
  <c r="C154" i="19"/>
  <c r="D154" i="19"/>
  <c r="C155" i="19"/>
  <c r="D155" i="19"/>
  <c r="H26" i="21"/>
  <c r="L206" i="19" l="1"/>
  <c r="Y112" i="19"/>
  <c r="N185" i="19"/>
  <c r="N184" i="19"/>
  <c r="T104" i="19"/>
  <c r="T108" i="19"/>
  <c r="T112" i="19"/>
  <c r="T116" i="19"/>
  <c r="T120" i="19"/>
  <c r="T124" i="19"/>
  <c r="T128" i="19"/>
  <c r="T132" i="19"/>
  <c r="T136" i="19"/>
  <c r="T140" i="19"/>
  <c r="T144" i="19"/>
  <c r="T148" i="19"/>
  <c r="T152" i="19"/>
  <c r="T156" i="19"/>
  <c r="T160" i="19"/>
  <c r="T164" i="19"/>
  <c r="T168" i="19"/>
  <c r="T172" i="19"/>
  <c r="T176" i="19"/>
  <c r="T180" i="19"/>
  <c r="T184" i="19"/>
  <c r="Q106" i="19"/>
  <c r="Q110" i="19"/>
  <c r="Q114" i="19"/>
  <c r="Q118" i="19"/>
  <c r="Q122" i="19"/>
  <c r="Q126" i="19"/>
  <c r="Q130" i="19"/>
  <c r="Q134" i="19"/>
  <c r="Q138" i="19"/>
  <c r="Q142" i="19"/>
  <c r="Q146" i="19"/>
  <c r="Q150" i="19"/>
  <c r="Q154" i="19"/>
  <c r="Q158" i="19"/>
  <c r="Q162" i="19"/>
  <c r="Q166" i="19"/>
  <c r="Q170" i="19"/>
  <c r="Q174" i="19"/>
  <c r="Q178" i="19"/>
  <c r="Q182" i="19"/>
  <c r="T103" i="19"/>
  <c r="T145" i="19"/>
  <c r="T161" i="19"/>
  <c r="T173" i="19"/>
  <c r="T185" i="19"/>
  <c r="Q111" i="19"/>
  <c r="Q123" i="19"/>
  <c r="Q139" i="19"/>
  <c r="Q155" i="19"/>
  <c r="Q167" i="19"/>
  <c r="Q175" i="19"/>
  <c r="Q103" i="19"/>
  <c r="T107" i="19"/>
  <c r="T111" i="19"/>
  <c r="T115" i="19"/>
  <c r="T119" i="19"/>
  <c r="T123" i="19"/>
  <c r="T127" i="19"/>
  <c r="T131" i="19"/>
  <c r="T135" i="19"/>
  <c r="T139" i="19"/>
  <c r="T143" i="19"/>
  <c r="T147" i="19"/>
  <c r="T151" i="19"/>
  <c r="T155" i="19"/>
  <c r="T159" i="19"/>
  <c r="T163" i="19"/>
  <c r="T167" i="19"/>
  <c r="T171" i="19"/>
  <c r="T175" i="19"/>
  <c r="T179" i="19"/>
  <c r="T183" i="19"/>
  <c r="Q105" i="19"/>
  <c r="Q109" i="19"/>
  <c r="Q113" i="19"/>
  <c r="Q117" i="19"/>
  <c r="Q121" i="19"/>
  <c r="Q125" i="19"/>
  <c r="Q129" i="19"/>
  <c r="Q133" i="19"/>
  <c r="Q137" i="19"/>
  <c r="Q141" i="19"/>
  <c r="Q145" i="19"/>
  <c r="Q149" i="19"/>
  <c r="Q153" i="19"/>
  <c r="Q157" i="19"/>
  <c r="Q161" i="19"/>
  <c r="Q165" i="19"/>
  <c r="Q169" i="19"/>
  <c r="Q173" i="19"/>
  <c r="Q177" i="19"/>
  <c r="Q181" i="19"/>
  <c r="Q185" i="19"/>
  <c r="T137" i="19"/>
  <c r="T153" i="19"/>
  <c r="T169" i="19"/>
  <c r="T181" i="19"/>
  <c r="Q115" i="19"/>
  <c r="Q127" i="19"/>
  <c r="Q135" i="19"/>
  <c r="Q151" i="19"/>
  <c r="Q163" i="19"/>
  <c r="Q179" i="19"/>
  <c r="T106" i="19"/>
  <c r="T110" i="19"/>
  <c r="T114" i="19"/>
  <c r="T118" i="19"/>
  <c r="T122" i="19"/>
  <c r="T126" i="19"/>
  <c r="T130" i="19"/>
  <c r="T134" i="19"/>
  <c r="T138" i="19"/>
  <c r="T142" i="19"/>
  <c r="T146" i="19"/>
  <c r="T150" i="19"/>
  <c r="T154" i="19"/>
  <c r="T158" i="19"/>
  <c r="T162" i="19"/>
  <c r="T166" i="19"/>
  <c r="T170" i="19"/>
  <c r="T174" i="19"/>
  <c r="T178" i="19"/>
  <c r="T182" i="19"/>
  <c r="Q104" i="19"/>
  <c r="Q108" i="19"/>
  <c r="Q112" i="19"/>
  <c r="Q116" i="19"/>
  <c r="Q120" i="19"/>
  <c r="Q124" i="19"/>
  <c r="Q128" i="19"/>
  <c r="Q132" i="19"/>
  <c r="Q136" i="19"/>
  <c r="Q140" i="19"/>
  <c r="Q144" i="19"/>
  <c r="Q148" i="19"/>
  <c r="Q152" i="19"/>
  <c r="Q156" i="19"/>
  <c r="Q160" i="19"/>
  <c r="Q164" i="19"/>
  <c r="Q168" i="19"/>
  <c r="Q172" i="19"/>
  <c r="Q176" i="19"/>
  <c r="Q180" i="19"/>
  <c r="Q184" i="19"/>
  <c r="T105" i="19"/>
  <c r="T109" i="19"/>
  <c r="T113" i="19"/>
  <c r="T117" i="19"/>
  <c r="T121" i="19"/>
  <c r="T125" i="19"/>
  <c r="T129" i="19"/>
  <c r="T133" i="19"/>
  <c r="T141" i="19"/>
  <c r="T149" i="19"/>
  <c r="T157" i="19"/>
  <c r="T165" i="19"/>
  <c r="T177" i="19"/>
  <c r="Q107" i="19"/>
  <c r="Q119" i="19"/>
  <c r="Q131" i="19"/>
  <c r="Q143" i="19"/>
  <c r="Q147" i="19"/>
  <c r="Q159" i="19"/>
  <c r="Q171" i="19"/>
  <c r="Q183" i="19"/>
  <c r="N183" i="19"/>
  <c r="N180" i="19"/>
  <c r="I6" i="19"/>
  <c r="B13" i="21" s="1"/>
  <c r="AD61" i="19"/>
  <c r="P62" i="19"/>
  <c r="H53" i="24"/>
  <c r="AD62" i="19"/>
  <c r="H28" i="21"/>
  <c r="H29" i="21" s="1"/>
  <c r="H31" i="21" s="1"/>
  <c r="H32" i="21" s="1"/>
  <c r="H27" i="21"/>
  <c r="A62" i="19"/>
  <c r="N106" i="19"/>
  <c r="N104" i="19"/>
  <c r="N102" i="19"/>
  <c r="N100" i="19"/>
  <c r="N98" i="19"/>
  <c r="N96" i="19"/>
  <c r="N94" i="19"/>
  <c r="N92" i="19"/>
  <c r="N90" i="19"/>
  <c r="N88" i="19"/>
  <c r="N86" i="19"/>
  <c r="N84" i="19"/>
  <c r="N82" i="19"/>
  <c r="N80" i="19"/>
  <c r="N78" i="19"/>
  <c r="N76" i="19"/>
  <c r="N74" i="19"/>
  <c r="N72" i="19"/>
  <c r="C117" i="19"/>
  <c r="C118" i="19" s="1"/>
  <c r="N105" i="19"/>
  <c r="N103" i="19"/>
  <c r="N101" i="19"/>
  <c r="N99" i="19"/>
  <c r="N97" i="19"/>
  <c r="N95" i="19"/>
  <c r="N93" i="19"/>
  <c r="N91" i="19"/>
  <c r="N89" i="19"/>
  <c r="N87" i="19"/>
  <c r="N85" i="19"/>
  <c r="N83" i="19"/>
  <c r="N81" i="19"/>
  <c r="N79" i="19"/>
  <c r="N77" i="19"/>
  <c r="N75" i="19"/>
  <c r="N73" i="19"/>
  <c r="N71" i="19"/>
  <c r="A61" i="19"/>
  <c r="H52" i="24"/>
  <c r="X125" i="19"/>
  <c r="X84" i="19"/>
  <c r="W84" i="19"/>
  <c r="W125" i="19"/>
  <c r="B62" i="21"/>
  <c r="A52" i="23"/>
  <c r="W62" i="19"/>
  <c r="I62" i="19"/>
  <c r="A53" i="24"/>
  <c r="O207" i="19"/>
  <c r="O205" i="19" s="1"/>
  <c r="B61" i="21"/>
  <c r="P61" i="19"/>
  <c r="X124" i="19"/>
  <c r="A51" i="23"/>
  <c r="W61" i="19"/>
  <c r="I61" i="19"/>
  <c r="A52" i="24"/>
  <c r="X133" i="19"/>
  <c r="X131" i="19"/>
  <c r="X86" i="19"/>
  <c r="X92" i="19"/>
  <c r="Y121" i="19"/>
  <c r="W82" i="19"/>
  <c r="W100" i="19" s="1"/>
  <c r="W111" i="19" s="1"/>
  <c r="X70" i="19"/>
  <c r="X121" i="19"/>
  <c r="X132" i="19"/>
  <c r="W123" i="19"/>
  <c r="W128" i="19"/>
  <c r="Z70" i="19"/>
  <c r="Y82" i="19"/>
  <c r="Y100" i="19" s="1"/>
  <c r="Y111" i="19" s="1"/>
  <c r="Y128" i="19"/>
  <c r="W129" i="19"/>
  <c r="W133" i="19"/>
  <c r="W86" i="19"/>
  <c r="N177" i="19"/>
  <c r="N175" i="19"/>
  <c r="N173" i="19"/>
  <c r="N171" i="19"/>
  <c r="N169" i="19"/>
  <c r="N167" i="19"/>
  <c r="N165" i="19"/>
  <c r="N163" i="19"/>
  <c r="N161" i="19"/>
  <c r="N159" i="19"/>
  <c r="N157" i="19"/>
  <c r="N155" i="19"/>
  <c r="N153" i="19"/>
  <c r="N151" i="19"/>
  <c r="N149" i="19"/>
  <c r="N147" i="19"/>
  <c r="N145" i="19"/>
  <c r="N143" i="19"/>
  <c r="N141" i="19"/>
  <c r="N139" i="19"/>
  <c r="N137" i="19"/>
  <c r="N135" i="19"/>
  <c r="N133" i="19"/>
  <c r="N131" i="19"/>
  <c r="N129" i="19"/>
  <c r="N127" i="19"/>
  <c r="N125" i="19"/>
  <c r="N123" i="19"/>
  <c r="N121" i="19"/>
  <c r="N119" i="19"/>
  <c r="N117" i="19"/>
  <c r="N115" i="19"/>
  <c r="N113" i="19"/>
  <c r="N111" i="19"/>
  <c r="N109" i="19"/>
  <c r="N107" i="19"/>
  <c r="N178" i="19"/>
  <c r="N176" i="19"/>
  <c r="N174" i="19"/>
  <c r="N172" i="19"/>
  <c r="N170" i="19"/>
  <c r="N168" i="19"/>
  <c r="N166" i="19"/>
  <c r="N164" i="19"/>
  <c r="N162" i="19"/>
  <c r="N160" i="19"/>
  <c r="N158" i="19"/>
  <c r="N156" i="19"/>
  <c r="N154" i="19"/>
  <c r="N152" i="19"/>
  <c r="N150" i="19"/>
  <c r="N148" i="19"/>
  <c r="N146" i="19"/>
  <c r="N144" i="19"/>
  <c r="N142" i="19"/>
  <c r="N140" i="19"/>
  <c r="N138" i="19"/>
  <c r="N136" i="19"/>
  <c r="N134" i="19"/>
  <c r="N132" i="19"/>
  <c r="N130" i="19"/>
  <c r="N128" i="19"/>
  <c r="N126" i="19"/>
  <c r="N124" i="19"/>
  <c r="N122" i="19"/>
  <c r="N120" i="19"/>
  <c r="N118" i="19"/>
  <c r="N116" i="19"/>
  <c r="N114" i="19"/>
  <c r="N112" i="19"/>
  <c r="N110" i="19"/>
  <c r="W132" i="19"/>
  <c r="X128" i="19"/>
  <c r="Y70" i="19"/>
  <c r="W121" i="19"/>
  <c r="H33" i="21" l="1"/>
  <c r="H34" i="21" s="1"/>
  <c r="H35" i="21" s="1"/>
  <c r="H36" i="21" s="1"/>
  <c r="H37" i="21" s="1"/>
  <c r="H38" i="21" s="1"/>
  <c r="H40" i="21" s="1"/>
  <c r="H43" i="21" s="1"/>
  <c r="W114" i="19"/>
  <c r="X101" i="19"/>
  <c r="R207" i="19"/>
  <c r="R205" i="19" s="1"/>
  <c r="P207" i="19"/>
  <c r="P205" i="19" s="1"/>
  <c r="W6" i="19"/>
  <c r="B17" i="21" s="1"/>
  <c r="W32" i="19"/>
  <c r="B18" i="21" s="1"/>
  <c r="P32" i="19"/>
  <c r="B16" i="21" s="1"/>
  <c r="A6" i="19"/>
  <c r="B11" i="21" s="1"/>
  <c r="A32" i="19"/>
  <c r="B12" i="21" s="1"/>
  <c r="S207" i="19"/>
  <c r="S205" i="19" s="1"/>
  <c r="X77" i="19"/>
  <c r="X91" i="19"/>
  <c r="W83" i="19"/>
  <c r="W91" i="19"/>
  <c r="X89" i="19"/>
  <c r="W87" i="19"/>
  <c r="X103" i="19"/>
  <c r="W106" i="19"/>
  <c r="X129" i="19"/>
  <c r="X114" i="19"/>
  <c r="W117" i="19"/>
  <c r="X106" i="19"/>
  <c r="X85" i="19"/>
  <c r="W90" i="19"/>
  <c r="X102" i="19"/>
  <c r="W85" i="19"/>
  <c r="W101" i="19"/>
  <c r="X75" i="19"/>
  <c r="W88" i="19"/>
  <c r="Z76" i="19"/>
  <c r="Y88" i="19"/>
  <c r="W122" i="19"/>
  <c r="X122" i="19"/>
  <c r="Y133" i="19"/>
  <c r="Y85" i="19"/>
  <c r="W103" i="19"/>
  <c r="W102" i="19"/>
  <c r="W113" i="19"/>
  <c r="X117" i="19"/>
  <c r="X113" i="19"/>
  <c r="M207" i="19"/>
  <c r="M205" i="19" s="1"/>
  <c r="X74" i="19"/>
  <c r="X72" i="19"/>
  <c r="W89" i="19"/>
  <c r="X123" i="19"/>
  <c r="X130" i="19"/>
  <c r="Y123" i="19"/>
  <c r="E206" i="19"/>
  <c r="Y129" i="19"/>
  <c r="X76" i="19"/>
  <c r="Z74" i="19"/>
  <c r="X83" i="19"/>
  <c r="Y83" i="19"/>
  <c r="Y91" i="19"/>
  <c r="W92" i="19"/>
  <c r="Y92" i="19"/>
  <c r="X87" i="19"/>
  <c r="X90" i="19"/>
  <c r="X88" i="19"/>
  <c r="Y122" i="19"/>
  <c r="Y124" i="19"/>
  <c r="X82" i="19"/>
  <c r="X100" i="19" s="1"/>
  <c r="X111" i="19" s="1"/>
  <c r="W124" i="19"/>
  <c r="Y130" i="19"/>
  <c r="W130" i="19"/>
  <c r="Y72" i="19"/>
  <c r="Y74" i="19"/>
  <c r="Y76" i="19"/>
  <c r="Y77" i="19"/>
  <c r="Z72" i="19"/>
  <c r="Y75" i="19"/>
  <c r="W131" i="19"/>
  <c r="Q195" i="19" l="1"/>
  <c r="T195" i="19"/>
  <c r="H41" i="21"/>
  <c r="Y131" i="19"/>
  <c r="Y106" i="19"/>
  <c r="Y117" i="19"/>
  <c r="Y125" i="19"/>
  <c r="Y103" i="19"/>
  <c r="Y87" i="19"/>
  <c r="G206" i="19"/>
  <c r="Z77" i="19"/>
  <c r="Y101" i="19"/>
  <c r="Z75" i="19"/>
  <c r="X104" i="19"/>
  <c r="R206" i="19"/>
  <c r="S206" i="19"/>
  <c r="P206" i="19"/>
  <c r="O206" i="19"/>
  <c r="X78" i="19"/>
  <c r="Y89" i="19"/>
  <c r="M206" i="19"/>
  <c r="W93" i="19"/>
  <c r="W95" i="19" s="1"/>
  <c r="Y114" i="19"/>
  <c r="Y102" i="19"/>
  <c r="Y113" i="19"/>
  <c r="H45" i="21"/>
  <c r="H46" i="21" s="1"/>
  <c r="H44" i="21"/>
  <c r="X115" i="19"/>
  <c r="Y132" i="19"/>
  <c r="Y84" i="19"/>
  <c r="Y86" i="19"/>
  <c r="Y90" i="19"/>
  <c r="W104" i="19"/>
  <c r="W115" i="19"/>
  <c r="X93" i="19"/>
  <c r="X95" i="19" s="1"/>
  <c r="N179" i="19"/>
  <c r="Y78" i="19"/>
  <c r="T194" i="19" l="1"/>
  <c r="N194" i="19"/>
  <c r="Q194" i="19"/>
  <c r="Z78" i="19"/>
  <c r="H47" i="21"/>
  <c r="H48" i="21" s="1"/>
  <c r="Y93" i="19"/>
  <c r="Y95" i="19" s="1"/>
  <c r="Y115" i="19"/>
  <c r="Y104" i="19"/>
  <c r="N182" i="19"/>
  <c r="H66" i="21" l="1"/>
  <c r="H67" i="21" s="1"/>
  <c r="H68" i="21" s="1"/>
  <c r="H69" i="21" s="1"/>
  <c r="H70" i="21" s="1"/>
  <c r="H71" i="21" s="1"/>
  <c r="H73" i="21" s="1"/>
  <c r="H74" i="21" s="1"/>
  <c r="H75" i="21" s="1"/>
  <c r="H76" i="21" s="1"/>
  <c r="H77" i="21" s="1"/>
  <c r="H78" i="21" s="1"/>
  <c r="H80" i="21" s="1"/>
</calcChain>
</file>

<file path=xl/sharedStrings.xml><?xml version="1.0" encoding="utf-8"?>
<sst xmlns="http://schemas.openxmlformats.org/spreadsheetml/2006/main" count="1537" uniqueCount="245">
  <si>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</si>
  <si>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</si>
  <si>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</si>
  <si>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</si>
  <si>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</si>
  <si>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</si>
  <si>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</si>
  <si>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</si>
  <si>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</si>
  <si>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</si>
  <si>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</si>
  <si>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</si>
  <si>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</si>
  <si>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</si>
  <si>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</si>
  <si>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</si>
  <si>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</si>
  <si>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</si>
  <si>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</si>
  <si>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</si>
  <si>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</si>
  <si>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</si>
  <si>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</si>
  <si>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</si>
  <si>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</si>
  <si>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</si>
  <si>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</si>
  <si>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</si>
  <si>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</si>
  <si>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</si>
  <si>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</si>
  <si>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</si>
  <si>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</si>
  <si>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</si>
  <si>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</si>
  <si>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</si>
  <si>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</si>
  <si>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</si>
  <si>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</si>
  <si>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</si>
  <si>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</si>
  <si>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</si>
  <si>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</si>
  <si>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</si>
  <si>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</si>
  <si>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</si>
  <si>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</si>
  <si>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</si>
  <si>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</si>
  <si>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</si>
  <si>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</si>
  <si>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</si>
  <si>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</si>
  <si>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</si>
  <si>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</si>
  <si>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</si>
  <si>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</si>
  <si>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</si>
  <si>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</si>
  <si>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</si>
  <si>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</si>
  <si>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</si>
  <si>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</si>
  <si>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</si>
  <si>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</si>
  <si>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</si>
  <si>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</si>
  <si>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</si>
  <si>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</si>
  <si>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</si>
  <si>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</si>
  <si>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</si>
  <si>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</si>
  <si>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</si>
  <si>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</si>
  <si>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</si>
  <si>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</si>
  <si>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</si>
  <si>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</si>
  <si>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</si>
  <si>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</si>
  <si>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</si>
  <si>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</si>
  <si>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</si>
  <si>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</si>
  <si>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</si>
  <si>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</si>
  <si>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</si>
  <si>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</si>
  <si>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</si>
  <si>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</si>
  <si>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</si>
  <si>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</si>
  <si>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</si>
  <si>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</si>
  <si>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</si>
  <si>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</si>
  <si>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</si>
  <si>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</si>
  <si>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</si>
  <si>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</si>
  <si>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</si>
  <si>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</si>
  <si>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</si>
  <si>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</si>
  <si>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</si>
  <si>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</si>
  <si>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</si>
  <si>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</si>
  <si>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</si>
  <si>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</si>
  <si>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</si>
  <si>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</si>
  <si>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</si>
  <si>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</si>
  <si>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</si>
  <si>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</si>
  <si>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</si>
  <si>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</si>
  <si>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</si>
  <si>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</si>
  <si>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</si>
  <si>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</si>
  <si>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</si>
  <si>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</si>
  <si>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</si>
  <si>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</si>
  <si>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</si>
  <si>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</si>
  <si>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</si>
  <si>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</si>
  <si>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 xml:space="preserve">For mer detaljert beskrivelse av statistikkens innhold henviser vi til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</si>
  <si>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</si>
  <si>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</si>
  <si>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</si>
  <si>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</si>
  <si>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</si>
  <si>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</si>
  <si>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</si>
  <si>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</si>
  <si>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</si>
  <si>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</si>
  <si>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</si>
  <si>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</si>
  <si>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</si>
  <si>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</si>
  <si>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</si>
  <si>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</si>
  <si>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</si>
  <si>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</si>
  <si>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</si>
  <si>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</si>
  <si>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</si>
  <si>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</si>
  <si>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</si>
  <si>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</si>
  <si>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</si>
  <si>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</si>
  <si>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</si>
  <si>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</si>
  <si>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</si>
  <si>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</si>
  <si>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</si>
  <si>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</si>
  <si>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</si>
  <si>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</si>
  <si>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</si>
  <si>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</si>
  <si>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</si>
  <si>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</si>
  <si>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</si>
  <si>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</si>
  <si>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</si>
  <si>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</si>
  <si>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</si>
  <si>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</si>
  <si>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</si>
  <si>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</si>
  <si>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</si>
  <si>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</si>
  <si>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</si>
  <si>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</si>
  <si>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</si>
  <si>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</si>
  <si>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</si>
  <si>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</si>
  <si>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</si>
  <si>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</si>
  <si>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</si>
  <si>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</si>
  <si>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</si>
  <si>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punkt 4. Prinsipper, begreper og definisjoner på side 24.</t>
  </si>
  <si>
    <t>NB. Datagrunnlaget er levert fra Finans Norges medlemsselskaper. Enkelte tall</t>
  </si>
  <si>
    <t>kan bli justert i etterkant dersom et selskap oppdager feil eller mangler ved sine data.</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</si>
  <si>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</si>
  <si>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</si>
  <si>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</si>
  <si>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</si>
  <si>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</si>
  <si>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</si>
  <si>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</si>
  <si>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</si>
  <si>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</si>
  <si>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</si>
  <si>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</si>
  <si>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</si>
  <si>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</si>
  <si>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</si>
  <si>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</si>
  <si>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</si>
  <si>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</si>
  <si>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</si>
  <si>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</si>
  <si>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Fysioterapi/kiropraktor</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</si>
  <si>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</si>
  <si>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</si>
  <si>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</si>
  <si>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</si>
  <si>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</si>
  <si>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</si>
  <si>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</si>
  <si>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</si>
  <si>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</si>
  <si>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</si>
  <si>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</si>
  <si>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</si>
  <si>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</si>
  <si>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</si>
  <si>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</si>
  <si>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</si>
  <si>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</si>
  <si>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</si>
  <si>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</si>
  <si>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</si>
  <si>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</si>
  <si>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(2015)</t>
  </si>
  <si>
    <t>2014</t>
  </si>
  <si>
    <t>2015</t>
  </si>
  <si>
    <t>2016</t>
  </si>
  <si>
    <t>14-16</t>
  </si>
  <si>
    <t>15-16</t>
  </si>
  <si>
    <t>*</t>
  </si>
  <si>
    <t>Hittil i år</t>
  </si>
  <si>
    <t>Finans Norge / Skadestatistikk</t>
  </si>
  <si>
    <t>Skadestatistikk for landbasert forsikring 2. kvartal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</si>
</sst>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0.00_);_(* \(#,##0.00\);_(* &quot;-&quot;??_);_(@_)"/>
    <numFmt numFmtId="165" formatCode="0.0_)"/>
    <numFmt numFmtId="166" formatCode="#,##0.0"/>
    <numFmt numFmtId="167" formatCode="_ * #,##0_ ;_ * \-#,##0_ ;_ * &quot;-&quot;??_ ;_ @_ "/>
    <numFmt numFmtId="168" formatCode="0.0"/>
    <numFmt numFmtId="169" formatCode="0.000"/>
    <numFmt numFmtId="170" formatCode="#,##0.000"/>
  </numFmts>
  <fonts count="38"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sz val="10"/>
      <name val="Arial"/>
      <family val="2"/>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s>
  <fills count="3">
    <fill>
      <patternFill patternType="none"/>
    </fill>
    <fill>
      <patternFill patternType="gray125"/>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6">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cellStyleXfs>
  <cellXfs count="214">
    <xf numFmtId="0" fontId="0" fillId="0" borderId="0" xfId="0"/>
    <xf numFmtId="0" fontId="5" fillId="0" borderId="0" xfId="0" applyFont="1"/>
    <xf numFmtId="0" fontId="5" fillId="0" borderId="0" xfId="0" applyFont="1" applyAlignment="1" applyProtection="1">
      <alignment horizontal="left"/>
    </xf>
    <xf numFmtId="0" fontId="6" fillId="0" borderId="0" xfId="3" applyFont="1" applyAlignment="1" applyProtection="1">
      <alignment horizontal="left"/>
    </xf>
    <xf numFmtId="0" fontId="7" fillId="2" borderId="0" xfId="0" applyFont="1" applyFill="1" applyBorder="1"/>
    <xf numFmtId="165"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7" fontId="8" fillId="0" borderId="11" xfId="1" applyNumberFormat="1" applyFont="1" applyBorder="1" applyAlignment="1" applyProtection="1">
      <alignment horizontal="right"/>
    </xf>
    <xf numFmtId="165" fontId="8" fillId="0" borderId="0" xfId="0" applyNumberFormat="1" applyFont="1" applyAlignment="1" applyProtection="1">
      <alignment horizontal="right"/>
    </xf>
    <xf numFmtId="165"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7" fontId="8" fillId="0" borderId="13" xfId="1" applyNumberFormat="1" applyFont="1" applyBorder="1" applyProtection="1"/>
    <xf numFmtId="165" fontId="8" fillId="0" borderId="14" xfId="0" applyNumberFormat="1" applyFont="1" applyBorder="1" applyAlignment="1" applyProtection="1">
      <alignment horizontal="right"/>
    </xf>
    <xf numFmtId="165" fontId="8" fillId="0" borderId="15" xfId="0" applyNumberFormat="1" applyFont="1" applyBorder="1" applyAlignment="1">
      <alignment horizontal="right"/>
    </xf>
    <xf numFmtId="0" fontId="8" fillId="0" borderId="16" xfId="0" applyFont="1" applyBorder="1"/>
    <xf numFmtId="0" fontId="8" fillId="0" borderId="11" xfId="0" applyFont="1" applyBorder="1"/>
    <xf numFmtId="165" fontId="8" fillId="0" borderId="17" xfId="0" applyNumberFormat="1" applyFont="1" applyBorder="1" applyAlignment="1" applyProtection="1">
      <alignment horizontal="right"/>
    </xf>
    <xf numFmtId="165" fontId="8" fillId="0" borderId="18" xfId="0" applyNumberFormat="1" applyFont="1" applyBorder="1" applyAlignment="1">
      <alignment horizontal="right"/>
    </xf>
    <xf numFmtId="0" fontId="8" fillId="0" borderId="19" xfId="0" applyFont="1" applyBorder="1"/>
    <xf numFmtId="165" fontId="8" fillId="0" borderId="20" xfId="0" applyNumberFormat="1" applyFont="1" applyBorder="1" applyAlignment="1" applyProtection="1">
      <alignment horizontal="right"/>
    </xf>
    <xf numFmtId="3" fontId="8" fillId="0" borderId="21" xfId="1" applyNumberFormat="1" applyFont="1" applyBorder="1" applyProtection="1"/>
    <xf numFmtId="165" fontId="8" fillId="0" borderId="21" xfId="0" applyNumberFormat="1" applyFont="1" applyBorder="1" applyAlignment="1" applyProtection="1">
      <alignment horizontal="right"/>
    </xf>
    <xf numFmtId="165"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7" fontId="8" fillId="0" borderId="24" xfId="1" applyNumberFormat="1" applyFont="1" applyBorder="1" applyProtection="1"/>
    <xf numFmtId="165" fontId="8" fillId="0" borderId="26" xfId="0" applyNumberFormat="1" applyFont="1" applyBorder="1" applyAlignment="1" applyProtection="1">
      <alignment horizontal="right"/>
    </xf>
    <xf numFmtId="165" fontId="8" fillId="0" borderId="27" xfId="0" applyNumberFormat="1" applyFont="1" applyBorder="1" applyAlignment="1">
      <alignment horizontal="right"/>
    </xf>
    <xf numFmtId="0" fontId="12" fillId="0" borderId="0" xfId="0" applyFont="1" applyBorder="1"/>
    <xf numFmtId="0" fontId="13" fillId="0" borderId="0" xfId="0" applyFont="1" applyBorder="1"/>
    <xf numFmtId="167" fontId="5" fillId="0" borderId="0" xfId="1" applyNumberFormat="1" applyFont="1" applyBorder="1" applyProtection="1"/>
    <xf numFmtId="165" fontId="5" fillId="0" borderId="0" xfId="0" applyNumberFormat="1" applyFont="1" applyBorder="1" applyAlignment="1" applyProtection="1">
      <alignment horizontal="right"/>
    </xf>
    <xf numFmtId="165"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7" fontId="5" fillId="0" borderId="0" xfId="1" applyNumberFormat="1" applyFont="1" applyBorder="1" applyAlignment="1" applyProtection="1">
      <alignment horizontal="center"/>
    </xf>
    <xf numFmtId="0" fontId="8" fillId="0" borderId="23" xfId="0" applyFont="1" applyBorder="1"/>
    <xf numFmtId="165" fontId="8" fillId="0" borderId="25" xfId="0" applyNumberFormat="1" applyFont="1" applyBorder="1" applyAlignment="1" applyProtection="1">
      <alignment horizontal="right"/>
    </xf>
    <xf numFmtId="0" fontId="8" fillId="0" borderId="0" xfId="0" applyFont="1" applyBorder="1"/>
    <xf numFmtId="167" fontId="8" fillId="0" borderId="0" xfId="1" applyNumberFormat="1" applyFont="1" applyBorder="1" applyAlignment="1" applyProtection="1">
      <alignment horizontal="right"/>
    </xf>
    <xf numFmtId="165" fontId="8" fillId="0" borderId="0" xfId="0" applyNumberFormat="1" applyFont="1" applyBorder="1" applyAlignment="1">
      <alignment horizontal="right"/>
    </xf>
    <xf numFmtId="0" fontId="5" fillId="0" borderId="0" xfId="0" applyFont="1" applyBorder="1"/>
    <xf numFmtId="0" fontId="11" fillId="0" borderId="0" xfId="0" applyFont="1" applyBorder="1"/>
    <xf numFmtId="167"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6" fontId="8" fillId="0" borderId="0" xfId="1" applyNumberFormat="1" applyFont="1" applyProtection="1"/>
    <xf numFmtId="166" fontId="8" fillId="0" borderId="28" xfId="1" applyNumberFormat="1" applyFont="1" applyBorder="1" applyProtection="1"/>
    <xf numFmtId="166" fontId="8" fillId="0" borderId="14" xfId="1" applyNumberFormat="1" applyFont="1" applyBorder="1" applyProtection="1"/>
    <xf numFmtId="166" fontId="8" fillId="0" borderId="0" xfId="1" applyNumberFormat="1" applyFont="1" applyBorder="1" applyProtection="1"/>
    <xf numFmtId="166" fontId="8" fillId="0" borderId="21" xfId="1" applyNumberFormat="1" applyFont="1" applyBorder="1" applyProtection="1"/>
    <xf numFmtId="166" fontId="8" fillId="0" borderId="0" xfId="1" applyNumberFormat="1" applyFont="1"/>
    <xf numFmtId="166" fontId="8" fillId="0" borderId="25" xfId="1" applyNumberFormat="1" applyFont="1" applyBorder="1" applyProtection="1"/>
    <xf numFmtId="0" fontId="23" fillId="0" borderId="0" xfId="0" applyFont="1"/>
    <xf numFmtId="0" fontId="7" fillId="0" borderId="0" xfId="0" applyFont="1"/>
    <xf numFmtId="0" fontId="12" fillId="0" borderId="0" xfId="0" applyFont="1"/>
    <xf numFmtId="170" fontId="5" fillId="0" borderId="0" xfId="0" applyNumberFormat="1" applyFont="1"/>
    <xf numFmtId="169" fontId="5" fillId="0" borderId="0" xfId="0" applyNumberFormat="1" applyFont="1"/>
    <xf numFmtId="0" fontId="22" fillId="0" borderId="0" xfId="0" applyFont="1"/>
    <xf numFmtId="0" fontId="26" fillId="0" borderId="0" xfId="3" applyFont="1" applyAlignment="1" applyProtection="1">
      <alignment horizontal="left"/>
    </xf>
    <xf numFmtId="0" fontId="4" fillId="0" borderId="0" xfId="4" applyAlignment="1" applyProtection="1">
      <alignment horizontal="left"/>
    </xf>
    <xf numFmtId="0" fontId="4" fillId="0" borderId="0" xfId="4" applyAlignment="1" applyProtection="1"/>
    <xf numFmtId="0" fontId="24" fillId="0" borderId="0" xfId="0" applyFont="1"/>
    <xf numFmtId="0" fontId="25" fillId="0" borderId="0" xfId="0" applyFont="1"/>
    <xf numFmtId="1" fontId="22" fillId="0" borderId="0" xfId="0" applyNumberFormat="1" applyFont="1"/>
    <xf numFmtId="1" fontId="25" fillId="0" borderId="0" xfId="0" applyNumberFormat="1" applyFont="1"/>
    <xf numFmtId="168" fontId="22" fillId="0" borderId="0" xfId="0" applyNumberFormat="1" applyFont="1"/>
    <xf numFmtId="169" fontId="22" fillId="0" borderId="0" xfId="0" applyNumberFormat="1" applyFont="1"/>
    <xf numFmtId="169" fontId="25" fillId="0" borderId="0" xfId="0" applyNumberFormat="1" applyFont="1"/>
    <xf numFmtId="3" fontId="25" fillId="0" borderId="0" xfId="0" applyNumberFormat="1" applyFont="1"/>
    <xf numFmtId="167" fontId="25" fillId="0" borderId="0" xfId="1" applyNumberFormat="1" applyFont="1"/>
    <xf numFmtId="166" fontId="25" fillId="0" borderId="0" xfId="0" applyNumberFormat="1" applyFont="1"/>
    <xf numFmtId="166" fontId="25" fillId="0" borderId="0" xfId="1" applyNumberFormat="1" applyFont="1"/>
    <xf numFmtId="0" fontId="0" fillId="0" borderId="0" xfId="0" applyFont="1"/>
    <xf numFmtId="0" fontId="3" fillId="0" borderId="0" xfId="5"/>
    <xf numFmtId="0" fontId="5" fillId="0" borderId="0" xfId="0" applyFont="1" applyAlignment="1">
      <alignment horizontal="right"/>
    </xf>
    <xf numFmtId="3" fontId="5" fillId="0" borderId="0" xfId="0" applyNumberFormat="1" applyFont="1"/>
    <xf numFmtId="166" fontId="5" fillId="0" borderId="0" xfId="0" applyNumberFormat="1" applyFont="1"/>
    <xf numFmtId="0" fontId="12" fillId="0" borderId="0" xfId="0" applyFont="1" applyAlignment="1">
      <alignment horizontal="right"/>
    </xf>
    <xf numFmtId="0" fontId="12" fillId="0" borderId="0" xfId="0" quotePrefix="1" applyFont="1"/>
    <xf numFmtId="0" fontId="3" fillId="0" borderId="0" xfId="0" applyFont="1"/>
    <xf numFmtId="3" fontId="5" fillId="0" borderId="28" xfId="0" applyNumberFormat="1" applyFont="1" applyBorder="1"/>
    <xf numFmtId="3" fontId="5" fillId="0" borderId="0" xfId="0" applyNumberFormat="1" applyFont="1" applyBorder="1"/>
    <xf numFmtId="166" fontId="5" fillId="0" borderId="0" xfId="0" applyNumberFormat="1" applyFont="1" applyBorder="1"/>
    <xf numFmtId="0" fontId="5" fillId="0" borderId="28" xfId="0" applyFont="1" applyBorder="1" applyAlignment="1">
      <alignment horizontal="left" indent="1"/>
    </xf>
    <xf numFmtId="0" fontId="5" fillId="0" borderId="0" xfId="0" applyFont="1" applyAlignment="1">
      <alignment horizontal="left" indent="1"/>
    </xf>
    <xf numFmtId="0" fontId="21" fillId="0" borderId="0" xfId="0" quotePrefix="1" applyFont="1"/>
    <xf numFmtId="3" fontId="8" fillId="0" borderId="0" xfId="1" quotePrefix="1" applyNumberFormat="1" applyFont="1" applyBorder="1" applyProtection="1"/>
    <xf numFmtId="167" fontId="5" fillId="0" borderId="0" xfId="1" quotePrefix="1" applyNumberFormat="1" applyFont="1" applyBorder="1" applyProtection="1"/>
    <xf numFmtId="166" fontId="5" fillId="0" borderId="28" xfId="0" applyNumberFormat="1" applyFont="1" applyBorder="1"/>
    <xf numFmtId="1" fontId="5" fillId="0" borderId="0" xfId="0" applyNumberFormat="1" applyFont="1"/>
    <xf numFmtId="168" fontId="5" fillId="0" borderId="0" xfId="0" applyNumberFormat="1" applyFont="1"/>
    <xf numFmtId="0" fontId="5" fillId="0" borderId="28" xfId="0" applyFont="1" applyBorder="1"/>
    <xf numFmtId="0" fontId="12" fillId="0" borderId="28" xfId="0" applyFont="1" applyBorder="1" applyAlignment="1">
      <alignment horizontal="right"/>
    </xf>
    <xf numFmtId="0" fontId="27" fillId="0" borderId="0" xfId="10" applyFont="1"/>
    <xf numFmtId="0" fontId="3" fillId="0" borderId="0" xfId="10"/>
    <xf numFmtId="0" fontId="0" fillId="0" borderId="0" xfId="10" applyFont="1"/>
    <xf numFmtId="0" fontId="28" fillId="0" borderId="0" xfId="10" applyFont="1" applyAlignment="1">
      <alignment horizontal="right"/>
    </xf>
    <xf numFmtId="0" fontId="30" fillId="0" borderId="0" xfId="10" applyFont="1" applyAlignment="1">
      <alignment horizontal="left"/>
    </xf>
    <xf numFmtId="0" fontId="33" fillId="0" borderId="0" xfId="10" applyFont="1" applyAlignment="1">
      <alignment horizontal="left"/>
    </xf>
    <xf numFmtId="0" fontId="20" fillId="0" borderId="0" xfId="5" applyFont="1" applyAlignment="1">
      <alignment horizontal="left"/>
    </xf>
    <xf numFmtId="0" fontId="10" fillId="0" borderId="0" xfId="10" applyFont="1" applyAlignment="1">
      <alignment horizontal="right"/>
    </xf>
    <xf numFmtId="0" fontId="3" fillId="0" borderId="0" xfId="10" applyAlignment="1">
      <alignment horizontal="right"/>
    </xf>
    <xf numFmtId="0" fontId="31" fillId="0" borderId="0" xfId="10" applyFont="1" applyAlignment="1">
      <alignment horizontal="left"/>
    </xf>
    <xf numFmtId="14" fontId="32" fillId="0" borderId="0" xfId="10" applyNumberFormat="1" applyFont="1" applyAlignment="1">
      <alignment horizontal="left"/>
    </xf>
    <xf numFmtId="0" fontId="32" fillId="0" borderId="0" xfId="10" applyFont="1" applyAlignment="1">
      <alignment horizontal="left"/>
    </xf>
    <xf numFmtId="0" fontId="34" fillId="0" borderId="0" xfId="5" applyFont="1" applyAlignment="1">
      <alignment vertical="center"/>
    </xf>
    <xf numFmtId="0" fontId="35" fillId="0" borderId="0" xfId="5" applyFont="1" applyAlignment="1">
      <alignment vertical="center"/>
    </xf>
    <xf numFmtId="0" fontId="36" fillId="0" borderId="0" xfId="5" applyFont="1"/>
    <xf numFmtId="14" fontId="29" fillId="0" borderId="0" xfId="10" applyNumberFormat="1" applyFont="1"/>
    <xf numFmtId="14" fontId="37" fillId="0" borderId="0" xfId="10" applyNumberFormat="1" applyFont="1" applyAlignment="1">
      <alignment horizontal="right"/>
    </xf>
    <xf numFmtId="0" fontId="5" fillId="0" borderId="0" xfId="5" applyFont="1"/>
    <xf numFmtId="0" fontId="5" fillId="0" borderId="0" xfId="5" applyFont="1" applyAlignment="1" applyProtection="1">
      <alignment horizontal="left"/>
    </xf>
    <xf numFmtId="0" fontId="7" fillId="2" borderId="0" xfId="5" applyFont="1" applyFill="1" applyBorder="1"/>
    <xf numFmtId="165" fontId="8" fillId="0" borderId="0" xfId="5" applyNumberFormat="1" applyFont="1" applyProtection="1"/>
    <xf numFmtId="0" fontId="8" fillId="0" borderId="0" xfId="5" applyFont="1"/>
    <xf numFmtId="0" fontId="9" fillId="2" borderId="1" xfId="5" applyFont="1" applyFill="1" applyBorder="1"/>
    <xf numFmtId="0" fontId="9" fillId="2" borderId="2" xfId="5" applyFont="1" applyFill="1" applyBorder="1" applyAlignment="1">
      <alignment horizontal="center"/>
    </xf>
    <xf numFmtId="0" fontId="9" fillId="2" borderId="3" xfId="5" applyFont="1" applyFill="1" applyBorder="1"/>
    <xf numFmtId="0" fontId="8" fillId="2" borderId="2" xfId="5" applyFont="1" applyFill="1" applyBorder="1"/>
    <xf numFmtId="0" fontId="8" fillId="2" borderId="4" xfId="5" applyFont="1" applyFill="1" applyBorder="1"/>
    <xf numFmtId="0" fontId="9" fillId="2" borderId="5" xfId="5" applyFont="1" applyFill="1" applyBorder="1" applyAlignment="1">
      <alignment horizontal="left"/>
    </xf>
    <xf numFmtId="14" fontId="9" fillId="2" borderId="6" xfId="5" applyNumberFormat="1" applyFont="1" applyFill="1" applyBorder="1" applyAlignment="1">
      <alignment horizontal="right"/>
    </xf>
    <xf numFmtId="1" fontId="9" fillId="2" borderId="7" xfId="5" applyNumberFormat="1" applyFont="1" applyFill="1" applyBorder="1" applyAlignment="1">
      <alignment horizontal="right"/>
    </xf>
    <xf numFmtId="1" fontId="9" fillId="2" borderId="6" xfId="5" applyNumberFormat="1" applyFont="1" applyFill="1" applyBorder="1" applyAlignment="1">
      <alignment horizontal="right"/>
    </xf>
    <xf numFmtId="1" fontId="9" fillId="2" borderId="8" xfId="5" applyNumberFormat="1" applyFont="1" applyFill="1" applyBorder="1" applyAlignment="1">
      <alignment horizontal="right"/>
    </xf>
    <xf numFmtId="14" fontId="9" fillId="2" borderId="7" xfId="5" applyNumberFormat="1" applyFont="1" applyFill="1" applyBorder="1" applyAlignment="1">
      <alignment horizontal="right"/>
    </xf>
    <xf numFmtId="14" fontId="9" fillId="2" borderId="9" xfId="5" applyNumberFormat="1" applyFont="1" applyFill="1" applyBorder="1" applyAlignment="1">
      <alignment horizontal="right"/>
    </xf>
    <xf numFmtId="0" fontId="8" fillId="0" borderId="10" xfId="5" applyFont="1" applyBorder="1"/>
    <xf numFmtId="165" fontId="8" fillId="0" borderId="0" xfId="5" applyNumberFormat="1" applyFont="1" applyAlignment="1" applyProtection="1">
      <alignment horizontal="right"/>
    </xf>
    <xf numFmtId="165" fontId="8" fillId="0" borderId="12" xfId="5" applyNumberFormat="1" applyFont="1" applyBorder="1" applyAlignment="1">
      <alignment horizontal="right"/>
    </xf>
    <xf numFmtId="0" fontId="11" fillId="0" borderId="13" xfId="5" applyFont="1" applyBorder="1"/>
    <xf numFmtId="165" fontId="8" fillId="0" borderId="14" xfId="5" applyNumberFormat="1" applyFont="1" applyBorder="1" applyAlignment="1" applyProtection="1">
      <alignment horizontal="right"/>
    </xf>
    <xf numFmtId="165" fontId="8" fillId="0" borderId="15" xfId="5" applyNumberFormat="1" applyFont="1" applyBorder="1" applyAlignment="1">
      <alignment horizontal="right"/>
    </xf>
    <xf numFmtId="0" fontId="8" fillId="0" borderId="16" xfId="5" applyFont="1" applyBorder="1"/>
    <xf numFmtId="0" fontId="8" fillId="0" borderId="11" xfId="5" applyFont="1" applyBorder="1"/>
    <xf numFmtId="165" fontId="8" fillId="0" borderId="17" xfId="5" applyNumberFormat="1" applyFont="1" applyBorder="1" applyAlignment="1" applyProtection="1">
      <alignment horizontal="right"/>
    </xf>
    <xf numFmtId="165" fontId="8" fillId="0" borderId="18" xfId="5" applyNumberFormat="1" applyFont="1" applyBorder="1" applyAlignment="1">
      <alignment horizontal="right"/>
    </xf>
    <xf numFmtId="0" fontId="8" fillId="0" borderId="19" xfId="5" applyFont="1" applyBorder="1"/>
    <xf numFmtId="165" fontId="8" fillId="0" borderId="20" xfId="5" applyNumberFormat="1" applyFont="1" applyBorder="1" applyAlignment="1" applyProtection="1">
      <alignment horizontal="right"/>
    </xf>
    <xf numFmtId="165" fontId="8" fillId="0" borderId="21" xfId="5" applyNumberFormat="1" applyFont="1" applyBorder="1" applyAlignment="1" applyProtection="1">
      <alignment horizontal="right"/>
    </xf>
    <xf numFmtId="165" fontId="8" fillId="0" borderId="0" xfId="5" applyNumberFormat="1" applyFont="1" applyBorder="1" applyAlignment="1" applyProtection="1">
      <alignment horizontal="right"/>
    </xf>
    <xf numFmtId="0" fontId="8" fillId="0" borderId="22" xfId="5" applyFont="1" applyBorder="1"/>
    <xf numFmtId="0" fontId="5" fillId="0" borderId="0" xfId="5" applyFont="1" applyBorder="1"/>
    <xf numFmtId="0" fontId="8" fillId="0" borderId="23" xfId="5" applyFont="1" applyBorder="1"/>
    <xf numFmtId="0" fontId="11" fillId="0" borderId="24" xfId="5" applyFont="1" applyBorder="1"/>
    <xf numFmtId="165" fontId="8" fillId="0" borderId="25" xfId="5" applyNumberFormat="1" applyFont="1" applyBorder="1" applyAlignment="1" applyProtection="1">
      <alignment horizontal="right"/>
    </xf>
    <xf numFmtId="165" fontId="8" fillId="0" borderId="27" xfId="5" applyNumberFormat="1" applyFont="1" applyBorder="1" applyAlignment="1">
      <alignment horizontal="right"/>
    </xf>
    <xf numFmtId="0" fontId="8" fillId="0" borderId="0" xfId="5" applyFont="1" applyBorder="1"/>
    <xf numFmtId="165" fontId="8" fillId="0" borderId="0" xfId="5" applyNumberFormat="1" applyFont="1" applyBorder="1" applyAlignment="1">
      <alignment horizontal="right"/>
    </xf>
    <xf numFmtId="0" fontId="9" fillId="0" borderId="0" xfId="5" applyFont="1" applyBorder="1"/>
    <xf numFmtId="0" fontId="11" fillId="0" borderId="0" xfId="5" applyFont="1" applyBorder="1"/>
    <xf numFmtId="0" fontId="12" fillId="0" borderId="0" xfId="5" applyFont="1" applyBorder="1"/>
    <xf numFmtId="0" fontId="13" fillId="0" borderId="0" xfId="5" applyFont="1" applyBorder="1"/>
    <xf numFmtId="165" fontId="5" fillId="0" borderId="0" xfId="5" applyNumberFormat="1" applyFont="1" applyBorder="1" applyAlignment="1" applyProtection="1">
      <alignment horizontal="right"/>
    </xf>
    <xf numFmtId="165" fontId="5" fillId="0" borderId="0" xfId="5" applyNumberFormat="1" applyFont="1" applyBorder="1" applyAlignment="1">
      <alignment horizontal="right"/>
    </xf>
    <xf numFmtId="0" fontId="5" fillId="0" borderId="6" xfId="5" applyFont="1" applyBorder="1"/>
    <xf numFmtId="0" fontId="15" fillId="0" borderId="0" xfId="5" applyFont="1" applyAlignment="1">
      <alignment horizontal="left"/>
    </xf>
    <xf numFmtId="0" fontId="15" fillId="0" borderId="0" xfId="5" applyFont="1" applyAlignment="1">
      <alignment horizontal="right"/>
    </xf>
    <xf numFmtId="14" fontId="20" fillId="0" borderId="0" xfId="10"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5" applyFont="1" applyBorder="1" applyAlignment="1">
      <alignment horizontal="right"/>
    </xf>
    <xf numFmtId="0" fontId="14" fillId="0" borderId="0" xfId="5" applyFont="1" applyAlignment="1">
      <alignment horizontal="right"/>
    </xf>
    <xf numFmtId="0" fontId="9" fillId="2" borderId="2" xfId="5" applyFont="1" applyFill="1" applyBorder="1" applyAlignment="1">
      <alignment horizontal="center"/>
    </xf>
    <xf numFmtId="0" fontId="9" fillId="2" borderId="29" xfId="5" applyFont="1" applyFill="1" applyBorder="1" applyAlignment="1">
      <alignment horizontal="center"/>
    </xf>
    <xf numFmtId="0" fontId="7" fillId="0" borderId="30" xfId="5" applyFont="1" applyBorder="1" applyAlignment="1">
      <alignment vertical="top"/>
    </xf>
    <xf numFmtId="0" fontId="10" fillId="0" borderId="19" xfId="5" applyFont="1" applyBorder="1" applyAlignment="1">
      <alignment vertical="top"/>
    </xf>
    <xf numFmtId="0" fontId="9" fillId="2" borderId="3" xfId="5" applyFont="1" applyFill="1" applyBorder="1" applyAlignment="1">
      <alignment horizontal="center"/>
    </xf>
    <xf numFmtId="0" fontId="9" fillId="2" borderId="4" xfId="5" applyFont="1" applyFill="1" applyBorder="1" applyAlignment="1">
      <alignment horizontal="center"/>
    </xf>
  </cellXfs>
  <cellStyles count="16">
    <cellStyle name="Comma" xfId="1" builtinId="3"/>
    <cellStyle name="Comma 2" xfId="6"/>
    <cellStyle name="Hyperkobling_premiestatistikken" xfId="2"/>
    <cellStyle name="Hyperkobling_Test_skadestat_tabeller" xfId="3"/>
    <cellStyle name="Hyperlink" xfId="4" builtinId="8"/>
    <cellStyle name="Hyperlink 2" xfId="7"/>
    <cellStyle name="Normal" xfId="0" builtinId="0"/>
    <cellStyle name="Normal 2" xfId="5"/>
    <cellStyle name="Normal 2 2" xfId="10"/>
    <cellStyle name="Normal 3" xfId="9"/>
    <cellStyle name="Normal 4" xfId="11"/>
    <cellStyle name="Normal 5" xfId="12"/>
    <cellStyle name="Normal 6" xfId="13"/>
    <cellStyle name="Normal 7" xfId="14"/>
    <cellStyle name="Normal 8" xfId="8"/>
    <cellStyle name="Tusenskille 2"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'Tab2'!$B$71:$B$204</c:f>
              <c:numCache>
                <c:formatCode>General</c:formatCode>
                <c:ptCount val="134"/>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numCache>
            </c:numRef>
          </c:cat>
          <c:val>
            <c:numRef>
              <c:f>'Tab2'!$C$71:$C$204</c:f>
              <c:numCache>
                <c:formatCode>General</c:formatCode>
                <c:ptCount val="134"/>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'Tab2'!$B$71:$B$204</c:f>
              <c:numCache>
                <c:formatCode>General</c:formatCode>
                <c:ptCount val="134"/>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numCache>
            </c:numRef>
          </c:cat>
          <c:val>
            <c:numRef>
              <c:f>'Tab2'!$D$71:$D$204</c:f>
              <c:numCache>
                <c:formatCode>General</c:formatCode>
                <c:ptCount val="134"/>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50800"/>
          </c:spPr>
          <c:marker>
            <c:symbol val="none"/>
          </c:marker>
          <c:cat>
            <c:numRef>
              <c:f>'Tab2'!$K$103:$K$204</c:f>
              <c:numCache>
                <c:formatCode>General</c:formatCode>
                <c:ptCount val="102"/>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numCache>
            </c:numRef>
          </c:cat>
          <c:val>
            <c:numRef>
              <c:f>'Tab2'!$T$103:$T$204</c:f>
              <c:numCache>
                <c:formatCode>#\ ##0.0</c:formatCode>
                <c:ptCount val="102"/>
                <c:pt idx="0">
                  <c:v>228.74877192982458</c:v>
                </c:pt>
                <c:pt idx="1">
                  <c:v>284.60438799076212</c:v>
                </c:pt>
                <c:pt idx="2">
                  <c:v>330.77390300230957</c:v>
                </c:pt>
                <c:pt idx="3">
                  <c:v>296.2542955326461</c:v>
                </c:pt>
                <c:pt idx="4">
                  <c:v>288.38742857142859</c:v>
                </c:pt>
                <c:pt idx="5">
                  <c:v>263.50564334085783</c:v>
                </c:pt>
                <c:pt idx="6">
                  <c:v>345.3233370913191</c:v>
                </c:pt>
                <c:pt idx="7">
                  <c:v>171.26674132138857</c:v>
                </c:pt>
                <c:pt idx="8">
                  <c:v>273.21714922049</c:v>
                </c:pt>
                <c:pt idx="9">
                  <c:v>294.38061674008816</c:v>
                </c:pt>
                <c:pt idx="10">
                  <c:v>334.68675496688741</c:v>
                </c:pt>
                <c:pt idx="11">
                  <c:v>252.71538461538464</c:v>
                </c:pt>
                <c:pt idx="12">
                  <c:v>248.41384615384615</c:v>
                </c:pt>
                <c:pt idx="13">
                  <c:v>299.11406761177756</c:v>
                </c:pt>
                <c:pt idx="14">
                  <c:v>333.63778501628684</c:v>
                </c:pt>
                <c:pt idx="15">
                  <c:v>323.68380129589633</c:v>
                </c:pt>
                <c:pt idx="16">
                  <c:v>274.06188436830837</c:v>
                </c:pt>
                <c:pt idx="17">
                  <c:v>317.03846971307127</c:v>
                </c:pt>
                <c:pt idx="18">
                  <c:v>332.93496280552597</c:v>
                </c:pt>
                <c:pt idx="19">
                  <c:v>304.87040169133223</c:v>
                </c:pt>
                <c:pt idx="20">
                  <c:v>294.73757961783446</c:v>
                </c:pt>
                <c:pt idx="21">
                  <c:v>323.55394321766562</c:v>
                </c:pt>
                <c:pt idx="22">
                  <c:v>341.375497382199</c:v>
                </c:pt>
                <c:pt idx="23">
                  <c:v>272.9221183800625</c:v>
                </c:pt>
                <c:pt idx="24">
                  <c:v>269.82980472764649</c:v>
                </c:pt>
                <c:pt idx="25">
                  <c:v>321.38259979529164</c:v>
                </c:pt>
                <c:pt idx="26">
                  <c:v>284.46509723643823</c:v>
                </c:pt>
                <c:pt idx="27">
                  <c:v>262.97743902439009</c:v>
                </c:pt>
                <c:pt idx="28">
                  <c:v>261.01631419939582</c:v>
                </c:pt>
                <c:pt idx="29">
                  <c:v>286.33059177532601</c:v>
                </c:pt>
                <c:pt idx="30">
                  <c:v>293.6080160320642</c:v>
                </c:pt>
                <c:pt idx="31">
                  <c:v>285.70844091360476</c:v>
                </c:pt>
                <c:pt idx="32">
                  <c:v>224.45207100591716</c:v>
                </c:pt>
                <c:pt idx="33">
                  <c:v>272.35009784735809</c:v>
                </c:pt>
                <c:pt idx="34">
                  <c:v>313.00353982300896</c:v>
                </c:pt>
                <c:pt idx="35">
                  <c:v>259.60927536231878</c:v>
                </c:pt>
                <c:pt idx="36">
                  <c:v>264.63097514340348</c:v>
                </c:pt>
                <c:pt idx="37">
                  <c:v>245.41484300666036</c:v>
                </c:pt>
                <c:pt idx="38">
                  <c:v>257.42849002849005</c:v>
                </c:pt>
                <c:pt idx="39">
                  <c:v>281.43258426966298</c:v>
                </c:pt>
                <c:pt idx="40">
                  <c:v>211.63450184501846</c:v>
                </c:pt>
                <c:pt idx="41">
                  <c:v>242.73667883211678</c:v>
                </c:pt>
                <c:pt idx="42">
                  <c:v>204.97964847363554</c:v>
                </c:pt>
                <c:pt idx="43">
                  <c:v>332.45906163753449</c:v>
                </c:pt>
                <c:pt idx="44">
                  <c:v>253.12369624885639</c:v>
                </c:pt>
                <c:pt idx="45">
                  <c:v>296.75727272727272</c:v>
                </c:pt>
                <c:pt idx="46">
                  <c:v>235.33850364963507</c:v>
                </c:pt>
                <c:pt idx="47">
                  <c:v>244.33513513513529</c:v>
                </c:pt>
                <c:pt idx="48">
                  <c:v>223.24083769633512</c:v>
                </c:pt>
                <c:pt idx="49">
                  <c:v>252.95957257346396</c:v>
                </c:pt>
                <c:pt idx="50">
                  <c:v>235.87345844504023</c:v>
                </c:pt>
                <c:pt idx="51">
                  <c:v>274.26127886323286</c:v>
                </c:pt>
                <c:pt idx="52">
                  <c:v>222.11563055062166</c:v>
                </c:pt>
                <c:pt idx="53">
                  <c:v>281.5724867724868</c:v>
                </c:pt>
                <c:pt idx="54">
                  <c:v>198.93663716814149</c:v>
                </c:pt>
                <c:pt idx="55">
                  <c:v>199.76684210526329</c:v>
                </c:pt>
                <c:pt idx="56">
                  <c:v>196.35936675461741</c:v>
                </c:pt>
                <c:pt idx="57">
                  <c:v>185.06510416666677</c:v>
                </c:pt>
                <c:pt idx="58">
                  <c:v>185.8331885317115</c:v>
                </c:pt>
                <c:pt idx="59">
                  <c:v>171.13448275862078</c:v>
                </c:pt>
                <c:pt idx="60">
                  <c:v>180.56500857632935</c:v>
                </c:pt>
                <c:pt idx="61">
                  <c:v>208.81068702290077</c:v>
                </c:pt>
                <c:pt idx="62">
                  <c:v>199.15242966751921</c:v>
                </c:pt>
                <c:pt idx="63">
                  <c:v>169.28722689075627</c:v>
                </c:pt>
                <c:pt idx="64">
                  <c:v>199.17038297872341</c:v>
                </c:pt>
                <c:pt idx="65">
                  <c:v>190.26035502958578</c:v>
                </c:pt>
                <c:pt idx="66">
                  <c:v>181.45517826825125</c:v>
                </c:pt>
                <c:pt idx="67">
                  <c:v>165.26026490066235</c:v>
                </c:pt>
                <c:pt idx="68">
                  <c:v>183.60935192780968</c:v>
                </c:pt>
                <c:pt idx="69">
                  <c:v>215.88786885245906</c:v>
                </c:pt>
                <c:pt idx="70">
                  <c:v>211.57384240454911</c:v>
                </c:pt>
                <c:pt idx="71">
                  <c:v>302.2460304731357</c:v>
                </c:pt>
                <c:pt idx="72">
                  <c:v>238.44288000000003</c:v>
                </c:pt>
                <c:pt idx="73">
                  <c:v>261.69403341288785</c:v>
                </c:pt>
                <c:pt idx="74">
                  <c:v>258.41818181818178</c:v>
                </c:pt>
                <c:pt idx="75">
                  <c:v>305.21895734597172</c:v>
                </c:pt>
                <c:pt idx="76">
                  <c:v>264.06666666666672</c:v>
                </c:pt>
                <c:pt idx="77">
                  <c:v>218.64763382467032</c:v>
                </c:pt>
                <c:pt idx="78">
                  <c:v>219.54507042253516</c:v>
                </c:pt>
                <c:pt idx="79">
                  <c:v>222.16279069767444</c:v>
                </c:pt>
                <c:pt idx="80">
                  <c:v>168.03917050691248</c:v>
                </c:pt>
                <c:pt idx="81">
                  <c:v>211.08732824427477</c:v>
                </c:pt>
                <c:pt idx="82">
                  <c:v>180.746058732612</c:v>
                </c:pt>
                <c:pt idx="83">
                  <c:v>194.00967502532521</c:v>
                </c:pt>
                <c:pt idx="84">
                  <c:v>186.54614058469656</c:v>
                </c:pt>
                <c:pt idx="85">
                  <c:v>195.53683166101504</c:v>
                </c:pt>
                <c:pt idx="86">
                  <c:v>204.35382674453987</c:v>
                </c:pt>
                <c:pt idx="87">
                  <c:v>201.6692576141192</c:v>
                </c:pt>
                <c:pt idx="88">
                  <c:v>176.4294910387961</c:v>
                </c:pt>
                <c:pt idx="89">
                  <c:v>183.38191355798267</c:v>
                </c:pt>
                <c:pt idx="90">
                  <c:v>179.61281523354447</c:v>
                </c:pt>
                <c:pt idx="91">
                  <c:v>186.09040596391031</c:v>
                </c:pt>
                <c:pt idx="92">
                  <c:v>170.02751343954517</c:v>
                </c:pt>
                <c:pt idx="93">
                  <c:v>171.11543363210535</c:v>
                </c:pt>
                <c:pt idx="94">
                  <c:v>180.6500119846954</c:v>
                </c:pt>
                <c:pt idx="95">
                  <c:v>177.83798503759974</c:v>
                </c:pt>
                <c:pt idx="96">
                  <c:v>156.94137894073802</c:v>
                </c:pt>
                <c:pt idx="97">
                  <c:v>169.09467705958542</c:v>
                </c:pt>
                <c:pt idx="98">
                  <c:v>131.25711251421171</c:v>
                </c:pt>
                <c:pt idx="99">
                  <c:v>156.43237586501729</c:v>
                </c:pt>
                <c:pt idx="100">
                  <c:v>125.9796460706994</c:v>
                </c:pt>
                <c:pt idx="101">
                  <c:v>147.85542553755926</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val>
            <c:numRef>
              <c:f>'Tab2'!$R$103:$R$204</c:f>
              <c:numCache>
                <c:formatCode>#,##0</c:formatCode>
                <c:ptCount val="102"/>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95.491190571000004</c:v>
                </c:pt>
                <c:pt idx="1">
                  <c:v>800.29901959899996</c:v>
                </c:pt>
                <c:pt idx="2">
                  <c:v>100.954190002</c:v>
                </c:pt>
                <c:pt idx="3">
                  <c:v>817.20408244999999</c:v>
                </c:pt>
                <c:pt idx="4" formatCode="0.000">
                  <c:v>5041.4912464940007</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2014</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3399.6073315620001</c:v>
                </c:pt>
                <c:pt idx="1">
                  <c:v>2400.952199629</c:v>
                </c:pt>
                <c:pt idx="2">
                  <c:v>1323.3736207710001</c:v>
                </c:pt>
                <c:pt idx="3">
                  <c:v>902.33012338799995</c:v>
                </c:pt>
                <c:pt idx="4">
                  <c:v>349.44877136100001</c:v>
                </c:pt>
                <c:pt idx="5">
                  <c:v>971.57967528999995</c:v>
                </c:pt>
                <c:pt idx="6">
                  <c:v>187.188588004</c:v>
                </c:pt>
                <c:pt idx="7">
                  <c:v>699.334525461</c:v>
                </c:pt>
                <c:pt idx="8">
                  <c:v>83.202140635999996</c:v>
                </c:pt>
                <c:pt idx="9">
                  <c:v>323.66188697100006</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2015</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3306.1813925329998</c:v>
                </c:pt>
                <c:pt idx="1">
                  <c:v>2701.945756992</c:v>
                </c:pt>
                <c:pt idx="2">
                  <c:v>1149.4538215069999</c:v>
                </c:pt>
                <c:pt idx="3">
                  <c:v>1024.114442474</c:v>
                </c:pt>
                <c:pt idx="4">
                  <c:v>320.22656303700001</c:v>
                </c:pt>
                <c:pt idx="5">
                  <c:v>1003.720588701</c:v>
                </c:pt>
                <c:pt idx="6">
                  <c:v>233.82959979200001</c:v>
                </c:pt>
                <c:pt idx="7">
                  <c:v>713.79925433300002</c:v>
                </c:pt>
                <c:pt idx="8">
                  <c:v>114.06111092</c:v>
                </c:pt>
                <c:pt idx="9">
                  <c:v>433.38950201299997</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2016</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3395.008061944</c:v>
                </c:pt>
                <c:pt idx="1">
                  <c:v>2460.811699936</c:v>
                </c:pt>
                <c:pt idx="2">
                  <c:v>1005.193879384</c:v>
                </c:pt>
                <c:pt idx="3">
                  <c:v>1159.859386956</c:v>
                </c:pt>
                <c:pt idx="4">
                  <c:v>289.64428472700001</c:v>
                </c:pt>
                <c:pt idx="5">
                  <c:v>1054.3515800069999</c:v>
                </c:pt>
                <c:pt idx="6">
                  <c:v>182.68802268300001</c:v>
                </c:pt>
                <c:pt idx="7">
                  <c:v>523.92029056199999</c:v>
                </c:pt>
                <c:pt idx="8">
                  <c:v>72.478043400999994</c:v>
                </c:pt>
                <c:pt idx="9">
                  <c:v>366.61415975100005</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2014</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13260</c:v>
                </c:pt>
                <c:pt idx="1">
                  <c:v>36404</c:v>
                </c:pt>
                <c:pt idx="2">
                  <c:v>19583</c:v>
                </c:pt>
                <c:pt idx="3" formatCode="_ * #\ ##0_ ;_ * \-#\ ##0_ ;_ * &quot;-&quot;??_ ;_ @_ ">
                  <c:v>84701</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2015</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15270.716872463001</c:v>
                </c:pt>
                <c:pt idx="1">
                  <c:v>35333.949675889999</c:v>
                </c:pt>
                <c:pt idx="2">
                  <c:v>17123.305062112002</c:v>
                </c:pt>
                <c:pt idx="3" formatCode="_ * #\ ##0_ ;_ * \-#\ ##0_ ;_ * &quot;-&quot;??_ ;_ @_ ">
                  <c:v>95912.214157654991</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2016</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12067.935357970999</c:v>
                </c:pt>
                <c:pt idx="1">
                  <c:v>39707.453391304996</c:v>
                </c:pt>
                <c:pt idx="2">
                  <c:v>16448.436375776</c:v>
                </c:pt>
                <c:pt idx="3" formatCode="_ * #\ ##0_ ;_ * \-#\ ##0_ ;_ * &quot;-&quot;??_ ;_ @_ ">
                  <c:v>105404.83574401498</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2014</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2643.6827911299997</c:v>
                </c:pt>
                <c:pt idx="1">
                  <c:v>1619.63854659</c:v>
                </c:pt>
                <c:pt idx="2">
                  <c:v>332.48366310899996</c:v>
                </c:pt>
                <c:pt idx="3">
                  <c:v>1204.754530362</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2015</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2486.5768528359999</c:v>
                </c:pt>
                <c:pt idx="1">
                  <c:v>1697.321035252</c:v>
                </c:pt>
                <c:pt idx="2">
                  <c:v>324.222487575</c:v>
                </c:pt>
                <c:pt idx="3">
                  <c:v>1500.006773862</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2016</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2258.6952683640002</c:v>
                </c:pt>
                <c:pt idx="1">
                  <c:v>1816.8339558759999</c:v>
                </c:pt>
                <c:pt idx="2">
                  <c:v>281.20767810699999</c:v>
                </c:pt>
                <c:pt idx="3">
                  <c:v>1499.0828595330004</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2014</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146608</c:v>
                </c:pt>
                <c:pt idx="1">
                  <c:v>50045</c:v>
                </c:pt>
                <c:pt idx="2">
                  <c:v>53178</c:v>
                </c:pt>
                <c:pt idx="3">
                  <c:v>20669</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2015</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158299</c:v>
                </c:pt>
                <c:pt idx="1">
                  <c:v>52228.503339786002</c:v>
                </c:pt>
                <c:pt idx="2">
                  <c:v>55817.752245418</c:v>
                </c:pt>
                <c:pt idx="3">
                  <c:v>22114.084249084</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2016</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149261.141025641</c:v>
                </c:pt>
                <c:pt idx="1">
                  <c:v>52562.962486265998</c:v>
                </c:pt>
                <c:pt idx="2">
                  <c:v>61041.058319816999</c:v>
                </c:pt>
                <c:pt idx="3">
                  <c:v>20119.271221531999</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2014</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4229</c:v>
                </c:pt>
                <c:pt idx="1">
                  <c:v>4395</c:v>
                </c:pt>
                <c:pt idx="2">
                  <c:v>5922</c:v>
                </c:pt>
                <c:pt idx="3">
                  <c:v>7418</c:v>
                </c:pt>
                <c:pt idx="4">
                  <c:v>12291</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2015</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4932.3952618450003</c:v>
                </c:pt>
                <c:pt idx="1">
                  <c:v>5188.4620000000004</c:v>
                </c:pt>
                <c:pt idx="2">
                  <c:v>4955</c:v>
                </c:pt>
                <c:pt idx="3">
                  <c:v>8377.4704651280008</c:v>
                </c:pt>
                <c:pt idx="4">
                  <c:v>12649.523333333</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2016</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4070.6695760600001</c:v>
                </c:pt>
                <c:pt idx="1">
                  <c:v>4769.7039999999997</c:v>
                </c:pt>
                <c:pt idx="2">
                  <c:v>4950.7766367349996</c:v>
                </c:pt>
                <c:pt idx="3">
                  <c:v>7377.228430911</c:v>
                </c:pt>
                <c:pt idx="4">
                  <c:v>13539.56</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50800"/>
          </c:spPr>
          <c:marker>
            <c:symbol val="none"/>
          </c:marker>
          <c:cat>
            <c:numRef>
              <c:f>'Tab2'!$K$71:$K$204</c:f>
              <c:numCache>
                <c:formatCode>General</c:formatCode>
                <c:ptCount val="134"/>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numCache>
            </c:numRef>
          </c:cat>
          <c:val>
            <c:numRef>
              <c:f>'Tab2'!$N$71:$N$204</c:f>
              <c:numCache>
                <c:formatCode>#\ ##0.0</c:formatCode>
                <c:ptCount val="134"/>
                <c:pt idx="0">
                  <c:v>210.21970260223051</c:v>
                </c:pt>
                <c:pt idx="1">
                  <c:v>176.09177330895798</c:v>
                </c:pt>
                <c:pt idx="2">
                  <c:v>161.03544303797472</c:v>
                </c:pt>
                <c:pt idx="3">
                  <c:v>197.26227758007118</c:v>
                </c:pt>
                <c:pt idx="4">
                  <c:v>211.52984293193722</c:v>
                </c:pt>
                <c:pt idx="5">
                  <c:v>200.09175257731957</c:v>
                </c:pt>
                <c:pt idx="6">
                  <c:v>198.38739352640545</c:v>
                </c:pt>
                <c:pt idx="7">
                  <c:v>221.8973154362416</c:v>
                </c:pt>
                <c:pt idx="8">
                  <c:v>239.78940397350993</c:v>
                </c:pt>
                <c:pt idx="9">
                  <c:v>262.09658536585368</c:v>
                </c:pt>
                <c:pt idx="10">
                  <c:v>232.24838709677422</c:v>
                </c:pt>
                <c:pt idx="11">
                  <c:v>263.40095238095239</c:v>
                </c:pt>
                <c:pt idx="12">
                  <c:v>244.21312500000002</c:v>
                </c:pt>
                <c:pt idx="13">
                  <c:v>261.31846153846158</c:v>
                </c:pt>
                <c:pt idx="14">
                  <c:v>210.32597014925375</c:v>
                </c:pt>
                <c:pt idx="15">
                  <c:v>246.12963503649635</c:v>
                </c:pt>
                <c:pt idx="16">
                  <c:v>268.89191489361701</c:v>
                </c:pt>
                <c:pt idx="17">
                  <c:v>265.34664804469281</c:v>
                </c:pt>
                <c:pt idx="18">
                  <c:v>217.14439834024898</c:v>
                </c:pt>
                <c:pt idx="19">
                  <c:v>255.47690217391306</c:v>
                </c:pt>
                <c:pt idx="20">
                  <c:v>243.16276595744685</c:v>
                </c:pt>
                <c:pt idx="21">
                  <c:v>173.3374185136897</c:v>
                </c:pt>
                <c:pt idx="22">
                  <c:v>269.9774025974026</c:v>
                </c:pt>
                <c:pt idx="23">
                  <c:v>357.64455825864286</c:v>
                </c:pt>
                <c:pt idx="24">
                  <c:v>252.667680608365</c:v>
                </c:pt>
                <c:pt idx="25">
                  <c:v>204.21594022415943</c:v>
                </c:pt>
                <c:pt idx="26">
                  <c:v>179.69330024813897</c:v>
                </c:pt>
                <c:pt idx="27">
                  <c:v>226.70270270270271</c:v>
                </c:pt>
                <c:pt idx="28">
                  <c:v>242.73900364520054</c:v>
                </c:pt>
                <c:pt idx="29">
                  <c:v>195.28417266187051</c:v>
                </c:pt>
                <c:pt idx="30">
                  <c:v>169.36344086021509</c:v>
                </c:pt>
                <c:pt idx="31">
                  <c:v>197.13278495887195</c:v>
                </c:pt>
                <c:pt idx="32">
                  <c:v>212.7249122807018</c:v>
                </c:pt>
                <c:pt idx="33">
                  <c:v>204.53418013856808</c:v>
                </c:pt>
                <c:pt idx="34">
                  <c:v>214.05866050808319</c:v>
                </c:pt>
                <c:pt idx="35">
                  <c:v>221.30996563573893</c:v>
                </c:pt>
                <c:pt idx="36">
                  <c:v>206.74422857142858</c:v>
                </c:pt>
                <c:pt idx="37">
                  <c:v>178.14243792325061</c:v>
                </c:pt>
                <c:pt idx="38">
                  <c:v>205.8385569334836</c:v>
                </c:pt>
                <c:pt idx="39">
                  <c:v>169.85778275475934</c:v>
                </c:pt>
                <c:pt idx="40">
                  <c:v>213.12494432071267</c:v>
                </c:pt>
                <c:pt idx="41">
                  <c:v>177.36740088105734</c:v>
                </c:pt>
                <c:pt idx="42">
                  <c:v>204.91655629139075</c:v>
                </c:pt>
                <c:pt idx="43">
                  <c:v>242.42241758241752</c:v>
                </c:pt>
                <c:pt idx="44">
                  <c:v>290.35384615384618</c:v>
                </c:pt>
                <c:pt idx="45">
                  <c:v>253.83533260632498</c:v>
                </c:pt>
                <c:pt idx="46">
                  <c:v>257.89381107491857</c:v>
                </c:pt>
                <c:pt idx="47">
                  <c:v>212.56846652267831</c:v>
                </c:pt>
                <c:pt idx="48">
                  <c:v>256.10042826552461</c:v>
                </c:pt>
                <c:pt idx="49">
                  <c:v>220.32242295430402</c:v>
                </c:pt>
                <c:pt idx="50">
                  <c:v>267.71477151965991</c:v>
                </c:pt>
                <c:pt idx="51">
                  <c:v>254.1818181818183</c:v>
                </c:pt>
                <c:pt idx="52">
                  <c:v>557.4191082802547</c:v>
                </c:pt>
                <c:pt idx="53">
                  <c:v>345.16340694006317</c:v>
                </c:pt>
                <c:pt idx="54">
                  <c:v>351.32984293193738</c:v>
                </c:pt>
                <c:pt idx="55">
                  <c:v>338.82990654205622</c:v>
                </c:pt>
                <c:pt idx="56">
                  <c:v>366.81336073997949</c:v>
                </c:pt>
                <c:pt idx="57">
                  <c:v>402.51525076765625</c:v>
                </c:pt>
                <c:pt idx="58">
                  <c:v>426.26837256908902</c:v>
                </c:pt>
                <c:pt idx="59">
                  <c:v>380.32987804878053</c:v>
                </c:pt>
                <c:pt idx="60">
                  <c:v>401.23867069486408</c:v>
                </c:pt>
                <c:pt idx="61">
                  <c:v>355.45937813440321</c:v>
                </c:pt>
                <c:pt idx="62">
                  <c:v>361.26673346693389</c:v>
                </c:pt>
                <c:pt idx="63">
                  <c:v>415.23515392254222</c:v>
                </c:pt>
                <c:pt idx="64">
                  <c:v>452.9023668639054</c:v>
                </c:pt>
                <c:pt idx="65">
                  <c:v>455.1023483365949</c:v>
                </c:pt>
                <c:pt idx="66">
                  <c:v>612.39823008849555</c:v>
                </c:pt>
                <c:pt idx="67">
                  <c:v>554.60753623188361</c:v>
                </c:pt>
                <c:pt idx="68">
                  <c:v>462.30229445506694</c:v>
                </c:pt>
                <c:pt idx="69">
                  <c:v>335.73282588011421</c:v>
                </c:pt>
                <c:pt idx="70">
                  <c:v>416.21367521367523</c:v>
                </c:pt>
                <c:pt idx="71">
                  <c:v>634.59775280898873</c:v>
                </c:pt>
                <c:pt idx="72">
                  <c:v>870.91273062730625</c:v>
                </c:pt>
                <c:pt idx="73">
                  <c:v>576.54744525547449</c:v>
                </c:pt>
                <c:pt idx="74">
                  <c:v>517.81609620721576</c:v>
                </c:pt>
                <c:pt idx="75">
                  <c:v>655.14369825206973</c:v>
                </c:pt>
                <c:pt idx="76">
                  <c:v>596.67612076852708</c:v>
                </c:pt>
                <c:pt idx="77">
                  <c:v>519.16636363636371</c:v>
                </c:pt>
                <c:pt idx="78">
                  <c:v>641.60036496350369</c:v>
                </c:pt>
                <c:pt idx="79">
                  <c:v>584.64108108108121</c:v>
                </c:pt>
                <c:pt idx="80">
                  <c:v>764.63036649214666</c:v>
                </c:pt>
                <c:pt idx="81">
                  <c:v>505.54568121104205</c:v>
                </c:pt>
                <c:pt idx="82">
                  <c:v>537.83646112600536</c:v>
                </c:pt>
                <c:pt idx="83">
                  <c:v>585.89360568383654</c:v>
                </c:pt>
                <c:pt idx="84">
                  <c:v>642.75719360568382</c:v>
                </c:pt>
                <c:pt idx="85">
                  <c:v>424.94761904761901</c:v>
                </c:pt>
                <c:pt idx="86">
                  <c:v>561.79805309734502</c:v>
                </c:pt>
                <c:pt idx="87">
                  <c:v>525.10842105263202</c:v>
                </c:pt>
                <c:pt idx="88">
                  <c:v>513.95250659630608</c:v>
                </c:pt>
                <c:pt idx="89">
                  <c:v>392.21666666666675</c:v>
                </c:pt>
                <c:pt idx="90">
                  <c:v>544.50338835794958</c:v>
                </c:pt>
                <c:pt idx="91">
                  <c:v>577.03655172413789</c:v>
                </c:pt>
                <c:pt idx="92">
                  <c:v>701.39794168096068</c:v>
                </c:pt>
                <c:pt idx="93">
                  <c:v>514.37862595419836</c:v>
                </c:pt>
                <c:pt idx="94">
                  <c:v>591.85575447570329</c:v>
                </c:pt>
                <c:pt idx="95">
                  <c:v>617.46957983193295</c:v>
                </c:pt>
                <c:pt idx="96">
                  <c:v>772.8857872340426</c:v>
                </c:pt>
                <c:pt idx="97">
                  <c:v>607.65139475908711</c:v>
                </c:pt>
                <c:pt idx="98">
                  <c:v>776.37657045840456</c:v>
                </c:pt>
                <c:pt idx="99">
                  <c:v>656.41192052980102</c:v>
                </c:pt>
                <c:pt idx="100">
                  <c:v>678.81558654634944</c:v>
                </c:pt>
                <c:pt idx="101">
                  <c:v>628.41245901639354</c:v>
                </c:pt>
                <c:pt idx="102">
                  <c:v>820.74297319252685</c:v>
                </c:pt>
                <c:pt idx="103">
                  <c:v>788.23881315156405</c:v>
                </c:pt>
                <c:pt idx="104">
                  <c:v>827.16863999999998</c:v>
                </c:pt>
                <c:pt idx="105">
                  <c:v>671.52935560859203</c:v>
                </c:pt>
                <c:pt idx="106">
                  <c:v>887.07224880382762</c:v>
                </c:pt>
                <c:pt idx="107">
                  <c:v>838.46872037914727</c:v>
                </c:pt>
                <c:pt idx="108">
                  <c:v>1839.2608471236388</c:v>
                </c:pt>
                <c:pt idx="109">
                  <c:v>938.11438512200402</c:v>
                </c:pt>
                <c:pt idx="110">
                  <c:v>942.62738817765103</c:v>
                </c:pt>
                <c:pt idx="111">
                  <c:v>964.3479308349622</c:v>
                </c:pt>
                <c:pt idx="112">
                  <c:v>1139.6824044208759</c:v>
                </c:pt>
                <c:pt idx="113">
                  <c:v>828.75050175980073</c:v>
                </c:pt>
                <c:pt idx="114">
                  <c:v>988.15771557886023</c:v>
                </c:pt>
                <c:pt idx="115">
                  <c:v>832.78399073821481</c:v>
                </c:pt>
                <c:pt idx="116">
                  <c:v>922.61059645881187</c:v>
                </c:pt>
                <c:pt idx="117">
                  <c:v>674.51273392585733</c:v>
                </c:pt>
                <c:pt idx="118">
                  <c:v>929.96430238354992</c:v>
                </c:pt>
                <c:pt idx="119">
                  <c:v>875.6494559889037</c:v>
                </c:pt>
                <c:pt idx="120">
                  <c:v>1075.3891243734708</c:v>
                </c:pt>
                <c:pt idx="121">
                  <c:v>1053.0089512444758</c:v>
                </c:pt>
                <c:pt idx="122">
                  <c:v>766.21784526683314</c:v>
                </c:pt>
                <c:pt idx="123">
                  <c:v>925.50173331131134</c:v>
                </c:pt>
                <c:pt idx="124">
                  <c:v>912.79360470431072</c:v>
                </c:pt>
                <c:pt idx="125">
                  <c:v>749.58374026706599</c:v>
                </c:pt>
                <c:pt idx="126">
                  <c:v>1102.6774184792541</c:v>
                </c:pt>
                <c:pt idx="127">
                  <c:v>881.65672320406497</c:v>
                </c:pt>
                <c:pt idx="128">
                  <c:v>967.29196437207213</c:v>
                </c:pt>
                <c:pt idx="129">
                  <c:v>740.77559354679113</c:v>
                </c:pt>
                <c:pt idx="130">
                  <c:v>980.57607099335485</c:v>
                </c:pt>
                <c:pt idx="131">
                  <c:v>870.6391771846902</c:v>
                </c:pt>
                <c:pt idx="132">
                  <c:v>1000.8681046863829</c:v>
                </c:pt>
                <c:pt idx="133">
                  <c:v>770.4054642599998</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val>
            <c:numRef>
              <c:f>'Tab2'!$L$71:$L$204</c:f>
              <c:numCache>
                <c:formatCode>#,##0</c:formatCode>
                <c:ptCount val="134"/>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50800"/>
          </c:spPr>
          <c:marker>
            <c:symbol val="none"/>
          </c:marker>
          <c:cat>
            <c:numRef>
              <c:f>'Tab2'!$K$103:$K$204</c:f>
              <c:numCache>
                <c:formatCode>General</c:formatCode>
                <c:ptCount val="102"/>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numCache>
            </c:numRef>
          </c:cat>
          <c:val>
            <c:numRef>
              <c:f>'Tab2'!$Q$103:$Q$204</c:f>
              <c:numCache>
                <c:formatCode>#\ ##0.0</c:formatCode>
                <c:ptCount val="102"/>
                <c:pt idx="0">
                  <c:v>616.26456140350876</c:v>
                </c:pt>
                <c:pt idx="1">
                  <c:v>596.16789838337183</c:v>
                </c:pt>
                <c:pt idx="2">
                  <c:v>695.60993071593532</c:v>
                </c:pt>
                <c:pt idx="3">
                  <c:v>683.78694158075655</c:v>
                </c:pt>
                <c:pt idx="4">
                  <c:v>654.26400000000001</c:v>
                </c:pt>
                <c:pt idx="5">
                  <c:v>650.08577878103847</c:v>
                </c:pt>
                <c:pt idx="6">
                  <c:v>694.11409244644892</c:v>
                </c:pt>
                <c:pt idx="7">
                  <c:v>666.28085106382969</c:v>
                </c:pt>
                <c:pt idx="8">
                  <c:v>699.62271714922053</c:v>
                </c:pt>
                <c:pt idx="9">
                  <c:v>543.34162995594716</c:v>
                </c:pt>
                <c:pt idx="10">
                  <c:v>599.47350993377518</c:v>
                </c:pt>
                <c:pt idx="11">
                  <c:v>717.43516483516453</c:v>
                </c:pt>
                <c:pt idx="12">
                  <c:v>656.90637362637369</c:v>
                </c:pt>
                <c:pt idx="13">
                  <c:v>753.57840785169037</c:v>
                </c:pt>
                <c:pt idx="14">
                  <c:v>645.87296416938125</c:v>
                </c:pt>
                <c:pt idx="15">
                  <c:v>589.69632829373654</c:v>
                </c:pt>
                <c:pt idx="16">
                  <c:v>812.7558886509637</c:v>
                </c:pt>
                <c:pt idx="17">
                  <c:v>686.9662061636559</c:v>
                </c:pt>
                <c:pt idx="18">
                  <c:v>724.85037194473955</c:v>
                </c:pt>
                <c:pt idx="19">
                  <c:v>546.63868921775884</c:v>
                </c:pt>
                <c:pt idx="20">
                  <c:v>712.20828025477715</c:v>
                </c:pt>
                <c:pt idx="21">
                  <c:v>860.40946372239762</c:v>
                </c:pt>
                <c:pt idx="22">
                  <c:v>851.8284816753926</c:v>
                </c:pt>
                <c:pt idx="23">
                  <c:v>966.5507788161998</c:v>
                </c:pt>
                <c:pt idx="24">
                  <c:v>899.00164439876687</c:v>
                </c:pt>
                <c:pt idx="25">
                  <c:v>950.69723643807549</c:v>
                </c:pt>
                <c:pt idx="26">
                  <c:v>1030.6851586489256</c:v>
                </c:pt>
                <c:pt idx="27">
                  <c:v>801.29268292682934</c:v>
                </c:pt>
                <c:pt idx="28">
                  <c:v>844.14984894259828</c:v>
                </c:pt>
                <c:pt idx="29">
                  <c:v>808.93299899699105</c:v>
                </c:pt>
                <c:pt idx="30">
                  <c:v>606.26693386773582</c:v>
                </c:pt>
                <c:pt idx="31">
                  <c:v>1025.3851042701085</c:v>
                </c:pt>
                <c:pt idx="32">
                  <c:v>950.06094674556221</c:v>
                </c:pt>
                <c:pt idx="33">
                  <c:v>1196.3706457925637</c:v>
                </c:pt>
                <c:pt idx="34">
                  <c:v>779.41592920353958</c:v>
                </c:pt>
                <c:pt idx="35">
                  <c:v>1263.6028985507248</c:v>
                </c:pt>
                <c:pt idx="36">
                  <c:v>1095.8128107074572</c:v>
                </c:pt>
                <c:pt idx="37">
                  <c:v>896.79505233111331</c:v>
                </c:pt>
                <c:pt idx="38">
                  <c:v>937.57606837606886</c:v>
                </c:pt>
                <c:pt idx="39">
                  <c:v>967.60449438202227</c:v>
                </c:pt>
                <c:pt idx="40">
                  <c:v>1131.0387453874539</c:v>
                </c:pt>
                <c:pt idx="41">
                  <c:v>1177.330291970803</c:v>
                </c:pt>
                <c:pt idx="42">
                  <c:v>1515.9441258094357</c:v>
                </c:pt>
                <c:pt idx="43">
                  <c:v>1033.13100275989</c:v>
                </c:pt>
                <c:pt idx="44">
                  <c:v>1049.331381518756</c:v>
                </c:pt>
                <c:pt idx="45">
                  <c:v>875.78345454545456</c:v>
                </c:pt>
                <c:pt idx="46">
                  <c:v>1142.7629562043799</c:v>
                </c:pt>
                <c:pt idx="47">
                  <c:v>1182.0027027027029</c:v>
                </c:pt>
                <c:pt idx="48">
                  <c:v>1326.2701570680631</c:v>
                </c:pt>
                <c:pt idx="49">
                  <c:v>1018.0626892252894</c:v>
                </c:pt>
                <c:pt idx="50">
                  <c:v>1074.6734584450401</c:v>
                </c:pt>
                <c:pt idx="51">
                  <c:v>946.44351687389019</c:v>
                </c:pt>
                <c:pt idx="52">
                  <c:v>912.79715808170533</c:v>
                </c:pt>
                <c:pt idx="53">
                  <c:v>873.1952380952381</c:v>
                </c:pt>
                <c:pt idx="54">
                  <c:v>807.49964601769898</c:v>
                </c:pt>
                <c:pt idx="55">
                  <c:v>869.94842105263228</c:v>
                </c:pt>
                <c:pt idx="56">
                  <c:v>879.37519788918212</c:v>
                </c:pt>
                <c:pt idx="57">
                  <c:v>904.6953125</c:v>
                </c:pt>
                <c:pt idx="58">
                  <c:v>1010.6653344917466</c:v>
                </c:pt>
                <c:pt idx="59">
                  <c:v>959.07620689655141</c:v>
                </c:pt>
                <c:pt idx="60">
                  <c:v>1135.6651801029161</c:v>
                </c:pt>
                <c:pt idx="61">
                  <c:v>961.88091603053442</c:v>
                </c:pt>
                <c:pt idx="62">
                  <c:v>1020.075191815857</c:v>
                </c:pt>
                <c:pt idx="63">
                  <c:v>970.37647058823541</c:v>
                </c:pt>
                <c:pt idx="64">
                  <c:v>1299.4856170212765</c:v>
                </c:pt>
                <c:pt idx="65">
                  <c:v>1231.0199492814877</c:v>
                </c:pt>
                <c:pt idx="66">
                  <c:v>806.52020373514483</c:v>
                </c:pt>
                <c:pt idx="67">
                  <c:v>1055.096523178808</c:v>
                </c:pt>
                <c:pt idx="68">
                  <c:v>1105.0966365873669</c:v>
                </c:pt>
                <c:pt idx="69">
                  <c:v>1322.1413114754102</c:v>
                </c:pt>
                <c:pt idx="70">
                  <c:v>1688.1616571892766</c:v>
                </c:pt>
                <c:pt idx="71">
                  <c:v>1300.4651162790699</c:v>
                </c:pt>
                <c:pt idx="72">
                  <c:v>1174.2081600000001</c:v>
                </c:pt>
                <c:pt idx="73">
                  <c:v>1198.8100238663485</c:v>
                </c:pt>
                <c:pt idx="74">
                  <c:v>1424.8674641148325</c:v>
                </c:pt>
                <c:pt idx="75">
                  <c:v>1316.5052132701428</c:v>
                </c:pt>
                <c:pt idx="76">
                  <c:v>1790.6783216783222</c:v>
                </c:pt>
                <c:pt idx="77">
                  <c:v>1498.5388673390223</c:v>
                </c:pt>
                <c:pt idx="78">
                  <c:v>1406.9699530516432</c:v>
                </c:pt>
                <c:pt idx="79">
                  <c:v>1420.5413953488385</c:v>
                </c:pt>
                <c:pt idx="80">
                  <c:v>1823.9497695852538</c:v>
                </c:pt>
                <c:pt idx="81">
                  <c:v>1636.4070229007636</c:v>
                </c:pt>
                <c:pt idx="82">
                  <c:v>1388.7088098918082</c:v>
                </c:pt>
                <c:pt idx="83">
                  <c:v>1378.5701541054834</c:v>
                </c:pt>
                <c:pt idx="84">
                  <c:v>1221.0623022776344</c:v>
                </c:pt>
                <c:pt idx="85">
                  <c:v>1101.6251320833317</c:v>
                </c:pt>
                <c:pt idx="86">
                  <c:v>1217.4008985125124</c:v>
                </c:pt>
                <c:pt idx="87">
                  <c:v>1134.2989220405145</c:v>
                </c:pt>
                <c:pt idx="88">
                  <c:v>1206.888228885093</c:v>
                </c:pt>
                <c:pt idx="89">
                  <c:v>1180.1353037274289</c:v>
                </c:pt>
                <c:pt idx="90">
                  <c:v>1378.6123391058363</c:v>
                </c:pt>
                <c:pt idx="91">
                  <c:v>1252.9955148305232</c:v>
                </c:pt>
                <c:pt idx="92">
                  <c:v>1528.6533224166249</c:v>
                </c:pt>
                <c:pt idx="93">
                  <c:v>1185.0455963112161</c:v>
                </c:pt>
                <c:pt idx="94">
                  <c:v>1285.623299750785</c:v>
                </c:pt>
                <c:pt idx="95">
                  <c:v>1122.1010624724311</c:v>
                </c:pt>
                <c:pt idx="96">
                  <c:v>1292.7823271376467</c:v>
                </c:pt>
                <c:pt idx="97">
                  <c:v>1208.4696987864945</c:v>
                </c:pt>
                <c:pt idx="98">
                  <c:v>1342.0649626093802</c:v>
                </c:pt>
                <c:pt idx="99">
                  <c:v>1406.2258521784779</c:v>
                </c:pt>
                <c:pt idx="100">
                  <c:v>1241.4248902565887</c:v>
                </c:pt>
                <c:pt idx="101">
                  <c:v>960.59782867409581</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val>
            <c:numRef>
              <c:f>'Tab2'!$O$103:$O$204</c:f>
              <c:numCache>
                <c:formatCode>#,##0</c:formatCode>
                <c:ptCount val="102"/>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7</xdr:col>
      <xdr:colOff>742950</xdr:colOff>
      <xdr:row>55</xdr:row>
      <xdr:rowOff>0</xdr:rowOff>
    </xdr:to>
    <xdr:pic>
      <xdr:nvPicPr>
        <xdr:cNvPr id="2" name="Picture 1" descr="Statistikk_forside.pdf"/>
        <xdr:cNvPicPr>
          <a:picLocks noChangeAspect="1"/>
        </xdr:cNvPicPr>
      </xdr:nvPicPr>
      <xdr:blipFill>
        <a:blip xmlns:r="http://schemas.openxmlformats.org/officeDocument/2006/relationships" r:embed="rId1" cstate="print"/>
        <a:srcRect/>
        <a:stretch>
          <a:fillRect/>
        </a:stretch>
      </xdr:blipFill>
      <xdr:spPr bwMode="auto">
        <a:xfrm>
          <a:off x="0" y="9525"/>
          <a:ext cx="6755130" cy="11511915"/>
        </a:xfrm>
        <a:prstGeom prst="rect">
          <a:avLst/>
        </a:prstGeom>
        <a:noFill/>
        <a:ln w="9525">
          <a:noFill/>
          <a:miter lim="800000"/>
          <a:headEnd/>
          <a:tailEnd/>
        </a:ln>
      </xdr:spPr>
    </xdr:pic>
    <xdr:clientData/>
  </xdr:twoCellAnchor>
  <xdr:twoCellAnchor>
    <xdr:from>
      <xdr:col>0</xdr:col>
      <xdr:colOff>695325</xdr:colOff>
      <xdr:row>41</xdr:row>
      <xdr:rowOff>123825</xdr:rowOff>
    </xdr:from>
    <xdr:to>
      <xdr:col>4</xdr:col>
      <xdr:colOff>815992</xdr:colOff>
      <xdr:row>44</xdr:row>
      <xdr:rowOff>85725</xdr:rowOff>
    </xdr:to>
    <xdr:sp macro="" textlink="">
      <xdr:nvSpPr>
        <xdr:cNvPr id="3" name="Text Box 6"/>
        <xdr:cNvSpPr txBox="1"/>
      </xdr:nvSpPr>
      <xdr:spPr>
        <a:xfrm>
          <a:off x="695325" y="9237345"/>
          <a:ext cx="3595387" cy="525780"/>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2. KVARTAL 2016 </a:t>
          </a:r>
          <a:r>
            <a:rPr lang="nb-NO" sz="1000">
              <a:effectLst/>
              <a:latin typeface="Arial"/>
              <a:ea typeface="ＭＳ 明朝"/>
              <a:cs typeface="Times New Roman"/>
            </a:rPr>
            <a:t>(31. august 2016)</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xdr:cNvSpPr txBox="1"/>
      </xdr:nvSpPr>
      <xdr:spPr>
        <a:xfrm>
          <a:off x="666750" y="7414260"/>
          <a:ext cx="5812155" cy="1183640"/>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654050</xdr:colOff>
      <xdr:row>37</xdr:row>
      <xdr:rowOff>101600</xdr:rowOff>
    </xdr:from>
    <xdr:to>
      <xdr:col>7</xdr:col>
      <xdr:colOff>295303</xdr:colOff>
      <xdr:row>39</xdr:row>
      <xdr:rowOff>85809</xdr:rowOff>
    </xdr:to>
    <xdr:sp macro="" textlink="">
      <xdr:nvSpPr>
        <xdr:cNvPr id="5" name="Text Box 5"/>
        <xdr:cNvSpPr txBox="1"/>
      </xdr:nvSpPr>
      <xdr:spPr>
        <a:xfrm>
          <a:off x="654050" y="8430260"/>
          <a:ext cx="5653433" cy="372829"/>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4</xdr:row>
      <xdr:rowOff>123825</xdr:rowOff>
    </xdr:from>
    <xdr:to>
      <xdr:col>2</xdr:col>
      <xdr:colOff>346333</xdr:colOff>
      <xdr:row>7</xdr:row>
      <xdr:rowOff>149678</xdr:rowOff>
    </xdr:to>
    <xdr:sp macro="" textlink="">
      <xdr:nvSpPr>
        <xdr:cNvPr id="6" name="Text Box 3"/>
        <xdr:cNvSpPr txBox="1"/>
      </xdr:nvSpPr>
      <xdr:spPr>
        <a:xfrm>
          <a:off x="108858" y="794385"/>
          <a:ext cx="2142475" cy="650693"/>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endParaRPr lang="nb-NO" sz="1400">
            <a:ln w="0" cap="flat" cmpd="sng" algn="ctr">
              <a:noFill/>
              <a:prstDash val="solid"/>
              <a:round/>
            </a:ln>
            <a:solidFill>
              <a:schemeClr val="bg1"/>
            </a:solidFill>
            <a:effectLst/>
            <a:latin typeface="Arial"/>
            <a:ea typeface="ＭＳ 明朝"/>
            <a:cs typeface="Arial"/>
          </a:endParaRPr>
        </a:p>
        <a:p>
          <a:pPr>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twoCellAnchor>
    <xdr:from>
      <xdr:col>1</xdr:col>
      <xdr:colOff>38100</xdr:colOff>
      <xdr:row>91</xdr:row>
      <xdr:rowOff>38101</xdr:rowOff>
    </xdr:from>
    <xdr:to>
      <xdr:col>7</xdr:col>
      <xdr:colOff>457200</xdr:colOff>
      <xdr:row>102</xdr:row>
      <xdr:rowOff>142876</xdr:rowOff>
    </xdr:to>
    <xdr:sp macro="" textlink="">
      <xdr:nvSpPr>
        <xdr:cNvPr id="4" name="TextBox 3"/>
        <xdr:cNvSpPr txBox="1"/>
      </xdr:nvSpPr>
      <xdr:spPr>
        <a:xfrm>
          <a:off x="790575" y="14773276"/>
          <a:ext cx="5400675" cy="1885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eaLnBrk="1" fontAlgn="auto" latinLnBrk="0" hangingPunct="1"/>
          <a:r>
            <a:rPr lang="nb-NO" sz="1200" b="1" i="0">
              <a:solidFill>
                <a:schemeClr val="dk1"/>
              </a:solidFill>
              <a:latin typeface="Times New Roman" pitchFamily="18" charset="0"/>
              <a:ea typeface="+mn-ea"/>
              <a:cs typeface="Times New Roman" pitchFamily="18" charset="0"/>
            </a:rPr>
            <a:t>1. </a:t>
          </a:r>
          <a:r>
            <a:rPr lang="en-US" sz="1200" b="1" i="0" baseline="0">
              <a:solidFill>
                <a:schemeClr val="dk1"/>
              </a:solidFill>
              <a:latin typeface="Times New Roman" pitchFamily="18" charset="0"/>
              <a:ea typeface="+mn-ea"/>
              <a:cs typeface="Times New Roman" pitchFamily="18" charset="0"/>
            </a:rPr>
            <a:t>HOVEDTREKK – vått halvår og mindre kriminalitet</a:t>
          </a:r>
          <a:endParaRPr lang="nb-NO" sz="1200">
            <a:latin typeface="Times New Roman" pitchFamily="18" charset="0"/>
            <a:cs typeface="Times New Roman" pitchFamily="18" charset="0"/>
          </a:endParaRPr>
        </a:p>
        <a:p>
          <a:pPr rtl="0" eaLnBrk="1" fontAlgn="auto" latinLnBrk="0" hangingPunct="1"/>
          <a:endParaRPr lang="en-US" sz="1200" b="0" i="0">
            <a:solidFill>
              <a:schemeClr val="dk1"/>
            </a:solidFill>
            <a:latin typeface="Times New Roman" pitchFamily="18" charset="0"/>
            <a:ea typeface="+mn-ea"/>
            <a:cs typeface="Times New Roman" pitchFamily="18" charset="0"/>
          </a:endParaRPr>
        </a:p>
        <a:p>
          <a:pPr rtl="0"/>
          <a:r>
            <a:rPr lang="en-US" sz="1200" b="0" i="0">
              <a:solidFill>
                <a:schemeClr val="dk1"/>
              </a:solidFill>
              <a:latin typeface="Times New Roman" pitchFamily="18" charset="0"/>
              <a:ea typeface="+mn-ea"/>
              <a:cs typeface="Times New Roman" pitchFamily="18" charset="0"/>
            </a:rPr>
            <a:t>Erstatningene for landbasert forsikring totalt utgjør 18,4 milliarder kr hittil i år, som er en svak reduksjon fra 1. halvår i fjor. Brannerstatningene på bygning og innbo er redusert med 9 prosent fra i fjor og utgjør nesten 2,3 milliarder kr. Mens erstatning etter vannskader økte med 7 prosent fra i fjor og er på 1,8 milliarder kr hittil i år. For alle produktområdene er det stor reduksjon i tyveri, innbrudd og ran og den største reduksjonen er det tyveri av og fra motorkjøretøy.</a:t>
          </a:r>
          <a:endParaRPr lang="nb-NO" sz="1200">
            <a:solidFill>
              <a:schemeClr val="dk1"/>
            </a:solidFill>
            <a:latin typeface="Times New Roman" pitchFamily="18" charset="0"/>
            <a:ea typeface="+mn-ea"/>
            <a:cs typeface="Times New Roman" pitchFamily="18" charset="0"/>
          </a:endParaRPr>
        </a:p>
      </xdr:txBody>
    </xdr:sp>
    <xdr:clientData/>
  </xdr:twoCellAnchor>
  <xdr:twoCellAnchor>
    <xdr:from>
      <xdr:col>1</xdr:col>
      <xdr:colOff>66675</xdr:colOff>
      <xdr:row>103</xdr:row>
      <xdr:rowOff>76201</xdr:rowOff>
    </xdr:from>
    <xdr:to>
      <xdr:col>7</xdr:col>
      <xdr:colOff>57150</xdr:colOff>
      <xdr:row>118</xdr:row>
      <xdr:rowOff>28576</xdr:rowOff>
    </xdr:to>
    <xdr:sp macro="" textlink="">
      <xdr:nvSpPr>
        <xdr:cNvPr id="3309" name="Text Box 3"/>
        <xdr:cNvSpPr txBox="1">
          <a:spLocks noChangeArrowheads="1"/>
        </xdr:cNvSpPr>
      </xdr:nvSpPr>
      <xdr:spPr bwMode="auto">
        <a:xfrm>
          <a:off x="819150" y="16754476"/>
          <a:ext cx="4972050" cy="2381250"/>
        </a:xfrm>
        <a:prstGeom prst="rect">
          <a:avLst/>
        </a:prstGeom>
        <a:solidFill>
          <a:srgbClr val="FFFFFF"/>
        </a:solidFill>
        <a:ln w="9525">
          <a:noFill/>
          <a:miter lim="800000"/>
          <a:headEnd/>
          <a:tailEnd/>
        </a:ln>
      </xdr:spPr>
      <xdr:txBody>
        <a:bodyPr/>
        <a:lstStyle/>
        <a:p>
          <a:pPr rtl="0"/>
          <a:endParaRPr lang="nb-NO" sz="1100" b="0" i="0" baseline="0">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87951</xdr:colOff>
      <xdr:row>7</xdr:row>
      <xdr:rowOff>39129</xdr:rowOff>
    </xdr:from>
    <xdr:to>
      <xdr:col>1</xdr:col>
      <xdr:colOff>590550</xdr:colOff>
      <xdr:row>44</xdr:row>
      <xdr:rowOff>161912</xdr:rowOff>
    </xdr:to>
    <xdr:sp macro="" textlink="">
      <xdr:nvSpPr>
        <xdr:cNvPr id="5121" name="Text Box 1"/>
        <xdr:cNvSpPr txBox="1">
          <a:spLocks noChangeArrowheads="1"/>
        </xdr:cNvSpPr>
      </xdr:nvSpPr>
      <xdr:spPr bwMode="auto">
        <a:xfrm>
          <a:off x="87951" y="1144029"/>
          <a:ext cx="2312349" cy="7171283"/>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100" b="1" i="0">
              <a:effectLst/>
              <a:latin typeface="Times New Roman" panose="02020603050405020304" pitchFamily="18" charset="0"/>
              <a:ea typeface="+mn-ea"/>
              <a:cs typeface="Times New Roman" panose="02020603050405020304" pitchFamily="18" charset="0"/>
            </a:rPr>
            <a:t>Motorvogn – økte kaskoskader</a:t>
          </a:r>
          <a:endParaRPr lang="nb-NO">
            <a:effectLst/>
            <a:latin typeface="Times New Roman" panose="02020603050405020304" pitchFamily="18" charset="0"/>
            <a:cs typeface="Times New Roman" panose="02020603050405020304" pitchFamily="18" charset="0"/>
          </a:endParaRPr>
        </a:p>
        <a:p>
          <a:pPr fontAlgn="base"/>
          <a:endParaRPr lang="en-US" sz="1100" b="0" i="0">
            <a:effectLst/>
            <a:latin typeface="Times New Roman" panose="02020603050405020304" pitchFamily="18" charset="0"/>
            <a:ea typeface="+mn-ea"/>
            <a:cs typeface="Times New Roman" panose="02020603050405020304" pitchFamily="18" charset="0"/>
          </a:endParaRPr>
        </a:p>
        <a:p>
          <a:pPr fontAlgn="base"/>
          <a:r>
            <a:rPr lang="en-US" sz="1100" b="0" i="0">
              <a:effectLst/>
              <a:latin typeface="Times New Roman" panose="02020603050405020304" pitchFamily="18" charset="0"/>
              <a:ea typeface="+mn-ea"/>
              <a:cs typeface="Times New Roman" panose="02020603050405020304" pitchFamily="18" charset="0"/>
            </a:rPr>
            <a:t>Starten på året var gunstig med få skader, mens skadene i 2. kvartal har økt en del fra samme periode i fjor – samlet i 1. halvår økte antall motorvognskader med 5 prosent fra i fjor til samme tid, og erstatningene økte med 3 prosent. Erstatningene på kaskoskader, redning og glass økte mest, mens tyveri av og fra kjøretøy fortsetter nedgangen. Til tross for noe økning i antall personskader, har erstatningene gått ned. Det vil si at personskadene gjennomgående er mindre alvorlige hittil i år enn tilsvarende i fjor. Samtidig viktig å påpeke usikkerhet rundt erstatningsanslaget på personskader; det tar ofte lang tid å vurdere den endelige konsekvensen.</a:t>
          </a:r>
          <a:endParaRPr lang="nb-NO">
            <a:effectLst/>
            <a:latin typeface="Times New Roman" panose="02020603050405020304" pitchFamily="18" charset="0"/>
            <a:cs typeface="Times New Roman" panose="02020603050405020304" pitchFamily="18" charset="0"/>
          </a:endParaRPr>
        </a:p>
        <a:p>
          <a:pPr rtl="0"/>
          <a:endParaRPr lang="en-US" sz="1100" b="1" i="0">
            <a:latin typeface="Times New Roman" pitchFamily="18" charset="0"/>
            <a:ea typeface="+mn-ea"/>
            <a:cs typeface="Times New Roman" pitchFamily="18" charset="0"/>
          </a:endParaRPr>
        </a:p>
        <a:p>
          <a:pPr rtl="0"/>
          <a:r>
            <a:rPr lang="en-US" sz="1100" b="1" i="0">
              <a:latin typeface="Times New Roman" pitchFamily="18" charset="0"/>
              <a:ea typeface="+mn-ea"/>
              <a:cs typeface="Times New Roman" pitchFamily="18" charset="0"/>
            </a:rPr>
            <a:t>Brann-kombinert privatmarkedet – mye vannskader</a:t>
          </a:r>
          <a:endParaRPr lang="nb-NO">
            <a:latin typeface="Times New Roman" pitchFamily="18" charset="0"/>
            <a:cs typeface="Times New Roman" pitchFamily="18" charset="0"/>
          </a:endParaRPr>
        </a:p>
        <a:p>
          <a:pPr rtl="0"/>
          <a:endParaRPr lang="en-US" sz="1100" b="0" i="0">
            <a:latin typeface="Times New Roman" pitchFamily="18" charset="0"/>
            <a:ea typeface="+mn-ea"/>
            <a:cs typeface="Times New Roman" pitchFamily="18" charset="0"/>
          </a:endParaRPr>
        </a:p>
        <a:p>
          <a:pPr rtl="0"/>
          <a:r>
            <a:rPr lang="en-US" sz="1100" b="0" i="0">
              <a:latin typeface="Times New Roman" pitchFamily="18" charset="0"/>
              <a:ea typeface="+mn-ea"/>
              <a:cs typeface="Times New Roman" pitchFamily="18" charset="0"/>
            </a:rPr>
            <a:t>Totale erstatninger på private hus og innbo økte med 3 prosent fra samme periode i fjor, noe som skyldes økte erstatninger etter vannskader; vannskadeerstatningene er 22 prosent høyere enn i fjor. Brannskadene derimot er lavere enn fjorårets noe som skyldes færre skader etter lynnedslag. Innbrudd, tyveri og ran viser fortsatt gunstig utvikling; det var en liten «tyveribølge» i 2014, men så langt i år er det 3 prosent færre enn til samme tid i fjor og hele 15 prosent færre enn samme periode i 2014.</a:t>
          </a:r>
          <a:endParaRPr lang="nb-NO" sz="1100" b="0" i="0" baseline="0">
            <a:latin typeface="Times New Roman" pitchFamily="18" charset="0"/>
            <a:ea typeface="+mn-ea"/>
            <a:cs typeface="Times New Roman" pitchFamily="18" charset="0"/>
          </a:endParaRPr>
        </a:p>
      </xdr:txBody>
    </xdr:sp>
    <xdr:clientData/>
  </xdr:twoCellAnchor>
  <xdr:twoCellAnchor>
    <xdr:from>
      <xdr:col>2</xdr:col>
      <xdr:colOff>400050</xdr:colOff>
      <xdr:row>7</xdr:row>
      <xdr:rowOff>38101</xdr:rowOff>
    </xdr:from>
    <xdr:to>
      <xdr:col>6</xdr:col>
      <xdr:colOff>395305</xdr:colOff>
      <xdr:row>44</xdr:row>
      <xdr:rowOff>161925</xdr:rowOff>
    </xdr:to>
    <xdr:sp macro="" textlink="">
      <xdr:nvSpPr>
        <xdr:cNvPr id="5122" name="Text Box 2"/>
        <xdr:cNvSpPr txBox="1">
          <a:spLocks noChangeArrowheads="1"/>
        </xdr:cNvSpPr>
      </xdr:nvSpPr>
      <xdr:spPr bwMode="auto">
        <a:xfrm>
          <a:off x="2924175" y="1143001"/>
          <a:ext cx="2452705" cy="7172324"/>
        </a:xfrm>
        <a:prstGeom prst="rect">
          <a:avLst/>
        </a:prstGeom>
        <a:solidFill>
          <a:srgbClr val="FFFFFF"/>
        </a:solidFill>
        <a:ln w="9525">
          <a:noFill/>
          <a:miter lim="800000"/>
          <a:headEnd/>
          <a:tailEnd/>
        </a:ln>
      </xdr:spPr>
      <xdr:txBody>
        <a:bodyPr vertOverflow="clip" wrap="square" lIns="27432" tIns="27432" rIns="0" bIns="0" anchor="t" upright="1"/>
        <a:lstStyle/>
        <a:p>
          <a:pPr fontAlgn="base"/>
          <a:r>
            <a:rPr lang="nb-NO" sz="1100" b="1" i="0" baseline="0">
              <a:effectLst/>
              <a:latin typeface="Times New Roman" panose="02020603050405020304" pitchFamily="18" charset="0"/>
              <a:ea typeface="+mn-ea"/>
              <a:cs typeface="Times New Roman" panose="02020603050405020304" pitchFamily="18" charset="0"/>
            </a:rPr>
            <a:t>Brann-kombinert næring – færre, men større brannskader</a:t>
          </a:r>
        </a:p>
        <a:p>
          <a:pPr fontAlgn="base"/>
          <a:endParaRPr lang="nb-NO">
            <a:effectLst/>
            <a:latin typeface="Times New Roman" panose="02020603050405020304" pitchFamily="18" charset="0"/>
            <a:cs typeface="Times New Roman" panose="02020603050405020304" pitchFamily="18" charset="0"/>
          </a:endParaRPr>
        </a:p>
        <a:p>
          <a:r>
            <a:rPr lang="nb-NO" sz="1100" b="0" i="0" baseline="0">
              <a:effectLst/>
              <a:latin typeface="Times New Roman" panose="02020603050405020304" pitchFamily="18" charset="0"/>
              <a:ea typeface="+mn-ea"/>
              <a:cs typeface="Times New Roman" panose="02020603050405020304" pitchFamily="18" charset="0"/>
            </a:rPr>
            <a:t> større næringsbranner, men hittil i år er brannerstatningene redusert med 12 prosent fra i fjor. Vannskadene på næring har ikke økt på samme måte som innen privat – på næringsbygg er erstatningene etter vannskader redusert med 12 prosent fra samme periode i fjor. Erstatningene etter tyveri, innbrudd og ran er 21 prosent lavere enn i fjor. Av et totalt erstatningsvolum på nesten 2,5 milliarder kr hittil i år, utgjør tyveriskadene bare 74 mill. kr.</a:t>
          </a:r>
          <a:endParaRPr lang="en-US" sz="1100" b="1" i="0">
            <a:latin typeface="Times New Roman" pitchFamily="18" charset="0"/>
            <a:ea typeface="+mn-ea"/>
            <a:cs typeface="Times New Roman" pitchFamily="18" charset="0"/>
          </a:endParaRPr>
        </a:p>
        <a:p>
          <a:pPr rtl="0"/>
          <a:endParaRPr lang="en-US" sz="1100" b="1" i="0">
            <a:latin typeface="Times New Roman" pitchFamily="18" charset="0"/>
            <a:ea typeface="+mn-ea"/>
            <a:cs typeface="Times New Roman" pitchFamily="18" charset="0"/>
          </a:endParaRPr>
        </a:p>
        <a:p>
          <a:pPr rtl="0"/>
          <a:r>
            <a:rPr lang="en-US" sz="1100" b="1" i="0">
              <a:latin typeface="Times New Roman" pitchFamily="18" charset="0"/>
              <a:ea typeface="+mn-ea"/>
              <a:cs typeface="Times New Roman" pitchFamily="18" charset="0"/>
            </a:rPr>
            <a:t>Reiseforsikring – mindre reiseaktivitet med dyrere reisesykdomskader</a:t>
          </a:r>
        </a:p>
        <a:p>
          <a:pPr rtl="0"/>
          <a:endParaRPr lang="nb-NO" sz="1100">
            <a:latin typeface="Times New Roman" pitchFamily="18" charset="0"/>
            <a:ea typeface="+mn-ea"/>
            <a:cs typeface="Times New Roman" pitchFamily="18" charset="0"/>
          </a:endParaRPr>
        </a:p>
        <a:p>
          <a:r>
            <a:rPr lang="en-US" sz="1100" b="0" i="0">
              <a:latin typeface="Times New Roman" pitchFamily="18" charset="0"/>
              <a:ea typeface="+mn-ea"/>
              <a:cs typeface="Times New Roman" pitchFamily="18" charset="0"/>
            </a:rPr>
            <a:t>Antall meldte reiseskader hittil i år er 6 prosent færre enn til samme periode i fjor, mens erstatningene har økt med 5 prosent og det er erstatning etter avbestilling og reisesykdom som øker, mens tyveri holder seg lavt og er svakt redusert fra i fjor. I 1. halvår i fjor hadde erstatning etter reisesykdom litt «stillstand», mens de 1. halvår i år igjen øker; 18 prosent erstatningsvekst. I gjennomsnitt ble en reisesykdomsskade erstattet med nesten 11 000 kr i 1. halvår i år.</a:t>
          </a:r>
          <a:endParaRPr lang="nb-NO">
            <a:latin typeface="Times New Roman" pitchFamily="18" charset="0"/>
            <a:cs typeface="Times New Roman" pitchFamily="18" charset="0"/>
          </a:endParaRPr>
        </a:p>
        <a:p>
          <a:endParaRPr lang="en-US" sz="1100" b="0" i="0">
            <a:latin typeface="Times New Roman" pitchFamily="18" charset="0"/>
            <a:ea typeface="+mn-ea"/>
            <a:cs typeface="Times New Roman" pitchFamily="18" charset="0"/>
          </a:endParaRPr>
        </a:p>
        <a:p>
          <a:pPr rtl="0"/>
          <a:r>
            <a:rPr lang="nb-NO" sz="1100" b="1" i="0" baseline="0">
              <a:latin typeface="Times New Roman" pitchFamily="18" charset="0"/>
              <a:ea typeface="+mn-ea"/>
              <a:cs typeface="Times New Roman" pitchFamily="18" charset="0"/>
            </a:rPr>
            <a:t>Fritidsbåtforsikring – lite båtbruk</a:t>
          </a:r>
        </a:p>
        <a:p>
          <a:pPr rtl="0"/>
          <a:endParaRPr lang="nb-NO" sz="1100">
            <a:latin typeface="Times New Roman" pitchFamily="18" charset="0"/>
            <a:ea typeface="+mn-ea"/>
            <a:cs typeface="Times New Roman" pitchFamily="18" charset="0"/>
          </a:endParaRPr>
        </a:p>
        <a:p>
          <a:pPr rtl="0"/>
          <a:r>
            <a:rPr lang="nb-NO" sz="1100" b="0" i="0" baseline="0">
              <a:latin typeface="Times New Roman" pitchFamily="18" charset="0"/>
              <a:ea typeface="+mn-ea"/>
              <a:cs typeface="Times New Roman" pitchFamily="18" charset="0"/>
            </a:rPr>
            <a:t>Skader i 1. halvår vil ofte ha et visst etterslep av «sommerskadene» som ofte ikke meldes før ut i august. I fjor bidro stormene i januar til mange skader, mens det i år er vært mer stabilt vær. 1. halvår i år har antall båtskader blitt redusert med nesten 18 prosent og erstatningene er 22 prosent lavere - 183 mill. kr mot 234 mill. kr til samme tid i fjor.</a:t>
          </a:r>
          <a:endParaRPr lang="nb-NO">
            <a:latin typeface="Times New Roman" pitchFamily="18" charset="0"/>
            <a:cs typeface="Times New Roman" pitchFamily="18" charset="0"/>
          </a:endParaRPr>
        </a:p>
      </xdr:txBody>
    </xdr:sp>
    <xdr:clientData/>
  </xdr:twoCellAnchor>
  <xdr:twoCellAnchor>
    <xdr:from>
      <xdr:col>0</xdr:col>
      <xdr:colOff>0</xdr:colOff>
      <xdr:row>2</xdr:row>
      <xdr:rowOff>38100</xdr:rowOff>
    </xdr:from>
    <xdr:to>
      <xdr:col>6</xdr:col>
      <xdr:colOff>457200</xdr:colOff>
      <xdr:row>6</xdr:row>
      <xdr:rowOff>104775</xdr:rowOff>
    </xdr:to>
    <xdr:sp macro="" textlink="">
      <xdr:nvSpPr>
        <xdr:cNvPr id="4" name="TextBox 3"/>
        <xdr:cNvSpPr txBox="1"/>
      </xdr:nvSpPr>
      <xdr:spPr>
        <a:xfrm>
          <a:off x="0" y="304800"/>
          <a:ext cx="543877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nb-NO" sz="1300" u="none">
              <a:solidFill>
                <a:schemeClr val="dk1"/>
              </a:solidFill>
              <a:latin typeface="Times New Roman" pitchFamily="18" charset="0"/>
              <a:ea typeface="+mn-ea"/>
              <a:cs typeface="Times New Roman" pitchFamily="18" charset="0"/>
            </a:rPr>
            <a:t>- Fordelingen mellom motorvogn privat og næring i tabellene 0.1 og 0.2 er fra og med 3. kvartal 2014 basert på et riktigere datagrunnlag, noe som gir merkbare utslag i statistikken.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28575</xdr:colOff>
      <xdr:row>51</xdr:row>
      <xdr:rowOff>0</xdr:rowOff>
    </xdr:to>
    <xdr:sp macro="" textlink="">
      <xdr:nvSpPr>
        <xdr:cNvPr id="6145" name="Text Box 1"/>
        <xdr:cNvSpPr txBox="1">
          <a:spLocks noChangeArrowheads="1"/>
        </xdr:cNvSpPr>
      </xdr:nvSpPr>
      <xdr:spPr bwMode="auto">
        <a:xfrm>
          <a:off x="0" y="609600"/>
          <a:ext cx="2552700" cy="92583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ACE European Group</a:t>
          </a:r>
        </a:p>
        <a:p>
          <a:pPr algn="l" rtl="0">
            <a:defRPr sz="1000"/>
          </a:pPr>
          <a:r>
            <a:rPr lang="en-US" sz="1050" b="0" i="0" strike="noStrike">
              <a:solidFill>
                <a:srgbClr val="000000"/>
              </a:solidFill>
              <a:latin typeface="Times New Roman" pitchFamily="18" charset="0"/>
              <a:ea typeface="+mn-ea"/>
              <a:cs typeface="Times New Roman" pitchFamily="18" charset="0"/>
            </a:rPr>
            <a:t>     AIG Europe</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Codan Forsikring</a:t>
          </a:r>
        </a:p>
        <a:p>
          <a:pPr algn="l" rtl="0">
            <a:defRPr sz="1000"/>
          </a:pPr>
          <a:r>
            <a:rPr lang="en-US" sz="1050" b="0" i="0" strike="noStrike">
              <a:solidFill>
                <a:srgbClr val="000000"/>
              </a:solidFill>
              <a:latin typeface="Times New Roman" pitchFamily="18" charset="0"/>
              <a:cs typeface="Times New Roman" pitchFamily="18" charset="0"/>
            </a:rPr>
            <a:t>     Danica Pensjonsforsikring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DNB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Eika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Euro Insurance LTD</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Frende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If Skadeforsikring</a:t>
          </a:r>
        </a:p>
        <a:p>
          <a:pPr algn="l" rtl="0">
            <a:defRPr sz="1000"/>
          </a:pPr>
          <a:r>
            <a:rPr lang="en-US" sz="1050" b="0" i="0" strike="noStrike">
              <a:solidFill>
                <a:srgbClr val="000000"/>
              </a:solidFill>
              <a:latin typeface="Times New Roman" pitchFamily="18" charset="0"/>
              <a:cs typeface="Times New Roman" pitchFamily="18" charset="0"/>
            </a:rPr>
            <a:t>     Inter Hannover</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Jernbanepersonalets bank og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KLP skadeforsikring</a:t>
          </a:r>
        </a:p>
        <a:p>
          <a:pPr algn="l" rtl="0">
            <a:defRPr sz="1000"/>
          </a:pPr>
          <a:r>
            <a:rPr lang="en-US" sz="1050" b="0" i="0" strike="noStrike">
              <a:solidFill>
                <a:srgbClr val="000000"/>
              </a:solidFill>
              <a:latin typeface="Times New Roman" pitchFamily="18" charset="0"/>
              <a:cs typeface="Times New Roman" pitchFamily="18" charset="0"/>
            </a:rPr>
            <a:t>     KNIF</a:t>
          </a:r>
          <a:r>
            <a:rPr lang="en-US" sz="1050" b="0" i="0" strike="noStrike" baseline="0">
              <a:solidFill>
                <a:srgbClr val="000000"/>
              </a:solidFill>
              <a:latin typeface="Times New Roman" pitchFamily="18" charset="0"/>
              <a:cs typeface="Times New Roman" pitchFamily="18" charset="0"/>
            </a:rPr>
            <a:t> Trygghet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Landbruksforsikring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Møretrygd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NEMI</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Nordea Liv</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OBOS Skadeforsikring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Protector Forsikring</a:t>
          </a:r>
        </a:p>
        <a:p>
          <a:pPr algn="l" rtl="0">
            <a:defRPr sz="1000"/>
          </a:pPr>
          <a:r>
            <a:rPr lang="en-US" sz="1050" b="0" i="0" strike="noStrike">
              <a:solidFill>
                <a:srgbClr val="000000"/>
              </a:solidFill>
              <a:latin typeface="Times New Roman" pitchFamily="18" charset="0"/>
              <a:cs typeface="Times New Roman" pitchFamily="18" charset="0"/>
            </a:rPr>
            <a:t>     Skogbrand</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SpareBank 1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Storebrand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Telenor Forsikring</a:t>
          </a:r>
        </a:p>
        <a:p>
          <a:pPr algn="l" rtl="0">
            <a:defRPr sz="1000"/>
          </a:pPr>
          <a:r>
            <a:rPr lang="en-US" sz="1050" b="0" i="0" strike="noStrike">
              <a:solidFill>
                <a:srgbClr val="000000"/>
              </a:solidFill>
              <a:latin typeface="Times New Roman" pitchFamily="18" charset="0"/>
              <a:cs typeface="Times New Roman" pitchFamily="18" charset="0"/>
            </a:rPr>
            <a:t>     Troll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Tryg</a:t>
          </a:r>
        </a:p>
        <a:p>
          <a:pPr algn="l" rtl="0">
            <a:defRPr sz="1000"/>
          </a:pPr>
          <a:r>
            <a:rPr lang="en-US" sz="1050" b="0" i="0" strike="noStrike">
              <a:solidFill>
                <a:srgbClr val="000000"/>
              </a:solidFill>
              <a:latin typeface="Times New Roman" pitchFamily="18" charset="0"/>
              <a:cs typeface="Times New Roman" pitchFamily="18" charset="0"/>
            </a:rPr>
            <a:t>     Vardia</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352425</xdr:colOff>
      <xdr:row>4</xdr:row>
      <xdr:rowOff>96537</xdr:rowOff>
    </xdr:from>
    <xdr:to>
      <xdr:col>7</xdr:col>
      <xdr:colOff>0</xdr:colOff>
      <xdr:row>50</xdr:row>
      <xdr:rowOff>142874</xdr:rowOff>
    </xdr:to>
    <xdr:sp macro="" textlink="">
      <xdr:nvSpPr>
        <xdr:cNvPr id="6146" name="Text Box 2"/>
        <xdr:cNvSpPr txBox="1">
          <a:spLocks noChangeArrowheads="1"/>
        </xdr:cNvSpPr>
      </xdr:nvSpPr>
      <xdr:spPr bwMode="auto">
        <a:xfrm>
          <a:off x="2876550" y="601362"/>
          <a:ext cx="2647950" cy="92474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752475</xdr:colOff>
      <xdr:row>4</xdr:row>
      <xdr:rowOff>66675</xdr:rowOff>
    </xdr:from>
    <xdr:to>
      <xdr:col>14</xdr:col>
      <xdr:colOff>257175</xdr:colOff>
      <xdr:row>50</xdr:row>
      <xdr:rowOff>133350</xdr:rowOff>
    </xdr:to>
    <xdr:sp macro="" textlink="">
      <xdr:nvSpPr>
        <xdr:cNvPr id="6152" name="Text Box 8"/>
        <xdr:cNvSpPr txBox="1">
          <a:spLocks noChangeArrowheads="1"/>
        </xdr:cNvSpPr>
      </xdr:nvSpPr>
      <xdr:spPr bwMode="auto">
        <a:xfrm>
          <a:off x="8562975" y="571500"/>
          <a:ext cx="2552700" cy="92678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vartalstatistikkene/Premiestatistikk/Rapport/premiestatistikk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kadestatistikken_2016q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Tab19"/>
      <sheetName val="Tab20"/>
      <sheetName val="Tab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J57"/>
  <sheetViews>
    <sheetView showGridLines="0" showRowColHeaders="0" zoomScale="50" zoomScaleNormal="50" zoomScaleSheetLayoutView="100" workbookViewId="0"/>
  </sheetViews>
  <sheetFormatPr defaultColWidth="11.44140625" defaultRowHeight="13.2" x14ac:dyDescent="0.25"/>
  <cols>
    <col min="1" max="1" width="16.33203125" style="129" customWidth="1"/>
    <col min="2" max="4" width="11.44140625" style="129"/>
    <col min="5" max="5" width="14.109375" style="129" bestFit="1" customWidth="1"/>
    <col min="6" max="7" width="11.44140625" style="129"/>
    <col min="8" max="8" width="13.44140625" style="129" customWidth="1"/>
    <col min="9" max="9" width="11.44140625" style="129"/>
    <col min="10" max="10" width="13.44140625" style="129" bestFit="1" customWidth="1"/>
    <col min="11" max="256" width="11.44140625" style="129"/>
    <col min="257" max="257" width="16.33203125" style="129" customWidth="1"/>
    <col min="258" max="260" width="11.44140625" style="129"/>
    <col min="261" max="261" width="14.109375" style="129" bestFit="1" customWidth="1"/>
    <col min="262" max="263" width="11.44140625" style="129"/>
    <col min="264" max="264" width="13.44140625" style="129" customWidth="1"/>
    <col min="265" max="265" width="11.44140625" style="129"/>
    <col min="266" max="266" width="13.44140625" style="129" bestFit="1" customWidth="1"/>
    <col min="267" max="512" width="11.44140625" style="129"/>
    <col min="513" max="513" width="16.33203125" style="129" customWidth="1"/>
    <col min="514" max="516" width="11.44140625" style="129"/>
    <col min="517" max="517" width="14.109375" style="129" bestFit="1" customWidth="1"/>
    <col min="518" max="519" width="11.44140625" style="129"/>
    <col min="520" max="520" width="13.44140625" style="129" customWidth="1"/>
    <col min="521" max="521" width="11.44140625" style="129"/>
    <col min="522" max="522" width="13.44140625" style="129" bestFit="1" customWidth="1"/>
    <col min="523" max="768" width="11.44140625" style="129"/>
    <col min="769" max="769" width="16.33203125" style="129" customWidth="1"/>
    <col min="770" max="772" width="11.44140625" style="129"/>
    <col min="773" max="773" width="14.109375" style="129" bestFit="1" customWidth="1"/>
    <col min="774" max="775" width="11.44140625" style="129"/>
    <col min="776" max="776" width="13.44140625" style="129" customWidth="1"/>
    <col min="777" max="777" width="11.44140625" style="129"/>
    <col min="778" max="778" width="13.44140625" style="129" bestFit="1" customWidth="1"/>
    <col min="779" max="1024" width="11.44140625" style="129"/>
    <col min="1025" max="1025" width="16.33203125" style="129" customWidth="1"/>
    <col min="1026" max="1028" width="11.44140625" style="129"/>
    <col min="1029" max="1029" width="14.109375" style="129" bestFit="1" customWidth="1"/>
    <col min="1030" max="1031" width="11.44140625" style="129"/>
    <col min="1032" max="1032" width="13.44140625" style="129" customWidth="1"/>
    <col min="1033" max="1033" width="11.44140625" style="129"/>
    <col min="1034" max="1034" width="13.44140625" style="129" bestFit="1" customWidth="1"/>
    <col min="1035" max="1280" width="11.44140625" style="129"/>
    <col min="1281" max="1281" width="16.33203125" style="129" customWidth="1"/>
    <col min="1282" max="1284" width="11.44140625" style="129"/>
    <col min="1285" max="1285" width="14.109375" style="129" bestFit="1" customWidth="1"/>
    <col min="1286" max="1287" width="11.44140625" style="129"/>
    <col min="1288" max="1288" width="13.44140625" style="129" customWidth="1"/>
    <col min="1289" max="1289" width="11.44140625" style="129"/>
    <col min="1290" max="1290" width="13.44140625" style="129" bestFit="1" customWidth="1"/>
    <col min="1291" max="1536" width="11.44140625" style="129"/>
    <col min="1537" max="1537" width="16.33203125" style="129" customWidth="1"/>
    <col min="1538" max="1540" width="11.44140625" style="129"/>
    <col min="1541" max="1541" width="14.109375" style="129" bestFit="1" customWidth="1"/>
    <col min="1542" max="1543" width="11.44140625" style="129"/>
    <col min="1544" max="1544" width="13.44140625" style="129" customWidth="1"/>
    <col min="1545" max="1545" width="11.44140625" style="129"/>
    <col min="1546" max="1546" width="13.44140625" style="129" bestFit="1" customWidth="1"/>
    <col min="1547" max="1792" width="11.44140625" style="129"/>
    <col min="1793" max="1793" width="16.33203125" style="129" customWidth="1"/>
    <col min="1794" max="1796" width="11.44140625" style="129"/>
    <col min="1797" max="1797" width="14.109375" style="129" bestFit="1" customWidth="1"/>
    <col min="1798" max="1799" width="11.44140625" style="129"/>
    <col min="1800" max="1800" width="13.44140625" style="129" customWidth="1"/>
    <col min="1801" max="1801" width="11.44140625" style="129"/>
    <col min="1802" max="1802" width="13.44140625" style="129" bestFit="1" customWidth="1"/>
    <col min="1803" max="2048" width="11.44140625" style="129"/>
    <col min="2049" max="2049" width="16.33203125" style="129" customWidth="1"/>
    <col min="2050" max="2052" width="11.44140625" style="129"/>
    <col min="2053" max="2053" width="14.109375" style="129" bestFit="1" customWidth="1"/>
    <col min="2054" max="2055" width="11.44140625" style="129"/>
    <col min="2056" max="2056" width="13.44140625" style="129" customWidth="1"/>
    <col min="2057" max="2057" width="11.44140625" style="129"/>
    <col min="2058" max="2058" width="13.44140625" style="129" bestFit="1" customWidth="1"/>
    <col min="2059" max="2304" width="11.44140625" style="129"/>
    <col min="2305" max="2305" width="16.33203125" style="129" customWidth="1"/>
    <col min="2306" max="2308" width="11.44140625" style="129"/>
    <col min="2309" max="2309" width="14.109375" style="129" bestFit="1" customWidth="1"/>
    <col min="2310" max="2311" width="11.44140625" style="129"/>
    <col min="2312" max="2312" width="13.44140625" style="129" customWidth="1"/>
    <col min="2313" max="2313" width="11.44140625" style="129"/>
    <col min="2314" max="2314" width="13.44140625" style="129" bestFit="1" customWidth="1"/>
    <col min="2315" max="2560" width="11.44140625" style="129"/>
    <col min="2561" max="2561" width="16.33203125" style="129" customWidth="1"/>
    <col min="2562" max="2564" width="11.44140625" style="129"/>
    <col min="2565" max="2565" width="14.109375" style="129" bestFit="1" customWidth="1"/>
    <col min="2566" max="2567" width="11.44140625" style="129"/>
    <col min="2568" max="2568" width="13.44140625" style="129" customWidth="1"/>
    <col min="2569" max="2569" width="11.44140625" style="129"/>
    <col min="2570" max="2570" width="13.44140625" style="129" bestFit="1" customWidth="1"/>
    <col min="2571" max="2816" width="11.44140625" style="129"/>
    <col min="2817" max="2817" width="16.33203125" style="129" customWidth="1"/>
    <col min="2818" max="2820" width="11.44140625" style="129"/>
    <col min="2821" max="2821" width="14.109375" style="129" bestFit="1" customWidth="1"/>
    <col min="2822" max="2823" width="11.44140625" style="129"/>
    <col min="2824" max="2824" width="13.44140625" style="129" customWidth="1"/>
    <col min="2825" max="2825" width="11.44140625" style="129"/>
    <col min="2826" max="2826" width="13.44140625" style="129" bestFit="1" customWidth="1"/>
    <col min="2827" max="3072" width="11.44140625" style="129"/>
    <col min="3073" max="3073" width="16.33203125" style="129" customWidth="1"/>
    <col min="3074" max="3076" width="11.44140625" style="129"/>
    <col min="3077" max="3077" width="14.109375" style="129" bestFit="1" customWidth="1"/>
    <col min="3078" max="3079" width="11.44140625" style="129"/>
    <col min="3080" max="3080" width="13.44140625" style="129" customWidth="1"/>
    <col min="3081" max="3081" width="11.44140625" style="129"/>
    <col min="3082" max="3082" width="13.44140625" style="129" bestFit="1" customWidth="1"/>
    <col min="3083" max="3328" width="11.44140625" style="129"/>
    <col min="3329" max="3329" width="16.33203125" style="129" customWidth="1"/>
    <col min="3330" max="3332" width="11.44140625" style="129"/>
    <col min="3333" max="3333" width="14.109375" style="129" bestFit="1" customWidth="1"/>
    <col min="3334" max="3335" width="11.44140625" style="129"/>
    <col min="3336" max="3336" width="13.44140625" style="129" customWidth="1"/>
    <col min="3337" max="3337" width="11.44140625" style="129"/>
    <col min="3338" max="3338" width="13.44140625" style="129" bestFit="1" customWidth="1"/>
    <col min="3339" max="3584" width="11.44140625" style="129"/>
    <col min="3585" max="3585" width="16.33203125" style="129" customWidth="1"/>
    <col min="3586" max="3588" width="11.44140625" style="129"/>
    <col min="3589" max="3589" width="14.109375" style="129" bestFit="1" customWidth="1"/>
    <col min="3590" max="3591" width="11.44140625" style="129"/>
    <col min="3592" max="3592" width="13.44140625" style="129" customWidth="1"/>
    <col min="3593" max="3593" width="11.44140625" style="129"/>
    <col min="3594" max="3594" width="13.44140625" style="129" bestFit="1" customWidth="1"/>
    <col min="3595" max="3840" width="11.44140625" style="129"/>
    <col min="3841" max="3841" width="16.33203125" style="129" customWidth="1"/>
    <col min="3842" max="3844" width="11.44140625" style="129"/>
    <col min="3845" max="3845" width="14.109375" style="129" bestFit="1" customWidth="1"/>
    <col min="3846" max="3847" width="11.44140625" style="129"/>
    <col min="3848" max="3848" width="13.44140625" style="129" customWidth="1"/>
    <col min="3849" max="3849" width="11.44140625" style="129"/>
    <col min="3850" max="3850" width="13.44140625" style="129" bestFit="1" customWidth="1"/>
    <col min="3851" max="4096" width="11.44140625" style="129"/>
    <col min="4097" max="4097" width="16.33203125" style="129" customWidth="1"/>
    <col min="4098" max="4100" width="11.44140625" style="129"/>
    <col min="4101" max="4101" width="14.109375" style="129" bestFit="1" customWidth="1"/>
    <col min="4102" max="4103" width="11.44140625" style="129"/>
    <col min="4104" max="4104" width="13.44140625" style="129" customWidth="1"/>
    <col min="4105" max="4105" width="11.44140625" style="129"/>
    <col min="4106" max="4106" width="13.44140625" style="129" bestFit="1" customWidth="1"/>
    <col min="4107" max="4352" width="11.44140625" style="129"/>
    <col min="4353" max="4353" width="16.33203125" style="129" customWidth="1"/>
    <col min="4354" max="4356" width="11.44140625" style="129"/>
    <col min="4357" max="4357" width="14.109375" style="129" bestFit="1" customWidth="1"/>
    <col min="4358" max="4359" width="11.44140625" style="129"/>
    <col min="4360" max="4360" width="13.44140625" style="129" customWidth="1"/>
    <col min="4361" max="4361" width="11.44140625" style="129"/>
    <col min="4362" max="4362" width="13.44140625" style="129" bestFit="1" customWidth="1"/>
    <col min="4363" max="4608" width="11.44140625" style="129"/>
    <col min="4609" max="4609" width="16.33203125" style="129" customWidth="1"/>
    <col min="4610" max="4612" width="11.44140625" style="129"/>
    <col min="4613" max="4613" width="14.109375" style="129" bestFit="1" customWidth="1"/>
    <col min="4614" max="4615" width="11.44140625" style="129"/>
    <col min="4616" max="4616" width="13.44140625" style="129" customWidth="1"/>
    <col min="4617" max="4617" width="11.44140625" style="129"/>
    <col min="4618" max="4618" width="13.44140625" style="129" bestFit="1" customWidth="1"/>
    <col min="4619" max="4864" width="11.44140625" style="129"/>
    <col min="4865" max="4865" width="16.33203125" style="129" customWidth="1"/>
    <col min="4866" max="4868" width="11.44140625" style="129"/>
    <col min="4869" max="4869" width="14.109375" style="129" bestFit="1" customWidth="1"/>
    <col min="4870" max="4871" width="11.44140625" style="129"/>
    <col min="4872" max="4872" width="13.44140625" style="129" customWidth="1"/>
    <col min="4873" max="4873" width="11.44140625" style="129"/>
    <col min="4874" max="4874" width="13.44140625" style="129" bestFit="1" customWidth="1"/>
    <col min="4875" max="5120" width="11.44140625" style="129"/>
    <col min="5121" max="5121" width="16.33203125" style="129" customWidth="1"/>
    <col min="5122" max="5124" width="11.44140625" style="129"/>
    <col min="5125" max="5125" width="14.109375" style="129" bestFit="1" customWidth="1"/>
    <col min="5126" max="5127" width="11.44140625" style="129"/>
    <col min="5128" max="5128" width="13.44140625" style="129" customWidth="1"/>
    <col min="5129" max="5129" width="11.44140625" style="129"/>
    <col min="5130" max="5130" width="13.44140625" style="129" bestFit="1" customWidth="1"/>
    <col min="5131" max="5376" width="11.44140625" style="129"/>
    <col min="5377" max="5377" width="16.33203125" style="129" customWidth="1"/>
    <col min="5378" max="5380" width="11.44140625" style="129"/>
    <col min="5381" max="5381" width="14.109375" style="129" bestFit="1" customWidth="1"/>
    <col min="5382" max="5383" width="11.44140625" style="129"/>
    <col min="5384" max="5384" width="13.44140625" style="129" customWidth="1"/>
    <col min="5385" max="5385" width="11.44140625" style="129"/>
    <col min="5386" max="5386" width="13.44140625" style="129" bestFit="1" customWidth="1"/>
    <col min="5387" max="5632" width="11.44140625" style="129"/>
    <col min="5633" max="5633" width="16.33203125" style="129" customWidth="1"/>
    <col min="5634" max="5636" width="11.44140625" style="129"/>
    <col min="5637" max="5637" width="14.109375" style="129" bestFit="1" customWidth="1"/>
    <col min="5638" max="5639" width="11.44140625" style="129"/>
    <col min="5640" max="5640" width="13.44140625" style="129" customWidth="1"/>
    <col min="5641" max="5641" width="11.44140625" style="129"/>
    <col min="5642" max="5642" width="13.44140625" style="129" bestFit="1" customWidth="1"/>
    <col min="5643" max="5888" width="11.44140625" style="129"/>
    <col min="5889" max="5889" width="16.33203125" style="129" customWidth="1"/>
    <col min="5890" max="5892" width="11.44140625" style="129"/>
    <col min="5893" max="5893" width="14.109375" style="129" bestFit="1" customWidth="1"/>
    <col min="5894" max="5895" width="11.44140625" style="129"/>
    <col min="5896" max="5896" width="13.44140625" style="129" customWidth="1"/>
    <col min="5897" max="5897" width="11.44140625" style="129"/>
    <col min="5898" max="5898" width="13.44140625" style="129" bestFit="1" customWidth="1"/>
    <col min="5899" max="6144" width="11.44140625" style="129"/>
    <col min="6145" max="6145" width="16.33203125" style="129" customWidth="1"/>
    <col min="6146" max="6148" width="11.44140625" style="129"/>
    <col min="6149" max="6149" width="14.109375" style="129" bestFit="1" customWidth="1"/>
    <col min="6150" max="6151" width="11.44140625" style="129"/>
    <col min="6152" max="6152" width="13.44140625" style="129" customWidth="1"/>
    <col min="6153" max="6153" width="11.44140625" style="129"/>
    <col min="6154" max="6154" width="13.44140625" style="129" bestFit="1" customWidth="1"/>
    <col min="6155" max="6400" width="11.44140625" style="129"/>
    <col min="6401" max="6401" width="16.33203125" style="129" customWidth="1"/>
    <col min="6402" max="6404" width="11.44140625" style="129"/>
    <col min="6405" max="6405" width="14.109375" style="129" bestFit="1" customWidth="1"/>
    <col min="6406" max="6407" width="11.44140625" style="129"/>
    <col min="6408" max="6408" width="13.44140625" style="129" customWidth="1"/>
    <col min="6409" max="6409" width="11.44140625" style="129"/>
    <col min="6410" max="6410" width="13.44140625" style="129" bestFit="1" customWidth="1"/>
    <col min="6411" max="6656" width="11.44140625" style="129"/>
    <col min="6657" max="6657" width="16.33203125" style="129" customWidth="1"/>
    <col min="6658" max="6660" width="11.44140625" style="129"/>
    <col min="6661" max="6661" width="14.109375" style="129" bestFit="1" customWidth="1"/>
    <col min="6662" max="6663" width="11.44140625" style="129"/>
    <col min="6664" max="6664" width="13.44140625" style="129" customWidth="1"/>
    <col min="6665" max="6665" width="11.44140625" style="129"/>
    <col min="6666" max="6666" width="13.44140625" style="129" bestFit="1" customWidth="1"/>
    <col min="6667" max="6912" width="11.44140625" style="129"/>
    <col min="6913" max="6913" width="16.33203125" style="129" customWidth="1"/>
    <col min="6914" max="6916" width="11.44140625" style="129"/>
    <col min="6917" max="6917" width="14.109375" style="129" bestFit="1" customWidth="1"/>
    <col min="6918" max="6919" width="11.44140625" style="129"/>
    <col min="6920" max="6920" width="13.44140625" style="129" customWidth="1"/>
    <col min="6921" max="6921" width="11.44140625" style="129"/>
    <col min="6922" max="6922" width="13.44140625" style="129" bestFit="1" customWidth="1"/>
    <col min="6923" max="7168" width="11.44140625" style="129"/>
    <col min="7169" max="7169" width="16.33203125" style="129" customWidth="1"/>
    <col min="7170" max="7172" width="11.44140625" style="129"/>
    <col min="7173" max="7173" width="14.109375" style="129" bestFit="1" customWidth="1"/>
    <col min="7174" max="7175" width="11.44140625" style="129"/>
    <col min="7176" max="7176" width="13.44140625" style="129" customWidth="1"/>
    <col min="7177" max="7177" width="11.44140625" style="129"/>
    <col min="7178" max="7178" width="13.44140625" style="129" bestFit="1" customWidth="1"/>
    <col min="7179" max="7424" width="11.44140625" style="129"/>
    <col min="7425" max="7425" width="16.33203125" style="129" customWidth="1"/>
    <col min="7426" max="7428" width="11.44140625" style="129"/>
    <col min="7429" max="7429" width="14.109375" style="129" bestFit="1" customWidth="1"/>
    <col min="7430" max="7431" width="11.44140625" style="129"/>
    <col min="7432" max="7432" width="13.44140625" style="129" customWidth="1"/>
    <col min="7433" max="7433" width="11.44140625" style="129"/>
    <col min="7434" max="7434" width="13.44140625" style="129" bestFit="1" customWidth="1"/>
    <col min="7435" max="7680" width="11.44140625" style="129"/>
    <col min="7681" max="7681" width="16.33203125" style="129" customWidth="1"/>
    <col min="7682" max="7684" width="11.44140625" style="129"/>
    <col min="7685" max="7685" width="14.109375" style="129" bestFit="1" customWidth="1"/>
    <col min="7686" max="7687" width="11.44140625" style="129"/>
    <col min="7688" max="7688" width="13.44140625" style="129" customWidth="1"/>
    <col min="7689" max="7689" width="11.44140625" style="129"/>
    <col min="7690" max="7690" width="13.44140625" style="129" bestFit="1" customWidth="1"/>
    <col min="7691" max="7936" width="11.44140625" style="129"/>
    <col min="7937" max="7937" width="16.33203125" style="129" customWidth="1"/>
    <col min="7938" max="7940" width="11.44140625" style="129"/>
    <col min="7941" max="7941" width="14.109375" style="129" bestFit="1" customWidth="1"/>
    <col min="7942" max="7943" width="11.44140625" style="129"/>
    <col min="7944" max="7944" width="13.44140625" style="129" customWidth="1"/>
    <col min="7945" max="7945" width="11.44140625" style="129"/>
    <col min="7946" max="7946" width="13.44140625" style="129" bestFit="1" customWidth="1"/>
    <col min="7947" max="8192" width="11.44140625" style="129"/>
    <col min="8193" max="8193" width="16.33203125" style="129" customWidth="1"/>
    <col min="8194" max="8196" width="11.44140625" style="129"/>
    <col min="8197" max="8197" width="14.109375" style="129" bestFit="1" customWidth="1"/>
    <col min="8198" max="8199" width="11.44140625" style="129"/>
    <col min="8200" max="8200" width="13.44140625" style="129" customWidth="1"/>
    <col min="8201" max="8201" width="11.44140625" style="129"/>
    <col min="8202" max="8202" width="13.44140625" style="129" bestFit="1" customWidth="1"/>
    <col min="8203" max="8448" width="11.44140625" style="129"/>
    <col min="8449" max="8449" width="16.33203125" style="129" customWidth="1"/>
    <col min="8450" max="8452" width="11.44140625" style="129"/>
    <col min="8453" max="8453" width="14.109375" style="129" bestFit="1" customWidth="1"/>
    <col min="8454" max="8455" width="11.44140625" style="129"/>
    <col min="8456" max="8456" width="13.44140625" style="129" customWidth="1"/>
    <col min="8457" max="8457" width="11.44140625" style="129"/>
    <col min="8458" max="8458" width="13.44140625" style="129" bestFit="1" customWidth="1"/>
    <col min="8459" max="8704" width="11.44140625" style="129"/>
    <col min="8705" max="8705" width="16.33203125" style="129" customWidth="1"/>
    <col min="8706" max="8708" width="11.44140625" style="129"/>
    <col min="8709" max="8709" width="14.109375" style="129" bestFit="1" customWidth="1"/>
    <col min="8710" max="8711" width="11.44140625" style="129"/>
    <col min="8712" max="8712" width="13.44140625" style="129" customWidth="1"/>
    <col min="8713" max="8713" width="11.44140625" style="129"/>
    <col min="8714" max="8714" width="13.44140625" style="129" bestFit="1" customWidth="1"/>
    <col min="8715" max="8960" width="11.44140625" style="129"/>
    <col min="8961" max="8961" width="16.33203125" style="129" customWidth="1"/>
    <col min="8962" max="8964" width="11.44140625" style="129"/>
    <col min="8965" max="8965" width="14.109375" style="129" bestFit="1" customWidth="1"/>
    <col min="8966" max="8967" width="11.44140625" style="129"/>
    <col min="8968" max="8968" width="13.44140625" style="129" customWidth="1"/>
    <col min="8969" max="8969" width="11.44140625" style="129"/>
    <col min="8970" max="8970" width="13.44140625" style="129" bestFit="1" customWidth="1"/>
    <col min="8971" max="9216" width="11.44140625" style="129"/>
    <col min="9217" max="9217" width="16.33203125" style="129" customWidth="1"/>
    <col min="9218" max="9220" width="11.44140625" style="129"/>
    <col min="9221" max="9221" width="14.109375" style="129" bestFit="1" customWidth="1"/>
    <col min="9222" max="9223" width="11.44140625" style="129"/>
    <col min="9224" max="9224" width="13.44140625" style="129" customWidth="1"/>
    <col min="9225" max="9225" width="11.44140625" style="129"/>
    <col min="9226" max="9226" width="13.44140625" style="129" bestFit="1" customWidth="1"/>
    <col min="9227" max="9472" width="11.44140625" style="129"/>
    <col min="9473" max="9473" width="16.33203125" style="129" customWidth="1"/>
    <col min="9474" max="9476" width="11.44140625" style="129"/>
    <col min="9477" max="9477" width="14.109375" style="129" bestFit="1" customWidth="1"/>
    <col min="9478" max="9479" width="11.44140625" style="129"/>
    <col min="9480" max="9480" width="13.44140625" style="129" customWidth="1"/>
    <col min="9481" max="9481" width="11.44140625" style="129"/>
    <col min="9482" max="9482" width="13.44140625" style="129" bestFit="1" customWidth="1"/>
    <col min="9483" max="9728" width="11.44140625" style="129"/>
    <col min="9729" max="9729" width="16.33203125" style="129" customWidth="1"/>
    <col min="9730" max="9732" width="11.44140625" style="129"/>
    <col min="9733" max="9733" width="14.109375" style="129" bestFit="1" customWidth="1"/>
    <col min="9734" max="9735" width="11.44140625" style="129"/>
    <col min="9736" max="9736" width="13.44140625" style="129" customWidth="1"/>
    <col min="9737" max="9737" width="11.44140625" style="129"/>
    <col min="9738" max="9738" width="13.44140625" style="129" bestFit="1" customWidth="1"/>
    <col min="9739" max="9984" width="11.44140625" style="129"/>
    <col min="9985" max="9985" width="16.33203125" style="129" customWidth="1"/>
    <col min="9986" max="9988" width="11.44140625" style="129"/>
    <col min="9989" max="9989" width="14.109375" style="129" bestFit="1" customWidth="1"/>
    <col min="9990" max="9991" width="11.44140625" style="129"/>
    <col min="9992" max="9992" width="13.44140625" style="129" customWidth="1"/>
    <col min="9993" max="9993" width="11.44140625" style="129"/>
    <col min="9994" max="9994" width="13.44140625" style="129" bestFit="1" customWidth="1"/>
    <col min="9995" max="10240" width="11.44140625" style="129"/>
    <col min="10241" max="10241" width="16.33203125" style="129" customWidth="1"/>
    <col min="10242" max="10244" width="11.44140625" style="129"/>
    <col min="10245" max="10245" width="14.109375" style="129" bestFit="1" customWidth="1"/>
    <col min="10246" max="10247" width="11.44140625" style="129"/>
    <col min="10248" max="10248" width="13.44140625" style="129" customWidth="1"/>
    <col min="10249" max="10249" width="11.44140625" style="129"/>
    <col min="10250" max="10250" width="13.44140625" style="129" bestFit="1" customWidth="1"/>
    <col min="10251" max="10496" width="11.44140625" style="129"/>
    <col min="10497" max="10497" width="16.33203125" style="129" customWidth="1"/>
    <col min="10498" max="10500" width="11.44140625" style="129"/>
    <col min="10501" max="10501" width="14.109375" style="129" bestFit="1" customWidth="1"/>
    <col min="10502" max="10503" width="11.44140625" style="129"/>
    <col min="10504" max="10504" width="13.44140625" style="129" customWidth="1"/>
    <col min="10505" max="10505" width="11.44140625" style="129"/>
    <col min="10506" max="10506" width="13.44140625" style="129" bestFit="1" customWidth="1"/>
    <col min="10507" max="10752" width="11.44140625" style="129"/>
    <col min="10753" max="10753" width="16.33203125" style="129" customWidth="1"/>
    <col min="10754" max="10756" width="11.44140625" style="129"/>
    <col min="10757" max="10757" width="14.109375" style="129" bestFit="1" customWidth="1"/>
    <col min="10758" max="10759" width="11.44140625" style="129"/>
    <col min="10760" max="10760" width="13.44140625" style="129" customWidth="1"/>
    <col min="10761" max="10761" width="11.44140625" style="129"/>
    <col min="10762" max="10762" width="13.44140625" style="129" bestFit="1" customWidth="1"/>
    <col min="10763" max="11008" width="11.44140625" style="129"/>
    <col min="11009" max="11009" width="16.33203125" style="129" customWidth="1"/>
    <col min="11010" max="11012" width="11.44140625" style="129"/>
    <col min="11013" max="11013" width="14.109375" style="129" bestFit="1" customWidth="1"/>
    <col min="11014" max="11015" width="11.44140625" style="129"/>
    <col min="11016" max="11016" width="13.44140625" style="129" customWidth="1"/>
    <col min="11017" max="11017" width="11.44140625" style="129"/>
    <col min="11018" max="11018" width="13.44140625" style="129" bestFit="1" customWidth="1"/>
    <col min="11019" max="11264" width="11.44140625" style="129"/>
    <col min="11265" max="11265" width="16.33203125" style="129" customWidth="1"/>
    <col min="11266" max="11268" width="11.44140625" style="129"/>
    <col min="11269" max="11269" width="14.109375" style="129" bestFit="1" customWidth="1"/>
    <col min="11270" max="11271" width="11.44140625" style="129"/>
    <col min="11272" max="11272" width="13.44140625" style="129" customWidth="1"/>
    <col min="11273" max="11273" width="11.44140625" style="129"/>
    <col min="11274" max="11274" width="13.44140625" style="129" bestFit="1" customWidth="1"/>
    <col min="11275" max="11520" width="11.44140625" style="129"/>
    <col min="11521" max="11521" width="16.33203125" style="129" customWidth="1"/>
    <col min="11522" max="11524" width="11.44140625" style="129"/>
    <col min="11525" max="11525" width="14.109375" style="129" bestFit="1" customWidth="1"/>
    <col min="11526" max="11527" width="11.44140625" style="129"/>
    <col min="11528" max="11528" width="13.44140625" style="129" customWidth="1"/>
    <col min="11529" max="11529" width="11.44140625" style="129"/>
    <col min="11530" max="11530" width="13.44140625" style="129" bestFit="1" customWidth="1"/>
    <col min="11531" max="11776" width="11.44140625" style="129"/>
    <col min="11777" max="11777" width="16.33203125" style="129" customWidth="1"/>
    <col min="11778" max="11780" width="11.44140625" style="129"/>
    <col min="11781" max="11781" width="14.109375" style="129" bestFit="1" customWidth="1"/>
    <col min="11782" max="11783" width="11.44140625" style="129"/>
    <col min="11784" max="11784" width="13.44140625" style="129" customWidth="1"/>
    <col min="11785" max="11785" width="11.44140625" style="129"/>
    <col min="11786" max="11786" width="13.44140625" style="129" bestFit="1" customWidth="1"/>
    <col min="11787" max="12032" width="11.44140625" style="129"/>
    <col min="12033" max="12033" width="16.33203125" style="129" customWidth="1"/>
    <col min="12034" max="12036" width="11.44140625" style="129"/>
    <col min="12037" max="12037" width="14.109375" style="129" bestFit="1" customWidth="1"/>
    <col min="12038" max="12039" width="11.44140625" style="129"/>
    <col min="12040" max="12040" width="13.44140625" style="129" customWidth="1"/>
    <col min="12041" max="12041" width="11.44140625" style="129"/>
    <col min="12042" max="12042" width="13.44140625" style="129" bestFit="1" customWidth="1"/>
    <col min="12043" max="12288" width="11.44140625" style="129"/>
    <col min="12289" max="12289" width="16.33203125" style="129" customWidth="1"/>
    <col min="12290" max="12292" width="11.44140625" style="129"/>
    <col min="12293" max="12293" width="14.109375" style="129" bestFit="1" customWidth="1"/>
    <col min="12294" max="12295" width="11.44140625" style="129"/>
    <col min="12296" max="12296" width="13.44140625" style="129" customWidth="1"/>
    <col min="12297" max="12297" width="11.44140625" style="129"/>
    <col min="12298" max="12298" width="13.44140625" style="129" bestFit="1" customWidth="1"/>
    <col min="12299" max="12544" width="11.44140625" style="129"/>
    <col min="12545" max="12545" width="16.33203125" style="129" customWidth="1"/>
    <col min="12546" max="12548" width="11.44140625" style="129"/>
    <col min="12549" max="12549" width="14.109375" style="129" bestFit="1" customWidth="1"/>
    <col min="12550" max="12551" width="11.44140625" style="129"/>
    <col min="12552" max="12552" width="13.44140625" style="129" customWidth="1"/>
    <col min="12553" max="12553" width="11.44140625" style="129"/>
    <col min="12554" max="12554" width="13.44140625" style="129" bestFit="1" customWidth="1"/>
    <col min="12555" max="12800" width="11.44140625" style="129"/>
    <col min="12801" max="12801" width="16.33203125" style="129" customWidth="1"/>
    <col min="12802" max="12804" width="11.44140625" style="129"/>
    <col min="12805" max="12805" width="14.109375" style="129" bestFit="1" customWidth="1"/>
    <col min="12806" max="12807" width="11.44140625" style="129"/>
    <col min="12808" max="12808" width="13.44140625" style="129" customWidth="1"/>
    <col min="12809" max="12809" width="11.44140625" style="129"/>
    <col min="12810" max="12810" width="13.44140625" style="129" bestFit="1" customWidth="1"/>
    <col min="12811" max="13056" width="11.44140625" style="129"/>
    <col min="13057" max="13057" width="16.33203125" style="129" customWidth="1"/>
    <col min="13058" max="13060" width="11.44140625" style="129"/>
    <col min="13061" max="13061" width="14.109375" style="129" bestFit="1" customWidth="1"/>
    <col min="13062" max="13063" width="11.44140625" style="129"/>
    <col min="13064" max="13064" width="13.44140625" style="129" customWidth="1"/>
    <col min="13065" max="13065" width="11.44140625" style="129"/>
    <col min="13066" max="13066" width="13.44140625" style="129" bestFit="1" customWidth="1"/>
    <col min="13067" max="13312" width="11.44140625" style="129"/>
    <col min="13313" max="13313" width="16.33203125" style="129" customWidth="1"/>
    <col min="13314" max="13316" width="11.44140625" style="129"/>
    <col min="13317" max="13317" width="14.109375" style="129" bestFit="1" customWidth="1"/>
    <col min="13318" max="13319" width="11.44140625" style="129"/>
    <col min="13320" max="13320" width="13.44140625" style="129" customWidth="1"/>
    <col min="13321" max="13321" width="11.44140625" style="129"/>
    <col min="13322" max="13322" width="13.44140625" style="129" bestFit="1" customWidth="1"/>
    <col min="13323" max="13568" width="11.44140625" style="129"/>
    <col min="13569" max="13569" width="16.33203125" style="129" customWidth="1"/>
    <col min="13570" max="13572" width="11.44140625" style="129"/>
    <col min="13573" max="13573" width="14.109375" style="129" bestFit="1" customWidth="1"/>
    <col min="13574" max="13575" width="11.44140625" style="129"/>
    <col min="13576" max="13576" width="13.44140625" style="129" customWidth="1"/>
    <col min="13577" max="13577" width="11.44140625" style="129"/>
    <col min="13578" max="13578" width="13.44140625" style="129" bestFit="1" customWidth="1"/>
    <col min="13579" max="13824" width="11.44140625" style="129"/>
    <col min="13825" max="13825" width="16.33203125" style="129" customWidth="1"/>
    <col min="13826" max="13828" width="11.44140625" style="129"/>
    <col min="13829" max="13829" width="14.109375" style="129" bestFit="1" customWidth="1"/>
    <col min="13830" max="13831" width="11.44140625" style="129"/>
    <col min="13832" max="13832" width="13.44140625" style="129" customWidth="1"/>
    <col min="13833" max="13833" width="11.44140625" style="129"/>
    <col min="13834" max="13834" width="13.44140625" style="129" bestFit="1" customWidth="1"/>
    <col min="13835" max="14080" width="11.44140625" style="129"/>
    <col min="14081" max="14081" width="16.33203125" style="129" customWidth="1"/>
    <col min="14082" max="14084" width="11.44140625" style="129"/>
    <col min="14085" max="14085" width="14.109375" style="129" bestFit="1" customWidth="1"/>
    <col min="14086" max="14087" width="11.44140625" style="129"/>
    <col min="14088" max="14088" width="13.44140625" style="129" customWidth="1"/>
    <col min="14089" max="14089" width="11.44140625" style="129"/>
    <col min="14090" max="14090" width="13.44140625" style="129" bestFit="1" customWidth="1"/>
    <col min="14091" max="14336" width="11.44140625" style="129"/>
    <col min="14337" max="14337" width="16.33203125" style="129" customWidth="1"/>
    <col min="14338" max="14340" width="11.44140625" style="129"/>
    <col min="14341" max="14341" width="14.109375" style="129" bestFit="1" customWidth="1"/>
    <col min="14342" max="14343" width="11.44140625" style="129"/>
    <col min="14344" max="14344" width="13.44140625" style="129" customWidth="1"/>
    <col min="14345" max="14345" width="11.44140625" style="129"/>
    <col min="14346" max="14346" width="13.44140625" style="129" bestFit="1" customWidth="1"/>
    <col min="14347" max="14592" width="11.44140625" style="129"/>
    <col min="14593" max="14593" width="16.33203125" style="129" customWidth="1"/>
    <col min="14594" max="14596" width="11.44140625" style="129"/>
    <col min="14597" max="14597" width="14.109375" style="129" bestFit="1" customWidth="1"/>
    <col min="14598" max="14599" width="11.44140625" style="129"/>
    <col min="14600" max="14600" width="13.44140625" style="129" customWidth="1"/>
    <col min="14601" max="14601" width="11.44140625" style="129"/>
    <col min="14602" max="14602" width="13.44140625" style="129" bestFit="1" customWidth="1"/>
    <col min="14603" max="14848" width="11.44140625" style="129"/>
    <col min="14849" max="14849" width="16.33203125" style="129" customWidth="1"/>
    <col min="14850" max="14852" width="11.44140625" style="129"/>
    <col min="14853" max="14853" width="14.109375" style="129" bestFit="1" customWidth="1"/>
    <col min="14854" max="14855" width="11.44140625" style="129"/>
    <col min="14856" max="14856" width="13.44140625" style="129" customWidth="1"/>
    <col min="14857" max="14857" width="11.44140625" style="129"/>
    <col min="14858" max="14858" width="13.44140625" style="129" bestFit="1" customWidth="1"/>
    <col min="14859" max="15104" width="11.44140625" style="129"/>
    <col min="15105" max="15105" width="16.33203125" style="129" customWidth="1"/>
    <col min="15106" max="15108" width="11.44140625" style="129"/>
    <col min="15109" max="15109" width="14.109375" style="129" bestFit="1" customWidth="1"/>
    <col min="15110" max="15111" width="11.44140625" style="129"/>
    <col min="15112" max="15112" width="13.44140625" style="129" customWidth="1"/>
    <col min="15113" max="15113" width="11.44140625" style="129"/>
    <col min="15114" max="15114" width="13.44140625" style="129" bestFit="1" customWidth="1"/>
    <col min="15115" max="15360" width="11.44140625" style="129"/>
    <col min="15361" max="15361" width="16.33203125" style="129" customWidth="1"/>
    <col min="15362" max="15364" width="11.44140625" style="129"/>
    <col min="15365" max="15365" width="14.109375" style="129" bestFit="1" customWidth="1"/>
    <col min="15366" max="15367" width="11.44140625" style="129"/>
    <col min="15368" max="15368" width="13.44140625" style="129" customWidth="1"/>
    <col min="15369" max="15369" width="11.44140625" style="129"/>
    <col min="15370" max="15370" width="13.44140625" style="129" bestFit="1" customWidth="1"/>
    <col min="15371" max="15616" width="11.44140625" style="129"/>
    <col min="15617" max="15617" width="16.33203125" style="129" customWidth="1"/>
    <col min="15618" max="15620" width="11.44140625" style="129"/>
    <col min="15621" max="15621" width="14.109375" style="129" bestFit="1" customWidth="1"/>
    <col min="15622" max="15623" width="11.44140625" style="129"/>
    <col min="15624" max="15624" width="13.44140625" style="129" customWidth="1"/>
    <col min="15625" max="15625" width="11.44140625" style="129"/>
    <col min="15626" max="15626" width="13.44140625" style="129" bestFit="1" customWidth="1"/>
    <col min="15627" max="15872" width="11.44140625" style="129"/>
    <col min="15873" max="15873" width="16.33203125" style="129" customWidth="1"/>
    <col min="15874" max="15876" width="11.44140625" style="129"/>
    <col min="15877" max="15877" width="14.109375" style="129" bestFit="1" customWidth="1"/>
    <col min="15878" max="15879" width="11.44140625" style="129"/>
    <col min="15880" max="15880" width="13.44140625" style="129" customWidth="1"/>
    <col min="15881" max="15881" width="11.44140625" style="129"/>
    <col min="15882" max="15882" width="13.44140625" style="129" bestFit="1" customWidth="1"/>
    <col min="15883" max="16128" width="11.44140625" style="129"/>
    <col min="16129" max="16129" width="16.33203125" style="129" customWidth="1"/>
    <col min="16130" max="16132" width="11.44140625" style="129"/>
    <col min="16133" max="16133" width="14.109375" style="129" bestFit="1" customWidth="1"/>
    <col min="16134" max="16135" width="11.44140625" style="129"/>
    <col min="16136" max="16136" width="13.44140625" style="129" customWidth="1"/>
    <col min="16137" max="16137" width="11.44140625" style="129"/>
    <col min="16138" max="16138" width="13.44140625" style="129" bestFit="1" customWidth="1"/>
    <col min="16139" max="16384" width="11.44140625" style="129"/>
  </cols>
  <sheetData>
    <row r="5" spans="2:9" x14ac:dyDescent="0.25">
      <c r="B5" s="128"/>
      <c r="C5" s="128"/>
      <c r="D5" s="128"/>
      <c r="E5" s="128"/>
      <c r="F5" s="128"/>
      <c r="G5" s="128"/>
      <c r="H5" s="128"/>
    </row>
    <row r="6" spans="2:9" ht="22.8" x14ac:dyDescent="0.4">
      <c r="B6" s="130"/>
      <c r="C6" s="128"/>
      <c r="D6" s="128"/>
      <c r="E6" s="128"/>
      <c r="F6" s="128"/>
      <c r="G6" s="128"/>
      <c r="H6" s="128"/>
      <c r="I6" s="131"/>
    </row>
    <row r="7" spans="2:9" x14ac:dyDescent="0.25">
      <c r="B7" s="128"/>
      <c r="C7" s="128"/>
      <c r="D7" s="128"/>
      <c r="E7" s="128"/>
      <c r="F7" s="128"/>
      <c r="G7" s="128"/>
      <c r="H7" s="128"/>
      <c r="I7" s="128"/>
    </row>
    <row r="8" spans="2:9" x14ac:dyDescent="0.25">
      <c r="B8" s="128"/>
      <c r="C8" s="128"/>
      <c r="D8" s="128"/>
      <c r="F8" s="128"/>
      <c r="G8" s="128"/>
      <c r="H8" s="128"/>
    </row>
    <row r="9" spans="2:9" x14ac:dyDescent="0.25">
      <c r="B9" s="128"/>
      <c r="C9" s="128"/>
      <c r="D9" s="128"/>
      <c r="E9" s="128"/>
      <c r="F9" s="128"/>
      <c r="G9" s="128"/>
      <c r="H9" s="128"/>
    </row>
    <row r="10" spans="2:9" ht="22.8" x14ac:dyDescent="0.4">
      <c r="B10" s="128"/>
      <c r="C10" s="128"/>
      <c r="D10" s="128"/>
      <c r="I10" s="131"/>
    </row>
    <row r="11" spans="2:9" x14ac:dyDescent="0.25">
      <c r="B11" s="128"/>
      <c r="C11" s="128"/>
      <c r="D11" s="128"/>
    </row>
    <row r="12" spans="2:9" ht="27" customHeight="1" x14ac:dyDescent="0.4">
      <c r="B12" s="128"/>
      <c r="C12" s="128"/>
      <c r="D12" s="128"/>
      <c r="E12" s="128"/>
      <c r="F12" s="128"/>
      <c r="G12" s="128"/>
      <c r="H12" s="128"/>
      <c r="I12" s="131"/>
    </row>
    <row r="13" spans="2:9" ht="19.5" customHeight="1" x14ac:dyDescent="0.4">
      <c r="B13" s="128"/>
      <c r="C13" s="108"/>
      <c r="D13" s="108"/>
      <c r="E13" s="108"/>
      <c r="F13" s="108"/>
      <c r="G13" s="108"/>
      <c r="H13" s="108"/>
      <c r="I13" s="131"/>
    </row>
    <row r="14" spans="2:9" x14ac:dyDescent="0.25">
      <c r="B14" s="128"/>
      <c r="C14" s="128"/>
      <c r="D14" s="128"/>
      <c r="F14" s="128"/>
      <c r="G14" s="128"/>
      <c r="H14" s="128"/>
    </row>
    <row r="15" spans="2:9" x14ac:dyDescent="0.25">
      <c r="B15" s="128"/>
      <c r="C15" s="128"/>
      <c r="D15" s="128"/>
      <c r="F15" s="128"/>
      <c r="G15" s="128"/>
      <c r="H15" s="128"/>
      <c r="I15" s="128"/>
    </row>
    <row r="16" spans="2:9" ht="34.799999999999997" x14ac:dyDescent="0.55000000000000004">
      <c r="B16" s="128"/>
      <c r="C16" s="128"/>
      <c r="D16" s="128"/>
      <c r="E16" s="132"/>
      <c r="F16" s="128"/>
      <c r="G16" s="128"/>
      <c r="H16" s="128"/>
      <c r="I16" s="128"/>
    </row>
    <row r="17" spans="2:9" ht="32.4" x14ac:dyDescent="0.55000000000000004">
      <c r="B17" s="128"/>
      <c r="C17" s="128"/>
      <c r="D17" s="128"/>
      <c r="E17" s="133"/>
      <c r="F17" s="128"/>
      <c r="G17" s="128"/>
      <c r="H17" s="128"/>
      <c r="I17" s="128"/>
    </row>
    <row r="18" spans="2:9" ht="32.4" x14ac:dyDescent="0.55000000000000004">
      <c r="D18" s="133"/>
    </row>
    <row r="19" spans="2:9" ht="18" x14ac:dyDescent="0.35">
      <c r="E19" s="134"/>
      <c r="I19" s="135"/>
    </row>
    <row r="21" spans="2:9" x14ac:dyDescent="0.25">
      <c r="E21" s="136"/>
    </row>
    <row r="22" spans="2:9" ht="25.8" x14ac:dyDescent="0.5">
      <c r="E22" s="137"/>
    </row>
    <row r="25" spans="2:9" ht="18" x14ac:dyDescent="0.35">
      <c r="E25" s="138"/>
    </row>
    <row r="26" spans="2:9" ht="18" x14ac:dyDescent="0.35">
      <c r="E26" s="139"/>
    </row>
    <row r="28" spans="2:9" x14ac:dyDescent="0.25">
      <c r="D28" s="108"/>
      <c r="E28" s="108"/>
      <c r="F28" s="108"/>
      <c r="G28" s="108"/>
      <c r="H28" s="108"/>
    </row>
    <row r="33" spans="1:9" ht="35.4" x14ac:dyDescent="0.25">
      <c r="A33" s="140"/>
    </row>
    <row r="36" spans="1:9" ht="32.4" x14ac:dyDescent="0.25">
      <c r="B36" s="141"/>
    </row>
    <row r="39" spans="1:9" ht="17.399999999999999" x14ac:dyDescent="0.3">
      <c r="B39" s="142"/>
    </row>
    <row r="41" spans="1:9" ht="18" x14ac:dyDescent="0.35">
      <c r="I41" s="143"/>
    </row>
    <row r="43" spans="1:9" ht="18" x14ac:dyDescent="0.35">
      <c r="B43" s="193"/>
      <c r="C43" s="193"/>
      <c r="D43" s="193"/>
    </row>
    <row r="57" spans="10:10" ht="18" x14ac:dyDescent="0.35">
      <c r="J57" s="144"/>
    </row>
  </sheetData>
  <mergeCells count="1">
    <mergeCell ref="B43:D43"/>
  </mergeCells>
  <pageMargins left="0.78740157480314965" right="0.78740157480314965" top="0.98425196850393704" bottom="0.98425196850393704" header="0.51181102362204722" footer="0.51181102362204722"/>
  <pageSetup paperSize="9" scale="7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5" t="s">
        <v>0</v>
      </c>
      <c r="B2" s="2"/>
      <c r="C2" s="2"/>
      <c r="D2" s="2"/>
      <c r="E2" s="2"/>
      <c r="F2" s="2"/>
      <c r="G2" s="2"/>
    </row>
    <row r="3" spans="1:8" ht="6" customHeight="1" x14ac:dyDescent="0.25">
      <c r="A3" s="3"/>
      <c r="B3" s="2"/>
      <c r="C3" s="2"/>
      <c r="D3" s="2"/>
      <c r="E3" s="2"/>
      <c r="F3" s="2"/>
      <c r="G3" s="2"/>
    </row>
    <row r="4" spans="1:8" ht="16.2" thickBot="1" x14ac:dyDescent="0.35">
      <c r="A4" s="4" t="s">
        <v>149</v>
      </c>
      <c r="B4" s="5"/>
      <c r="C4" s="5"/>
      <c r="D4" s="5"/>
      <c r="E4" s="5"/>
      <c r="F4" s="5"/>
      <c r="G4" s="5"/>
      <c r="H4" s="6"/>
    </row>
    <row r="5" spans="1:8" x14ac:dyDescent="0.25">
      <c r="A5" s="7"/>
      <c r="B5" s="8"/>
      <c r="C5" s="9"/>
      <c r="D5" s="8"/>
      <c r="E5" s="10"/>
      <c r="F5" s="11"/>
      <c r="G5" s="197" t="s">
        <v>1</v>
      </c>
      <c r="H5" s="198"/>
    </row>
    <row r="6" spans="1:8" x14ac:dyDescent="0.25">
      <c r="A6" s="12"/>
      <c r="B6" s="13"/>
      <c r="C6" s="14" t="s">
        <v>236</v>
      </c>
      <c r="D6" s="15" t="s">
        <v>237</v>
      </c>
      <c r="E6" s="15" t="s">
        <v>238</v>
      </c>
      <c r="F6" s="16"/>
      <c r="G6" s="17" t="s">
        <v>239</v>
      </c>
      <c r="H6" s="18" t="s">
        <v>240</v>
      </c>
    </row>
    <row r="7" spans="1:8" x14ac:dyDescent="0.25">
      <c r="A7" s="199" t="s">
        <v>42</v>
      </c>
      <c r="B7" s="19" t="s">
        <v>3</v>
      </c>
      <c r="C7" s="20">
        <v>122672</v>
      </c>
      <c r="D7" s="20">
        <v>124066.90919999999</v>
      </c>
      <c r="E7" s="21">
        <v>137388.10019128711</v>
      </c>
      <c r="F7" s="22" t="s">
        <v>241</v>
      </c>
      <c r="G7" s="23">
        <v>11.996299229887114</v>
      </c>
      <c r="H7" s="24">
        <v>10.73710232420872</v>
      </c>
    </row>
    <row r="8" spans="1:8" x14ac:dyDescent="0.25">
      <c r="A8" s="200"/>
      <c r="B8" s="25" t="s">
        <v>242</v>
      </c>
      <c r="C8" s="26">
        <v>53178</v>
      </c>
      <c r="D8" s="26">
        <v>55817.752245418</v>
      </c>
      <c r="E8" s="26">
        <v>61041.058319816999</v>
      </c>
      <c r="F8" s="27"/>
      <c r="G8" s="28">
        <v>14.786299446795653</v>
      </c>
      <c r="H8" s="29">
        <v>9.35778648239598</v>
      </c>
    </row>
    <row r="9" spans="1:8" x14ac:dyDescent="0.25">
      <c r="A9" s="30" t="s">
        <v>18</v>
      </c>
      <c r="B9" s="31" t="s">
        <v>3</v>
      </c>
      <c r="C9" s="20">
        <v>18373</v>
      </c>
      <c r="D9" s="20">
        <v>11420.313200000001</v>
      </c>
      <c r="E9" s="21">
        <v>11072.666557808041</v>
      </c>
      <c r="F9" s="22" t="s">
        <v>241</v>
      </c>
      <c r="G9" s="32">
        <v>-39.734030600293693</v>
      </c>
      <c r="H9" s="33">
        <v>-3.0441077762382207</v>
      </c>
    </row>
    <row r="10" spans="1:8" x14ac:dyDescent="0.25">
      <c r="A10" s="34"/>
      <c r="B10" s="25" t="s">
        <v>242</v>
      </c>
      <c r="C10" s="26">
        <v>4497</v>
      </c>
      <c r="D10" s="26">
        <v>5380.3367565219996</v>
      </c>
      <c r="E10" s="26">
        <v>3987.3642260870001</v>
      </c>
      <c r="F10" s="27"/>
      <c r="G10" s="35">
        <v>-11.332794616700014</v>
      </c>
      <c r="H10" s="29">
        <v>-25.890062155430144</v>
      </c>
    </row>
    <row r="11" spans="1:8" x14ac:dyDescent="0.25">
      <c r="A11" s="30" t="s">
        <v>19</v>
      </c>
      <c r="B11" s="31" t="s">
        <v>3</v>
      </c>
      <c r="C11" s="20">
        <v>6360</v>
      </c>
      <c r="D11" s="20">
        <v>6407.0439999999999</v>
      </c>
      <c r="E11" s="21">
        <v>6885.1949473203513</v>
      </c>
      <c r="F11" s="22" t="s">
        <v>241</v>
      </c>
      <c r="G11" s="37">
        <v>8.2577821905715609</v>
      </c>
      <c r="H11" s="33">
        <v>7.4628947033975663</v>
      </c>
    </row>
    <row r="12" spans="1:8" x14ac:dyDescent="0.25">
      <c r="A12" s="34"/>
      <c r="B12" s="25" t="s">
        <v>242</v>
      </c>
      <c r="C12" s="26">
        <v>2623</v>
      </c>
      <c r="D12" s="26">
        <v>2363.1225217390001</v>
      </c>
      <c r="E12" s="26">
        <v>2632.2140869569998</v>
      </c>
      <c r="F12" s="27"/>
      <c r="G12" s="28">
        <v>0.35128047872663615</v>
      </c>
      <c r="H12" s="29">
        <v>11.387118642497555</v>
      </c>
    </row>
    <row r="13" spans="1:8" x14ac:dyDescent="0.25">
      <c r="A13" s="30" t="s">
        <v>20</v>
      </c>
      <c r="B13" s="31" t="s">
        <v>3</v>
      </c>
      <c r="C13" s="20">
        <v>25617</v>
      </c>
      <c r="D13" s="20">
        <v>23698.497142856999</v>
      </c>
      <c r="E13" s="21">
        <v>22765.76797380696</v>
      </c>
      <c r="F13" s="22" t="s">
        <v>241</v>
      </c>
      <c r="G13" s="23">
        <v>-11.130233931346524</v>
      </c>
      <c r="H13" s="24">
        <v>-3.9358156908746196</v>
      </c>
    </row>
    <row r="14" spans="1:8" x14ac:dyDescent="0.25">
      <c r="A14" s="34"/>
      <c r="B14" s="25" t="s">
        <v>242</v>
      </c>
      <c r="C14" s="26">
        <v>11993</v>
      </c>
      <c r="D14" s="26">
        <v>10703.534534160999</v>
      </c>
      <c r="E14" s="26">
        <v>10404.578136646</v>
      </c>
      <c r="F14" s="27"/>
      <c r="G14" s="38">
        <v>-13.244574863286914</v>
      </c>
      <c r="H14" s="24">
        <v>-2.793062390380129</v>
      </c>
    </row>
    <row r="15" spans="1:8" x14ac:dyDescent="0.25">
      <c r="A15" s="30" t="s">
        <v>21</v>
      </c>
      <c r="B15" s="31" t="s">
        <v>3</v>
      </c>
      <c r="C15" s="20">
        <v>1553</v>
      </c>
      <c r="D15" s="20">
        <v>1663.145</v>
      </c>
      <c r="E15" s="21">
        <v>1841.1572403000082</v>
      </c>
      <c r="F15" s="22" t="s">
        <v>241</v>
      </c>
      <c r="G15" s="37">
        <v>18.554877031552365</v>
      </c>
      <c r="H15" s="33">
        <v>10.703350597813667</v>
      </c>
    </row>
    <row r="16" spans="1:8" x14ac:dyDescent="0.25">
      <c r="A16" s="34"/>
      <c r="B16" s="25" t="s">
        <v>242</v>
      </c>
      <c r="C16" s="26">
        <v>767</v>
      </c>
      <c r="D16" s="26">
        <v>785.15590579699995</v>
      </c>
      <c r="E16" s="26">
        <v>882.16862318799997</v>
      </c>
      <c r="F16" s="27"/>
      <c r="G16" s="28">
        <v>15.015465865449798</v>
      </c>
      <c r="H16" s="29">
        <v>12.355853999789247</v>
      </c>
    </row>
    <row r="17" spans="1:8" x14ac:dyDescent="0.25">
      <c r="A17" s="30" t="s">
        <v>22</v>
      </c>
      <c r="B17" s="31" t="s">
        <v>3</v>
      </c>
      <c r="C17" s="20">
        <v>5417</v>
      </c>
      <c r="D17" s="20">
        <v>4825.1450000000004</v>
      </c>
      <c r="E17" s="21">
        <v>4598.4655630449979</v>
      </c>
      <c r="F17" s="22" t="s">
        <v>241</v>
      </c>
      <c r="G17" s="37">
        <v>-15.110475114546844</v>
      </c>
      <c r="H17" s="33">
        <v>-4.6978782389959832</v>
      </c>
    </row>
    <row r="18" spans="1:8" x14ac:dyDescent="0.25">
      <c r="A18" s="34"/>
      <c r="B18" s="25" t="s">
        <v>242</v>
      </c>
      <c r="C18" s="26">
        <v>2002</v>
      </c>
      <c r="D18" s="26">
        <v>2169.1559057969998</v>
      </c>
      <c r="E18" s="26">
        <v>1928.1686231880001</v>
      </c>
      <c r="F18" s="27"/>
      <c r="G18" s="28">
        <v>-3.6878809596403528</v>
      </c>
      <c r="H18" s="29">
        <v>-11.109726228758802</v>
      </c>
    </row>
    <row r="19" spans="1:8" x14ac:dyDescent="0.25">
      <c r="A19" s="30" t="s">
        <v>190</v>
      </c>
      <c r="B19" s="31" t="s">
        <v>3</v>
      </c>
      <c r="C19" s="20">
        <v>47729</v>
      </c>
      <c r="D19" s="20">
        <v>52770.242857142999</v>
      </c>
      <c r="E19" s="21">
        <v>63224.052593498891</v>
      </c>
      <c r="F19" s="22" t="s">
        <v>241</v>
      </c>
      <c r="G19" s="23">
        <v>32.464649570489399</v>
      </c>
      <c r="H19" s="24">
        <v>19.810046667126272</v>
      </c>
    </row>
    <row r="20" spans="1:8" x14ac:dyDescent="0.25">
      <c r="A20" s="30"/>
      <c r="B20" s="25" t="s">
        <v>242</v>
      </c>
      <c r="C20" s="26">
        <v>22775</v>
      </c>
      <c r="D20" s="26">
        <v>24134.336335404001</v>
      </c>
      <c r="E20" s="26">
        <v>29321.445341614999</v>
      </c>
      <c r="F20" s="27"/>
      <c r="G20" s="38">
        <v>28.743997109176718</v>
      </c>
      <c r="H20" s="24">
        <v>21.492652352746646</v>
      </c>
    </row>
    <row r="21" spans="1:8" x14ac:dyDescent="0.25">
      <c r="A21" s="39" t="s">
        <v>12</v>
      </c>
      <c r="B21" s="31" t="s">
        <v>3</v>
      </c>
      <c r="C21" s="20">
        <v>1395</v>
      </c>
      <c r="D21" s="20">
        <v>1342.087</v>
      </c>
      <c r="E21" s="21">
        <v>1246.2197321935128</v>
      </c>
      <c r="F21" s="22" t="s">
        <v>241</v>
      </c>
      <c r="G21" s="37">
        <v>-10.665252172508048</v>
      </c>
      <c r="H21" s="33">
        <v>-7.1431485296025699</v>
      </c>
    </row>
    <row r="22" spans="1:8" x14ac:dyDescent="0.25">
      <c r="A22" s="34"/>
      <c r="B22" s="25" t="s">
        <v>242</v>
      </c>
      <c r="C22" s="26">
        <v>652</v>
      </c>
      <c r="D22" s="26">
        <v>609.09354347800002</v>
      </c>
      <c r="E22" s="26">
        <v>571.10117391300003</v>
      </c>
      <c r="F22" s="27"/>
      <c r="G22" s="28">
        <v>-12.407795412116556</v>
      </c>
      <c r="H22" s="29">
        <v>-6.2375262341575279</v>
      </c>
    </row>
    <row r="23" spans="1:8" x14ac:dyDescent="0.25">
      <c r="A23" s="39" t="s">
        <v>23</v>
      </c>
      <c r="B23" s="31" t="s">
        <v>3</v>
      </c>
      <c r="C23" s="20">
        <v>3858</v>
      </c>
      <c r="D23" s="20">
        <v>4004.145</v>
      </c>
      <c r="E23" s="21">
        <v>4147.9999211055429</v>
      </c>
      <c r="F23" s="22" t="s">
        <v>241</v>
      </c>
      <c r="G23" s="23">
        <v>7.5168460628704565</v>
      </c>
      <c r="H23" s="24">
        <v>3.5926501439269316</v>
      </c>
    </row>
    <row r="24" spans="1:8" x14ac:dyDescent="0.25">
      <c r="A24" s="34"/>
      <c r="B24" s="25" t="s">
        <v>242</v>
      </c>
      <c r="C24" s="26">
        <v>2039</v>
      </c>
      <c r="D24" s="26">
        <v>1910.1559057970001</v>
      </c>
      <c r="E24" s="26">
        <v>2045.1686231880001</v>
      </c>
      <c r="F24" s="27"/>
      <c r="G24" s="28">
        <v>0.30253178950465553</v>
      </c>
      <c r="H24" s="29">
        <v>7.0681517137558956</v>
      </c>
    </row>
    <row r="25" spans="1:8" x14ac:dyDescent="0.25">
      <c r="A25" s="30" t="s">
        <v>24</v>
      </c>
      <c r="B25" s="31" t="s">
        <v>3</v>
      </c>
      <c r="C25" s="20">
        <v>13787</v>
      </c>
      <c r="D25" s="20">
        <v>19741.29</v>
      </c>
      <c r="E25" s="21">
        <v>22488.391894889559</v>
      </c>
      <c r="F25" s="22" t="s">
        <v>241</v>
      </c>
      <c r="G25" s="23">
        <v>63.113018748745617</v>
      </c>
      <c r="H25" s="24">
        <v>13.915513600628728</v>
      </c>
    </row>
    <row r="26" spans="1:8" ht="13.8" thickBot="1" x14ac:dyDescent="0.3">
      <c r="A26" s="41"/>
      <c r="B26" s="42" t="s">
        <v>242</v>
      </c>
      <c r="C26" s="43">
        <v>6445</v>
      </c>
      <c r="D26" s="43">
        <v>8436.3118115939997</v>
      </c>
      <c r="E26" s="43">
        <v>9893.3372463769992</v>
      </c>
      <c r="F26" s="44"/>
      <c r="G26" s="45">
        <v>53.504068989557794</v>
      </c>
      <c r="H26" s="46">
        <v>17.270881723226665</v>
      </c>
    </row>
    <row r="31" spans="1:8" x14ac:dyDescent="0.25">
      <c r="A31" s="47"/>
      <c r="B31" s="48"/>
      <c r="C31" s="49"/>
      <c r="D31" s="55"/>
      <c r="E31" s="49"/>
      <c r="F31" s="49"/>
      <c r="G31" s="50"/>
      <c r="H31" s="51"/>
    </row>
    <row r="32" spans="1:8" ht="16.8" thickBot="1" x14ac:dyDescent="0.4">
      <c r="A32" s="4" t="s">
        <v>43</v>
      </c>
      <c r="B32" s="5"/>
      <c r="C32" s="5"/>
      <c r="D32" s="5"/>
      <c r="E32" s="5"/>
      <c r="F32" s="5"/>
      <c r="G32" s="5"/>
      <c r="H32" s="6"/>
    </row>
    <row r="33" spans="1:8" x14ac:dyDescent="0.25">
      <c r="A33" s="7"/>
      <c r="B33" s="8"/>
      <c r="C33" s="203" t="s">
        <v>16</v>
      </c>
      <c r="D33" s="197"/>
      <c r="E33" s="197"/>
      <c r="F33" s="204"/>
      <c r="G33" s="197" t="s">
        <v>1</v>
      </c>
      <c r="H33" s="198"/>
    </row>
    <row r="34" spans="1:8" x14ac:dyDescent="0.25">
      <c r="A34" s="12"/>
      <c r="B34" s="13"/>
      <c r="C34" s="14" t="s">
        <v>236</v>
      </c>
      <c r="D34" s="15" t="s">
        <v>237</v>
      </c>
      <c r="E34" s="15" t="s">
        <v>238</v>
      </c>
      <c r="F34" s="16"/>
      <c r="G34" s="17" t="s">
        <v>239</v>
      </c>
      <c r="H34" s="18" t="s">
        <v>240</v>
      </c>
    </row>
    <row r="35" spans="1:8" ht="12.75" customHeight="1" x14ac:dyDescent="0.25">
      <c r="A35" s="199" t="s">
        <v>42</v>
      </c>
      <c r="B35" s="19" t="s">
        <v>3</v>
      </c>
      <c r="C35" s="80">
        <v>1338.3966990880001</v>
      </c>
      <c r="D35" s="80">
        <v>1323.5516696760001</v>
      </c>
      <c r="E35" s="83">
        <v>1290.6335174490121</v>
      </c>
      <c r="F35" s="22" t="s">
        <v>241</v>
      </c>
      <c r="G35" s="23">
        <v>-3.5686864493564912</v>
      </c>
      <c r="H35" s="24">
        <v>-2.4871074534661801</v>
      </c>
    </row>
    <row r="36" spans="1:8" ht="12.75" customHeight="1" x14ac:dyDescent="0.25">
      <c r="A36" s="200"/>
      <c r="B36" s="25" t="s">
        <v>242</v>
      </c>
      <c r="C36" s="82">
        <v>665.73642033399994</v>
      </c>
      <c r="D36" s="82">
        <v>614.15601791300003</v>
      </c>
      <c r="E36" s="82">
        <v>612.58934535399999</v>
      </c>
      <c r="F36" s="27"/>
      <c r="G36" s="28">
        <v>-7.9832007618474705</v>
      </c>
      <c r="H36" s="29">
        <v>-0.25509357774004116</v>
      </c>
    </row>
    <row r="37" spans="1:8" x14ac:dyDescent="0.25">
      <c r="A37" s="30" t="s">
        <v>18</v>
      </c>
      <c r="B37" s="31" t="s">
        <v>3</v>
      </c>
      <c r="C37" s="80">
        <v>489.11580435000002</v>
      </c>
      <c r="D37" s="80">
        <v>447.58915100600001</v>
      </c>
      <c r="E37" s="83">
        <v>411.34262542200491</v>
      </c>
      <c r="F37" s="22" t="s">
        <v>241</v>
      </c>
      <c r="G37" s="32">
        <v>-15.900769968238933</v>
      </c>
      <c r="H37" s="33">
        <v>-8.0981689351780517</v>
      </c>
    </row>
    <row r="38" spans="1:8" x14ac:dyDescent="0.25">
      <c r="A38" s="34"/>
      <c r="B38" s="25" t="s">
        <v>242</v>
      </c>
      <c r="C38" s="82">
        <v>255.63892457399999</v>
      </c>
      <c r="D38" s="82">
        <v>224.24115385299999</v>
      </c>
      <c r="E38" s="82">
        <v>208.96809085500001</v>
      </c>
      <c r="F38" s="27"/>
      <c r="G38" s="35">
        <v>-18.256544380623126</v>
      </c>
      <c r="H38" s="29">
        <v>-6.8109991121487639</v>
      </c>
    </row>
    <row r="39" spans="1:8" x14ac:dyDescent="0.25">
      <c r="A39" s="30" t="s">
        <v>19</v>
      </c>
      <c r="B39" s="31" t="s">
        <v>3</v>
      </c>
      <c r="C39" s="80">
        <v>147.87446088300001</v>
      </c>
      <c r="D39" s="80">
        <v>166.65580827100001</v>
      </c>
      <c r="E39" s="83">
        <v>182.91332567575131</v>
      </c>
      <c r="F39" s="22" t="s">
        <v>241</v>
      </c>
      <c r="G39" s="37">
        <v>23.695007632504201</v>
      </c>
      <c r="H39" s="33">
        <v>9.7551459942607295</v>
      </c>
    </row>
    <row r="40" spans="1:8" x14ac:dyDescent="0.25">
      <c r="A40" s="34"/>
      <c r="B40" s="25" t="s">
        <v>242</v>
      </c>
      <c r="C40" s="82">
        <v>52.114250589999997</v>
      </c>
      <c r="D40" s="82">
        <v>43.674539367999998</v>
      </c>
      <c r="E40" s="82">
        <v>52.414600847999999</v>
      </c>
      <c r="F40" s="27"/>
      <c r="G40" s="28">
        <v>0.57633037911828922</v>
      </c>
      <c r="H40" s="29">
        <v>20.011800024624364</v>
      </c>
    </row>
    <row r="41" spans="1:8" x14ac:dyDescent="0.25">
      <c r="A41" s="30" t="s">
        <v>20</v>
      </c>
      <c r="B41" s="31" t="s">
        <v>3</v>
      </c>
      <c r="C41" s="80">
        <v>317.07842387800002</v>
      </c>
      <c r="D41" s="80">
        <v>290.73853262900002</v>
      </c>
      <c r="E41" s="83">
        <v>267.18329985151121</v>
      </c>
      <c r="F41" s="22" t="s">
        <v>241</v>
      </c>
      <c r="G41" s="23">
        <v>-15.735893794428151</v>
      </c>
      <c r="H41" s="24">
        <v>-8.1018613406660904</v>
      </c>
    </row>
    <row r="42" spans="1:8" x14ac:dyDescent="0.25">
      <c r="A42" s="34"/>
      <c r="B42" s="25" t="s">
        <v>242</v>
      </c>
      <c r="C42" s="82">
        <v>156.52218534100001</v>
      </c>
      <c r="D42" s="82">
        <v>146.75009674399999</v>
      </c>
      <c r="E42" s="82">
        <v>133.85634097299999</v>
      </c>
      <c r="F42" s="27"/>
      <c r="G42" s="38">
        <v>-14.480914841956817</v>
      </c>
      <c r="H42" s="24">
        <v>-8.7861991624391749</v>
      </c>
    </row>
    <row r="43" spans="1:8" x14ac:dyDescent="0.25">
      <c r="A43" s="30" t="s">
        <v>21</v>
      </c>
      <c r="B43" s="31" t="s">
        <v>3</v>
      </c>
      <c r="C43" s="80">
        <v>7.7114032430000004</v>
      </c>
      <c r="D43" s="80">
        <v>7.9317948840000003</v>
      </c>
      <c r="E43" s="83">
        <v>9.2477486417271901</v>
      </c>
      <c r="F43" s="22" t="s">
        <v>241</v>
      </c>
      <c r="G43" s="37">
        <v>19.92303281665113</v>
      </c>
      <c r="H43" s="33">
        <v>16.590869746036034</v>
      </c>
    </row>
    <row r="44" spans="1:8" x14ac:dyDescent="0.25">
      <c r="A44" s="34"/>
      <c r="B44" s="25" t="s">
        <v>242</v>
      </c>
      <c r="C44" s="82">
        <v>3.859976047</v>
      </c>
      <c r="D44" s="82">
        <v>4.0283602820000004</v>
      </c>
      <c r="E44" s="82">
        <v>4.6739146800000002</v>
      </c>
      <c r="F44" s="27"/>
      <c r="G44" s="28">
        <v>21.086623934689939</v>
      </c>
      <c r="H44" s="29">
        <v>16.025239869545516</v>
      </c>
    </row>
    <row r="45" spans="1:8" x14ac:dyDescent="0.25">
      <c r="A45" s="30" t="s">
        <v>22</v>
      </c>
      <c r="B45" s="31" t="s">
        <v>3</v>
      </c>
      <c r="C45" s="80">
        <v>26.796500518999999</v>
      </c>
      <c r="D45" s="80">
        <v>24.428014526999998</v>
      </c>
      <c r="E45" s="83">
        <v>21.658829756013535</v>
      </c>
      <c r="F45" s="22" t="s">
        <v>241</v>
      </c>
      <c r="G45" s="37">
        <v>-19.17291684913711</v>
      </c>
      <c r="H45" s="33">
        <v>-11.336102522477688</v>
      </c>
    </row>
    <row r="46" spans="1:8" x14ac:dyDescent="0.25">
      <c r="A46" s="34"/>
      <c r="B46" s="25" t="s">
        <v>242</v>
      </c>
      <c r="C46" s="82">
        <v>10.570586474000001</v>
      </c>
      <c r="D46" s="82">
        <v>11.310828425</v>
      </c>
      <c r="E46" s="82">
        <v>9.4795169880000003</v>
      </c>
      <c r="F46" s="27"/>
      <c r="G46" s="28">
        <v>-10.321749778819324</v>
      </c>
      <c r="H46" s="29">
        <v>-16.190780800390399</v>
      </c>
    </row>
    <row r="47" spans="1:8" x14ac:dyDescent="0.25">
      <c r="A47" s="30" t="s">
        <v>190</v>
      </c>
      <c r="B47" s="31" t="s">
        <v>3</v>
      </c>
      <c r="C47" s="80">
        <v>172.54039422599999</v>
      </c>
      <c r="D47" s="80">
        <v>196.867293805</v>
      </c>
      <c r="E47" s="83">
        <v>223.95792810070108</v>
      </c>
      <c r="F47" s="22" t="s">
        <v>241</v>
      </c>
      <c r="G47" s="23">
        <v>29.800287698051989</v>
      </c>
      <c r="H47" s="24">
        <v>13.760860817508245</v>
      </c>
    </row>
    <row r="48" spans="1:8" x14ac:dyDescent="0.25">
      <c r="A48" s="30"/>
      <c r="B48" s="25" t="s">
        <v>242</v>
      </c>
      <c r="C48" s="82">
        <v>90.330369192999996</v>
      </c>
      <c r="D48" s="82">
        <v>94.112229099000004</v>
      </c>
      <c r="E48" s="82">
        <v>110.255762565</v>
      </c>
      <c r="F48" s="27"/>
      <c r="G48" s="38">
        <v>22.05835484788885</v>
      </c>
      <c r="H48" s="24">
        <v>17.153491762497765</v>
      </c>
    </row>
    <row r="49" spans="1:8" x14ac:dyDescent="0.25">
      <c r="A49" s="39" t="s">
        <v>12</v>
      </c>
      <c r="B49" s="31" t="s">
        <v>3</v>
      </c>
      <c r="C49" s="80">
        <v>15.356125322</v>
      </c>
      <c r="D49" s="80">
        <v>15.776880630999999</v>
      </c>
      <c r="E49" s="83">
        <v>13.125341681169949</v>
      </c>
      <c r="F49" s="22" t="s">
        <v>241</v>
      </c>
      <c r="G49" s="37">
        <v>-14.526995541213196</v>
      </c>
      <c r="H49" s="33">
        <v>-16.806484195741717</v>
      </c>
    </row>
    <row r="50" spans="1:8" x14ac:dyDescent="0.25">
      <c r="A50" s="34"/>
      <c r="B50" s="25" t="s">
        <v>242</v>
      </c>
      <c r="C50" s="82">
        <v>9.0129409099999993</v>
      </c>
      <c r="D50" s="82">
        <v>6.814030142</v>
      </c>
      <c r="E50" s="82">
        <v>6.2161308809999998</v>
      </c>
      <c r="F50" s="27"/>
      <c r="G50" s="28">
        <v>-31.031048099925911</v>
      </c>
      <c r="H50" s="29">
        <v>-8.7745320836592242</v>
      </c>
    </row>
    <row r="51" spans="1:8" x14ac:dyDescent="0.25">
      <c r="A51" s="39" t="s">
        <v>23</v>
      </c>
      <c r="B51" s="31" t="s">
        <v>3</v>
      </c>
      <c r="C51" s="80">
        <v>91.380156329000002</v>
      </c>
      <c r="D51" s="80">
        <v>90.88944042</v>
      </c>
      <c r="E51" s="83">
        <v>83.616823488258149</v>
      </c>
      <c r="F51" s="22" t="s">
        <v>241</v>
      </c>
      <c r="G51" s="23">
        <v>-8.4956440792147276</v>
      </c>
      <c r="H51" s="24">
        <v>-8.0016082155804895</v>
      </c>
    </row>
    <row r="52" spans="1:8" x14ac:dyDescent="0.25">
      <c r="A52" s="34"/>
      <c r="B52" s="25" t="s">
        <v>242</v>
      </c>
      <c r="C52" s="82">
        <v>49.669396126000002</v>
      </c>
      <c r="D52" s="82">
        <v>44.013242552000001</v>
      </c>
      <c r="E52" s="82">
        <v>42.019468586999999</v>
      </c>
      <c r="F52" s="27"/>
      <c r="G52" s="38">
        <v>-15.401692260549879</v>
      </c>
      <c r="H52" s="24">
        <v>-4.5299411027134227</v>
      </c>
    </row>
    <row r="53" spans="1:8" x14ac:dyDescent="0.25">
      <c r="A53" s="30" t="s">
        <v>24</v>
      </c>
      <c r="B53" s="31" t="s">
        <v>3</v>
      </c>
      <c r="C53" s="80">
        <v>70.543430337999993</v>
      </c>
      <c r="D53" s="80">
        <v>82.674753503000005</v>
      </c>
      <c r="E53" s="83">
        <v>90.489869686839555</v>
      </c>
      <c r="F53" s="22" t="s">
        <v>241</v>
      </c>
      <c r="G53" s="37">
        <v>28.275403185340849</v>
      </c>
      <c r="H53" s="33">
        <v>9.4528448561457878</v>
      </c>
    </row>
    <row r="54" spans="1:8" ht="13.8" thickBot="1" x14ac:dyDescent="0.3">
      <c r="A54" s="41"/>
      <c r="B54" s="42" t="s">
        <v>242</v>
      </c>
      <c r="C54" s="86">
        <v>38.017791078999998</v>
      </c>
      <c r="D54" s="86">
        <v>39.211537448000001</v>
      </c>
      <c r="E54" s="86">
        <v>44.705518976</v>
      </c>
      <c r="F54" s="44"/>
      <c r="G54" s="45">
        <v>17.591048051958282</v>
      </c>
      <c r="H54" s="46">
        <v>14.011135205513909</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H61" s="194">
        <v>14</v>
      </c>
    </row>
    <row r="62" spans="1:8" ht="12.75" customHeight="1" x14ac:dyDescent="0.25">
      <c r="A62" s="54" t="s">
        <v>244</v>
      </c>
      <c r="H62" s="195"/>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5" t="s">
        <v>0</v>
      </c>
      <c r="B2" s="2"/>
      <c r="C2" s="2"/>
      <c r="D2" s="2"/>
      <c r="E2" s="2"/>
      <c r="F2" s="2"/>
      <c r="G2" s="2"/>
    </row>
    <row r="3" spans="1:8" ht="6" customHeight="1" x14ac:dyDescent="0.25">
      <c r="A3" s="3"/>
      <c r="B3" s="2"/>
      <c r="C3" s="2"/>
      <c r="D3" s="2"/>
      <c r="E3" s="2"/>
      <c r="F3" s="2"/>
      <c r="G3" s="2"/>
    </row>
    <row r="4" spans="1:8" ht="16.2" thickBot="1" x14ac:dyDescent="0.35">
      <c r="A4" s="4" t="s">
        <v>150</v>
      </c>
      <c r="B4" s="5"/>
      <c r="C4" s="5"/>
      <c r="D4" s="5"/>
      <c r="E4" s="5"/>
      <c r="F4" s="5"/>
      <c r="G4" s="5"/>
      <c r="H4" s="6"/>
    </row>
    <row r="5" spans="1:8" x14ac:dyDescent="0.25">
      <c r="A5" s="7"/>
      <c r="B5" s="8"/>
      <c r="C5" s="9"/>
      <c r="D5" s="8"/>
      <c r="E5" s="10"/>
      <c r="F5" s="11"/>
      <c r="G5" s="197" t="s">
        <v>1</v>
      </c>
      <c r="H5" s="198"/>
    </row>
    <row r="6" spans="1:8" x14ac:dyDescent="0.25">
      <c r="A6" s="12"/>
      <c r="B6" s="13"/>
      <c r="C6" s="14" t="s">
        <v>236</v>
      </c>
      <c r="D6" s="15" t="s">
        <v>237</v>
      </c>
      <c r="E6" s="15" t="s">
        <v>238</v>
      </c>
      <c r="F6" s="16"/>
      <c r="G6" s="17" t="s">
        <v>239</v>
      </c>
      <c r="H6" s="18" t="s">
        <v>240</v>
      </c>
    </row>
    <row r="7" spans="1:8" x14ac:dyDescent="0.25">
      <c r="A7" s="199" t="s">
        <v>44</v>
      </c>
      <c r="B7" s="19" t="s">
        <v>3</v>
      </c>
      <c r="C7" s="20">
        <v>111974</v>
      </c>
      <c r="D7" s="20">
        <v>108145.685466667</v>
      </c>
      <c r="E7" s="21">
        <v>111761.43551788581</v>
      </c>
      <c r="F7" s="22" t="s">
        <v>241</v>
      </c>
      <c r="G7" s="23">
        <v>-0.18983378473055268</v>
      </c>
      <c r="H7" s="24">
        <v>3.3434066607615875</v>
      </c>
    </row>
    <row r="8" spans="1:8" x14ac:dyDescent="0.25">
      <c r="A8" s="200"/>
      <c r="B8" s="25" t="s">
        <v>242</v>
      </c>
      <c r="C8" s="26">
        <v>50045</v>
      </c>
      <c r="D8" s="26">
        <v>52228.503339786002</v>
      </c>
      <c r="E8" s="26">
        <v>52562.962486265998</v>
      </c>
      <c r="F8" s="27"/>
      <c r="G8" s="28">
        <v>5.0313967154880714</v>
      </c>
      <c r="H8" s="29">
        <v>0.64037666234486323</v>
      </c>
    </row>
    <row r="9" spans="1:8" x14ac:dyDescent="0.25">
      <c r="A9" s="30" t="s">
        <v>18</v>
      </c>
      <c r="B9" s="31" t="s">
        <v>3</v>
      </c>
      <c r="C9" s="20">
        <v>16632</v>
      </c>
      <c r="D9" s="20">
        <v>11525.9748</v>
      </c>
      <c r="E9" s="21">
        <v>11836.470395451093</v>
      </c>
      <c r="F9" s="22" t="s">
        <v>241</v>
      </c>
      <c r="G9" s="32">
        <v>-28.83315058050087</v>
      </c>
      <c r="H9" s="33">
        <v>2.6938770979361664</v>
      </c>
    </row>
    <row r="10" spans="1:8" x14ac:dyDescent="0.25">
      <c r="A10" s="34"/>
      <c r="B10" s="25" t="s">
        <v>242</v>
      </c>
      <c r="C10" s="26">
        <v>5102</v>
      </c>
      <c r="D10" s="26">
        <v>5612.1097217389997</v>
      </c>
      <c r="E10" s="26">
        <v>4819.7791652169999</v>
      </c>
      <c r="F10" s="27"/>
      <c r="G10" s="35">
        <v>-5.5315726143277146</v>
      </c>
      <c r="H10" s="29">
        <v>-14.11822996711625</v>
      </c>
    </row>
    <row r="11" spans="1:8" x14ac:dyDescent="0.25">
      <c r="A11" s="30" t="s">
        <v>19</v>
      </c>
      <c r="B11" s="31" t="s">
        <v>3</v>
      </c>
      <c r="C11" s="20">
        <v>46560</v>
      </c>
      <c r="D11" s="20">
        <v>43902.915999999997</v>
      </c>
      <c r="E11" s="21">
        <v>49090.729753783395</v>
      </c>
      <c r="F11" s="22" t="s">
        <v>241</v>
      </c>
      <c r="G11" s="37">
        <v>5.4354161378509218</v>
      </c>
      <c r="H11" s="33">
        <v>11.816558503274365</v>
      </c>
    </row>
    <row r="12" spans="1:8" x14ac:dyDescent="0.25">
      <c r="A12" s="34"/>
      <c r="B12" s="25" t="s">
        <v>242</v>
      </c>
      <c r="C12" s="26">
        <v>21380</v>
      </c>
      <c r="D12" s="26">
        <v>20718.36573913</v>
      </c>
      <c r="E12" s="26">
        <v>22954.597217391001</v>
      </c>
      <c r="F12" s="27"/>
      <c r="G12" s="28">
        <v>7.3648139260570815</v>
      </c>
      <c r="H12" s="29">
        <v>10.793474284689907</v>
      </c>
    </row>
    <row r="13" spans="1:8" x14ac:dyDescent="0.25">
      <c r="A13" s="30" t="s">
        <v>20</v>
      </c>
      <c r="B13" s="31" t="s">
        <v>3</v>
      </c>
      <c r="C13" s="20">
        <v>5709</v>
      </c>
      <c r="D13" s="20">
        <v>4741.8171428570004</v>
      </c>
      <c r="E13" s="21">
        <v>4431.9269222653311</v>
      </c>
      <c r="F13" s="22" t="s">
        <v>241</v>
      </c>
      <c r="G13" s="23">
        <v>-22.369470620680829</v>
      </c>
      <c r="H13" s="24">
        <v>-6.5352629858045646</v>
      </c>
    </row>
    <row r="14" spans="1:8" x14ac:dyDescent="0.25">
      <c r="A14" s="34"/>
      <c r="B14" s="25" t="s">
        <v>242</v>
      </c>
      <c r="C14" s="26">
        <v>2667</v>
      </c>
      <c r="D14" s="26">
        <v>2283.459875776</v>
      </c>
      <c r="E14" s="26">
        <v>2112.5224844720001</v>
      </c>
      <c r="F14" s="27"/>
      <c r="G14" s="38">
        <v>-20.790308043794525</v>
      </c>
      <c r="H14" s="24">
        <v>-7.4858942395871679</v>
      </c>
    </row>
    <row r="15" spans="1:8" x14ac:dyDescent="0.25">
      <c r="A15" s="30" t="s">
        <v>21</v>
      </c>
      <c r="B15" s="31" t="s">
        <v>3</v>
      </c>
      <c r="C15" s="20">
        <v>2952</v>
      </c>
      <c r="D15" s="20">
        <v>2857.4883333329999</v>
      </c>
      <c r="E15" s="21">
        <v>3012.4037365343161</v>
      </c>
      <c r="F15" s="22" t="s">
        <v>241</v>
      </c>
      <c r="G15" s="37">
        <v>2.0461970370703142</v>
      </c>
      <c r="H15" s="33">
        <v>5.4213835764159342</v>
      </c>
    </row>
    <row r="16" spans="1:8" x14ac:dyDescent="0.25">
      <c r="A16" s="34"/>
      <c r="B16" s="25" t="s">
        <v>242</v>
      </c>
      <c r="C16" s="26">
        <v>1450</v>
      </c>
      <c r="D16" s="26">
        <v>1416.217463768</v>
      </c>
      <c r="E16" s="26">
        <v>1488.527391304</v>
      </c>
      <c r="F16" s="27"/>
      <c r="G16" s="28">
        <v>2.6570614692413841</v>
      </c>
      <c r="H16" s="29">
        <v>5.105849164125658</v>
      </c>
    </row>
    <row r="17" spans="1:8" x14ac:dyDescent="0.25">
      <c r="A17" s="30" t="s">
        <v>22</v>
      </c>
      <c r="B17" s="31" t="s">
        <v>3</v>
      </c>
      <c r="C17" s="20">
        <v>773</v>
      </c>
      <c r="D17" s="20">
        <v>610.48833333300001</v>
      </c>
      <c r="E17" s="21">
        <v>575.89339907890655</v>
      </c>
      <c r="F17" s="22" t="s">
        <v>241</v>
      </c>
      <c r="G17" s="37">
        <v>-25.498913443867195</v>
      </c>
      <c r="H17" s="33">
        <v>-5.666764189451456</v>
      </c>
    </row>
    <row r="18" spans="1:8" x14ac:dyDescent="0.25">
      <c r="A18" s="34"/>
      <c r="B18" s="25" t="s">
        <v>242</v>
      </c>
      <c r="C18" s="26">
        <v>262</v>
      </c>
      <c r="D18" s="26">
        <v>259.21746376800002</v>
      </c>
      <c r="E18" s="26">
        <v>225.52739130399999</v>
      </c>
      <c r="F18" s="27"/>
      <c r="G18" s="28">
        <v>-13.920843013740452</v>
      </c>
      <c r="H18" s="29">
        <v>-12.99683747162679</v>
      </c>
    </row>
    <row r="19" spans="1:8" x14ac:dyDescent="0.25">
      <c r="A19" s="30" t="s">
        <v>190</v>
      </c>
      <c r="B19" s="31" t="s">
        <v>3</v>
      </c>
      <c r="C19" s="20">
        <v>25975</v>
      </c>
      <c r="D19" s="20">
        <v>27071.042857142998</v>
      </c>
      <c r="E19" s="21">
        <v>29048.361910791878</v>
      </c>
      <c r="F19" s="22" t="s">
        <v>241</v>
      </c>
      <c r="G19" s="23">
        <v>11.831999656561607</v>
      </c>
      <c r="H19" s="24">
        <v>7.3041850071436869</v>
      </c>
    </row>
    <row r="20" spans="1:8" x14ac:dyDescent="0.25">
      <c r="A20" s="30"/>
      <c r="B20" s="25" t="s">
        <v>242</v>
      </c>
      <c r="C20" s="26">
        <v>12742</v>
      </c>
      <c r="D20" s="26">
        <v>13413.149689440999</v>
      </c>
      <c r="E20" s="26">
        <v>14344.806211180001</v>
      </c>
      <c r="F20" s="27"/>
      <c r="G20" s="38">
        <v>12.578921764087283</v>
      </c>
      <c r="H20" s="24">
        <v>6.9458445131079998</v>
      </c>
    </row>
    <row r="21" spans="1:8" x14ac:dyDescent="0.25">
      <c r="A21" s="39" t="s">
        <v>12</v>
      </c>
      <c r="B21" s="31" t="s">
        <v>3</v>
      </c>
      <c r="C21" s="20">
        <v>544</v>
      </c>
      <c r="D21" s="20">
        <v>517.49300000000005</v>
      </c>
      <c r="E21" s="21">
        <v>403.64274130684458</v>
      </c>
      <c r="F21" s="22" t="s">
        <v>241</v>
      </c>
      <c r="G21" s="37">
        <v>-25.800966671535917</v>
      </c>
      <c r="H21" s="33">
        <v>-22.000347578258157</v>
      </c>
    </row>
    <row r="22" spans="1:8" x14ac:dyDescent="0.25">
      <c r="A22" s="34"/>
      <c r="B22" s="25" t="s">
        <v>242</v>
      </c>
      <c r="C22" s="26">
        <v>266</v>
      </c>
      <c r="D22" s="26">
        <v>259.53047826099998</v>
      </c>
      <c r="E22" s="26">
        <v>200.71643478300001</v>
      </c>
      <c r="F22" s="27"/>
      <c r="G22" s="28">
        <v>-24.542693690601496</v>
      </c>
      <c r="H22" s="29">
        <v>-22.661709665888608</v>
      </c>
    </row>
    <row r="23" spans="1:8" x14ac:dyDescent="0.25">
      <c r="A23" s="39" t="s">
        <v>23</v>
      </c>
      <c r="B23" s="31" t="s">
        <v>3</v>
      </c>
      <c r="C23" s="20">
        <v>5844</v>
      </c>
      <c r="D23" s="20">
        <v>5843.4883333329999</v>
      </c>
      <c r="E23" s="21">
        <v>5992.7359224587617</v>
      </c>
      <c r="F23" s="22" t="s">
        <v>241</v>
      </c>
      <c r="G23" s="23">
        <v>2.5451047648658687</v>
      </c>
      <c r="H23" s="24">
        <v>2.5540838042648062</v>
      </c>
    </row>
    <row r="24" spans="1:8" x14ac:dyDescent="0.25">
      <c r="A24" s="34"/>
      <c r="B24" s="25" t="s">
        <v>242</v>
      </c>
      <c r="C24" s="26">
        <v>2988</v>
      </c>
      <c r="D24" s="26">
        <v>2802.217463768</v>
      </c>
      <c r="E24" s="26">
        <v>2934.527391304</v>
      </c>
      <c r="F24" s="27"/>
      <c r="G24" s="28">
        <v>-1.789578604283804</v>
      </c>
      <c r="H24" s="29">
        <v>4.721615265293849</v>
      </c>
    </row>
    <row r="25" spans="1:8" x14ac:dyDescent="0.25">
      <c r="A25" s="30" t="s">
        <v>24</v>
      </c>
      <c r="B25" s="31" t="s">
        <v>3</v>
      </c>
      <c r="C25" s="20">
        <v>10455</v>
      </c>
      <c r="D25" s="20">
        <v>14889.976666667</v>
      </c>
      <c r="E25" s="21">
        <v>10764.572695868867</v>
      </c>
      <c r="F25" s="22" t="s">
        <v>241</v>
      </c>
      <c r="G25" s="23">
        <v>2.9610013952067646</v>
      </c>
      <c r="H25" s="24">
        <v>-27.705912931571916</v>
      </c>
    </row>
    <row r="26" spans="1:8" ht="13.8" thickBot="1" x14ac:dyDescent="0.3">
      <c r="A26" s="41"/>
      <c r="B26" s="42" t="s">
        <v>242</v>
      </c>
      <c r="C26" s="43">
        <v>4700</v>
      </c>
      <c r="D26" s="43">
        <v>7171.434927536</v>
      </c>
      <c r="E26" s="43">
        <v>5064.0547826089996</v>
      </c>
      <c r="F26" s="44"/>
      <c r="G26" s="45">
        <v>7.7458464384893517</v>
      </c>
      <c r="H26" s="46">
        <v>-29.385752868443944</v>
      </c>
    </row>
    <row r="31" spans="1:8" x14ac:dyDescent="0.25">
      <c r="A31" s="47"/>
      <c r="B31" s="48"/>
      <c r="C31" s="49"/>
      <c r="D31" s="55"/>
      <c r="E31" s="49"/>
      <c r="F31" s="49"/>
      <c r="G31" s="50"/>
      <c r="H31" s="51"/>
    </row>
    <row r="32" spans="1:8" ht="16.8" thickBot="1" x14ac:dyDescent="0.4">
      <c r="A32" s="4" t="s">
        <v>99</v>
      </c>
      <c r="B32" s="5"/>
      <c r="C32" s="5"/>
      <c r="D32" s="5"/>
      <c r="E32" s="5"/>
      <c r="F32" s="5"/>
      <c r="G32" s="5"/>
      <c r="H32" s="6"/>
    </row>
    <row r="33" spans="1:8" x14ac:dyDescent="0.25">
      <c r="A33" s="7"/>
      <c r="B33" s="8"/>
      <c r="C33" s="203" t="s">
        <v>16</v>
      </c>
      <c r="D33" s="197"/>
      <c r="E33" s="197"/>
      <c r="F33" s="204"/>
      <c r="G33" s="197" t="s">
        <v>1</v>
      </c>
      <c r="H33" s="198"/>
    </row>
    <row r="34" spans="1:8" x14ac:dyDescent="0.25">
      <c r="A34" s="12"/>
      <c r="B34" s="13"/>
      <c r="C34" s="14" t="s">
        <v>236</v>
      </c>
      <c r="D34" s="15" t="s">
        <v>237</v>
      </c>
      <c r="E34" s="15" t="s">
        <v>238</v>
      </c>
      <c r="F34" s="16"/>
      <c r="G34" s="17" t="s">
        <v>239</v>
      </c>
      <c r="H34" s="18" t="s">
        <v>240</v>
      </c>
    </row>
    <row r="35" spans="1:8" ht="12.75" customHeight="1" x14ac:dyDescent="0.25">
      <c r="A35" s="199" t="s">
        <v>44</v>
      </c>
      <c r="B35" s="19" t="s">
        <v>3</v>
      </c>
      <c r="C35" s="80">
        <v>4469.1021373849999</v>
      </c>
      <c r="D35" s="80">
        <v>4492.1725980459996</v>
      </c>
      <c r="E35" s="83">
        <v>4579.5021263980225</v>
      </c>
      <c r="F35" s="22" t="s">
        <v>241</v>
      </c>
      <c r="G35" s="23">
        <v>2.4702946054757433</v>
      </c>
      <c r="H35" s="24">
        <v>1.9440376888013873</v>
      </c>
    </row>
    <row r="36" spans="1:8" ht="12.75" customHeight="1" x14ac:dyDescent="0.25">
      <c r="A36" s="200"/>
      <c r="B36" s="25" t="s">
        <v>242</v>
      </c>
      <c r="C36" s="82">
        <v>2236.5754329599999</v>
      </c>
      <c r="D36" s="82">
        <v>2190.9153680210002</v>
      </c>
      <c r="E36" s="82">
        <v>2252.6142814159998</v>
      </c>
      <c r="F36" s="27"/>
      <c r="G36" s="28">
        <v>0.71711636547723856</v>
      </c>
      <c r="H36" s="29">
        <v>2.816124908135123</v>
      </c>
    </row>
    <row r="37" spans="1:8" x14ac:dyDescent="0.25">
      <c r="A37" s="30" t="s">
        <v>18</v>
      </c>
      <c r="B37" s="31" t="s">
        <v>3</v>
      </c>
      <c r="C37" s="80">
        <v>1880.6190948660001</v>
      </c>
      <c r="D37" s="80">
        <v>1806.1311491710001</v>
      </c>
      <c r="E37" s="83">
        <v>1691.7523172287047</v>
      </c>
      <c r="F37" s="22" t="s">
        <v>241</v>
      </c>
      <c r="G37" s="32">
        <v>-10.042798042032686</v>
      </c>
      <c r="H37" s="33">
        <v>-6.3328087771917581</v>
      </c>
    </row>
    <row r="38" spans="1:8" x14ac:dyDescent="0.25">
      <c r="A38" s="34"/>
      <c r="B38" s="25" t="s">
        <v>242</v>
      </c>
      <c r="C38" s="82">
        <v>1040.7543620900001</v>
      </c>
      <c r="D38" s="82">
        <v>971.05932679</v>
      </c>
      <c r="E38" s="82">
        <v>918.28339008900002</v>
      </c>
      <c r="F38" s="27"/>
      <c r="G38" s="35">
        <v>-11.767519451473532</v>
      </c>
      <c r="H38" s="29">
        <v>-5.4348828382566126</v>
      </c>
    </row>
    <row r="39" spans="1:8" x14ac:dyDescent="0.25">
      <c r="A39" s="30" t="s">
        <v>19</v>
      </c>
      <c r="B39" s="31" t="s">
        <v>3</v>
      </c>
      <c r="C39" s="80">
        <v>1812.5979575169999</v>
      </c>
      <c r="D39" s="80">
        <v>1752.8804751109999</v>
      </c>
      <c r="E39" s="83">
        <v>2069.3628890696482</v>
      </c>
      <c r="F39" s="22" t="s">
        <v>241</v>
      </c>
      <c r="G39" s="37">
        <v>14.165575465194706</v>
      </c>
      <c r="H39" s="33">
        <v>18.054991110481012</v>
      </c>
    </row>
    <row r="40" spans="1:8" x14ac:dyDescent="0.25">
      <c r="A40" s="34"/>
      <c r="B40" s="25" t="s">
        <v>242</v>
      </c>
      <c r="C40" s="82">
        <v>789.70954229200004</v>
      </c>
      <c r="D40" s="82">
        <v>782.96699885199996</v>
      </c>
      <c r="E40" s="82">
        <v>916.61999870800003</v>
      </c>
      <c r="F40" s="27"/>
      <c r="G40" s="28">
        <v>16.07052335313864</v>
      </c>
      <c r="H40" s="29">
        <v>17.07006809379763</v>
      </c>
    </row>
    <row r="41" spans="1:8" x14ac:dyDescent="0.25">
      <c r="A41" s="30" t="s">
        <v>20</v>
      </c>
      <c r="B41" s="31" t="s">
        <v>3</v>
      </c>
      <c r="C41" s="80">
        <v>93.722217442000002</v>
      </c>
      <c r="D41" s="80">
        <v>88.555282128000002</v>
      </c>
      <c r="E41" s="83">
        <v>79.51048015988826</v>
      </c>
      <c r="F41" s="22" t="s">
        <v>241</v>
      </c>
      <c r="G41" s="23">
        <v>-15.163680149700554</v>
      </c>
      <c r="H41" s="24">
        <v>-10.21373513895891</v>
      </c>
    </row>
    <row r="42" spans="1:8" x14ac:dyDescent="0.25">
      <c r="A42" s="34"/>
      <c r="B42" s="25" t="s">
        <v>242</v>
      </c>
      <c r="C42" s="82">
        <v>44.012240912999999</v>
      </c>
      <c r="D42" s="82">
        <v>45.357330658000002</v>
      </c>
      <c r="E42" s="82">
        <v>39.529646692999997</v>
      </c>
      <c r="F42" s="27"/>
      <c r="G42" s="38">
        <v>-10.184880676402841</v>
      </c>
      <c r="H42" s="24">
        <v>-12.84838388956679</v>
      </c>
    </row>
    <row r="43" spans="1:8" x14ac:dyDescent="0.25">
      <c r="A43" s="30" t="s">
        <v>21</v>
      </c>
      <c r="B43" s="31" t="s">
        <v>3</v>
      </c>
      <c r="C43" s="80">
        <v>24.349907472999998</v>
      </c>
      <c r="D43" s="80">
        <v>21.615658198999999</v>
      </c>
      <c r="E43" s="83">
        <v>22.743580551494507</v>
      </c>
      <c r="F43" s="22" t="s">
        <v>241</v>
      </c>
      <c r="G43" s="37">
        <v>-6.5968502068709682</v>
      </c>
      <c r="H43" s="33">
        <v>5.2180800700609211</v>
      </c>
    </row>
    <row r="44" spans="1:8" x14ac:dyDescent="0.25">
      <c r="A44" s="34"/>
      <c r="B44" s="25" t="s">
        <v>242</v>
      </c>
      <c r="C44" s="82">
        <v>11.192183421999999</v>
      </c>
      <c r="D44" s="82">
        <v>11.227376470999999</v>
      </c>
      <c r="E44" s="82">
        <v>11.322454045000001</v>
      </c>
      <c r="F44" s="27"/>
      <c r="G44" s="28">
        <v>1.1639428884263339</v>
      </c>
      <c r="H44" s="29">
        <v>0.84683696360929162</v>
      </c>
    </row>
    <row r="45" spans="1:8" x14ac:dyDescent="0.25">
      <c r="A45" s="30" t="s">
        <v>22</v>
      </c>
      <c r="B45" s="31" t="s">
        <v>3</v>
      </c>
      <c r="C45" s="80">
        <v>5.2687985169999996</v>
      </c>
      <c r="D45" s="80">
        <v>3.5826513050000002</v>
      </c>
      <c r="E45" s="83">
        <v>3.4197167849413015</v>
      </c>
      <c r="F45" s="22" t="s">
        <v>241</v>
      </c>
      <c r="G45" s="37">
        <v>-35.094941021042231</v>
      </c>
      <c r="H45" s="33">
        <v>-4.5478754751070767</v>
      </c>
    </row>
    <row r="46" spans="1:8" x14ac:dyDescent="0.25">
      <c r="A46" s="34"/>
      <c r="B46" s="25" t="s">
        <v>242</v>
      </c>
      <c r="C46" s="82">
        <v>1.9046139150000001</v>
      </c>
      <c r="D46" s="82">
        <v>1.7157108649999999</v>
      </c>
      <c r="E46" s="82">
        <v>1.4777054270000001</v>
      </c>
      <c r="F46" s="27"/>
      <c r="G46" s="28">
        <v>-22.414437101285174</v>
      </c>
      <c r="H46" s="29">
        <v>-13.872118132212208</v>
      </c>
    </row>
    <row r="47" spans="1:8" x14ac:dyDescent="0.25">
      <c r="A47" s="30" t="s">
        <v>190</v>
      </c>
      <c r="B47" s="31" t="s">
        <v>3</v>
      </c>
      <c r="C47" s="80">
        <v>320.23655932700001</v>
      </c>
      <c r="D47" s="80">
        <v>325.71855430400001</v>
      </c>
      <c r="E47" s="83">
        <v>350.78782611447429</v>
      </c>
      <c r="F47" s="22" t="s">
        <v>241</v>
      </c>
      <c r="G47" s="23">
        <v>9.5402182847829522</v>
      </c>
      <c r="H47" s="24">
        <v>7.6966053911305892</v>
      </c>
    </row>
    <row r="48" spans="1:8" x14ac:dyDescent="0.25">
      <c r="A48" s="30"/>
      <c r="B48" s="25" t="s">
        <v>242</v>
      </c>
      <c r="C48" s="82">
        <v>159.233619178</v>
      </c>
      <c r="D48" s="82">
        <v>162.619856545</v>
      </c>
      <c r="E48" s="82">
        <v>174.89835124800001</v>
      </c>
      <c r="F48" s="27"/>
      <c r="G48" s="38">
        <v>9.8375783649614448</v>
      </c>
      <c r="H48" s="24">
        <v>7.5504277053659337</v>
      </c>
    </row>
    <row r="49" spans="1:8" x14ac:dyDescent="0.25">
      <c r="A49" s="39" t="s">
        <v>12</v>
      </c>
      <c r="B49" s="31" t="s">
        <v>3</v>
      </c>
      <c r="C49" s="80">
        <v>8.6793589230000006</v>
      </c>
      <c r="D49" s="80">
        <v>3.5029887359999998</v>
      </c>
      <c r="E49" s="83">
        <v>4.2390456779919923</v>
      </c>
      <c r="F49" s="22" t="s">
        <v>241</v>
      </c>
      <c r="G49" s="37">
        <v>-51.159461020114421</v>
      </c>
      <c r="H49" s="33">
        <v>21.012255461388747</v>
      </c>
    </row>
    <row r="50" spans="1:8" x14ac:dyDescent="0.25">
      <c r="A50" s="34"/>
      <c r="B50" s="25" t="s">
        <v>242</v>
      </c>
      <c r="C50" s="82">
        <v>2.238879447</v>
      </c>
      <c r="D50" s="82">
        <v>3.1580307689999998</v>
      </c>
      <c r="E50" s="82">
        <v>2.0864467269999998</v>
      </c>
      <c r="F50" s="27"/>
      <c r="G50" s="28">
        <v>-6.8084380427116571</v>
      </c>
      <c r="H50" s="29">
        <v>-33.932032978238539</v>
      </c>
    </row>
    <row r="51" spans="1:8" x14ac:dyDescent="0.25">
      <c r="A51" s="39" t="s">
        <v>23</v>
      </c>
      <c r="B51" s="31" t="s">
        <v>3</v>
      </c>
      <c r="C51" s="80">
        <v>141.880871996</v>
      </c>
      <c r="D51" s="80">
        <v>142.29272244500001</v>
      </c>
      <c r="E51" s="83">
        <v>135.81419590918173</v>
      </c>
      <c r="F51" s="22" t="s">
        <v>241</v>
      </c>
      <c r="G51" s="23">
        <v>-4.2758942776932543</v>
      </c>
      <c r="H51" s="24">
        <v>-4.5529570483285937</v>
      </c>
    </row>
    <row r="52" spans="1:8" x14ac:dyDescent="0.25">
      <c r="A52" s="34"/>
      <c r="B52" s="25" t="s">
        <v>242</v>
      </c>
      <c r="C52" s="82">
        <v>72.246477354000007</v>
      </c>
      <c r="D52" s="82">
        <v>68.039884293</v>
      </c>
      <c r="E52" s="82">
        <v>66.288858069</v>
      </c>
      <c r="F52" s="27"/>
      <c r="G52" s="28">
        <v>-8.2462418974537712</v>
      </c>
      <c r="H52" s="29">
        <v>-2.5735291031059973</v>
      </c>
    </row>
    <row r="53" spans="1:8" x14ac:dyDescent="0.25">
      <c r="A53" s="30" t="s">
        <v>24</v>
      </c>
      <c r="B53" s="31" t="s">
        <v>3</v>
      </c>
      <c r="C53" s="80">
        <v>181.74737132600001</v>
      </c>
      <c r="D53" s="80">
        <v>347.89311664899998</v>
      </c>
      <c r="E53" s="83">
        <v>259.78951026379713</v>
      </c>
      <c r="F53" s="22" t="s">
        <v>241</v>
      </c>
      <c r="G53" s="23">
        <v>42.939899690660752</v>
      </c>
      <c r="H53" s="24">
        <v>-25.32490646375544</v>
      </c>
    </row>
    <row r="54" spans="1:8" ht="13.8" thickBot="1" x14ac:dyDescent="0.3">
      <c r="A54" s="41"/>
      <c r="B54" s="42" t="s">
        <v>242</v>
      </c>
      <c r="C54" s="86">
        <v>115.283514349</v>
      </c>
      <c r="D54" s="86">
        <v>144.77085278000001</v>
      </c>
      <c r="E54" s="86">
        <v>122.107430409</v>
      </c>
      <c r="F54" s="44"/>
      <c r="G54" s="45">
        <v>5.9192470827544668</v>
      </c>
      <c r="H54" s="46">
        <v>-15.65468596461217</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G61" s="53"/>
      <c r="H61" s="202">
        <v>15</v>
      </c>
    </row>
    <row r="62" spans="1:8" ht="12.75" customHeight="1" x14ac:dyDescent="0.25">
      <c r="A62" s="54" t="s">
        <v>244</v>
      </c>
      <c r="G62" s="53"/>
      <c r="H62" s="195"/>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5" t="s">
        <v>0</v>
      </c>
      <c r="B2" s="2"/>
      <c r="C2" s="2"/>
      <c r="D2" s="2"/>
      <c r="E2" s="2"/>
      <c r="F2" s="2"/>
      <c r="G2" s="2"/>
    </row>
    <row r="3" spans="1:8" ht="6" customHeight="1" x14ac:dyDescent="0.25">
      <c r="A3" s="3"/>
      <c r="B3" s="2"/>
      <c r="C3" s="2"/>
      <c r="D3" s="2"/>
      <c r="E3" s="2"/>
      <c r="F3" s="2"/>
      <c r="G3" s="2"/>
    </row>
    <row r="4" spans="1:8" ht="16.2" thickBot="1" x14ac:dyDescent="0.35">
      <c r="A4" s="4" t="s">
        <v>151</v>
      </c>
      <c r="B4" s="5"/>
      <c r="C4" s="5"/>
      <c r="D4" s="5"/>
      <c r="E4" s="5"/>
      <c r="F4" s="5"/>
      <c r="G4" s="5"/>
      <c r="H4" s="6"/>
    </row>
    <row r="5" spans="1:8" x14ac:dyDescent="0.25">
      <c r="A5" s="7"/>
      <c r="B5" s="8"/>
      <c r="C5" s="9"/>
      <c r="D5" s="8"/>
      <c r="E5" s="10"/>
      <c r="F5" s="11"/>
      <c r="G5" s="197" t="s">
        <v>1</v>
      </c>
      <c r="H5" s="198"/>
    </row>
    <row r="6" spans="1:8" x14ac:dyDescent="0.25">
      <c r="A6" s="12"/>
      <c r="B6" s="13"/>
      <c r="C6" s="14" t="s">
        <v>236</v>
      </c>
      <c r="D6" s="15" t="s">
        <v>237</v>
      </c>
      <c r="E6" s="15" t="s">
        <v>238</v>
      </c>
      <c r="F6" s="16"/>
      <c r="G6" s="17" t="s">
        <v>239</v>
      </c>
      <c r="H6" s="18" t="s">
        <v>240</v>
      </c>
    </row>
    <row r="7" spans="1:8" ht="12.75" customHeight="1" x14ac:dyDescent="0.25">
      <c r="A7" s="199" t="s">
        <v>45</v>
      </c>
      <c r="B7" s="19" t="s">
        <v>3</v>
      </c>
      <c r="C7" s="20">
        <v>15847</v>
      </c>
      <c r="D7" s="20">
        <v>16072.498266667</v>
      </c>
      <c r="E7" s="21">
        <v>14688.963750982684</v>
      </c>
      <c r="F7" s="22" t="s">
        <v>241</v>
      </c>
      <c r="G7" s="23">
        <v>-7.307605534279773</v>
      </c>
      <c r="H7" s="24">
        <v>-8.6080862646826404</v>
      </c>
    </row>
    <row r="8" spans="1:8" ht="12.75" customHeight="1" x14ac:dyDescent="0.25">
      <c r="A8" s="200"/>
      <c r="B8" s="25" t="s">
        <v>242</v>
      </c>
      <c r="C8" s="26">
        <v>7418</v>
      </c>
      <c r="D8" s="26">
        <v>8377.4704651280008</v>
      </c>
      <c r="E8" s="26">
        <v>7377.228430911</v>
      </c>
      <c r="F8" s="27"/>
      <c r="G8" s="28">
        <v>-0.54963021149904989</v>
      </c>
      <c r="H8" s="29">
        <v>-11.939666494565401</v>
      </c>
    </row>
    <row r="9" spans="1:8" x14ac:dyDescent="0.25">
      <c r="A9" s="30" t="s">
        <v>18</v>
      </c>
      <c r="B9" s="31" t="s">
        <v>3</v>
      </c>
      <c r="C9" s="20">
        <v>3370</v>
      </c>
      <c r="D9" s="20">
        <v>1877.5236</v>
      </c>
      <c r="E9" s="21">
        <v>1787.9166736530547</v>
      </c>
      <c r="F9" s="22" t="s">
        <v>241</v>
      </c>
      <c r="G9" s="32">
        <v>-46.946092769939028</v>
      </c>
      <c r="H9" s="33">
        <v>-4.7726125171979419</v>
      </c>
    </row>
    <row r="10" spans="1:8" x14ac:dyDescent="0.25">
      <c r="A10" s="34"/>
      <c r="B10" s="25" t="s">
        <v>242</v>
      </c>
      <c r="C10" s="26">
        <v>937</v>
      </c>
      <c r="D10" s="26">
        <v>1005.478191304</v>
      </c>
      <c r="E10" s="26">
        <v>731.63596521700003</v>
      </c>
      <c r="F10" s="27"/>
      <c r="G10" s="35">
        <v>-21.917186209498396</v>
      </c>
      <c r="H10" s="29">
        <v>-27.235023937401891</v>
      </c>
    </row>
    <row r="11" spans="1:8" x14ac:dyDescent="0.25">
      <c r="A11" s="30" t="s">
        <v>19</v>
      </c>
      <c r="B11" s="31" t="s">
        <v>3</v>
      </c>
      <c r="C11" s="20">
        <v>3303</v>
      </c>
      <c r="D11" s="20">
        <v>3615.4119999999998</v>
      </c>
      <c r="E11" s="21">
        <v>4918.5147434691653</v>
      </c>
      <c r="F11" s="22" t="s">
        <v>241</v>
      </c>
      <c r="G11" s="37">
        <v>48.910528109874804</v>
      </c>
      <c r="H11" s="33">
        <v>36.042994366040887</v>
      </c>
    </row>
    <row r="12" spans="1:8" x14ac:dyDescent="0.25">
      <c r="A12" s="34"/>
      <c r="B12" s="25" t="s">
        <v>242</v>
      </c>
      <c r="C12" s="26">
        <v>1869</v>
      </c>
      <c r="D12" s="26">
        <v>1820.927304348</v>
      </c>
      <c r="E12" s="26">
        <v>2571.4532173910002</v>
      </c>
      <c r="F12" s="27"/>
      <c r="G12" s="28">
        <v>37.584441807972183</v>
      </c>
      <c r="H12" s="29">
        <v>41.216687302722022</v>
      </c>
    </row>
    <row r="13" spans="1:8" x14ac:dyDescent="0.25">
      <c r="A13" s="30" t="s">
        <v>20</v>
      </c>
      <c r="B13" s="31" t="s">
        <v>3</v>
      </c>
      <c r="C13" s="20">
        <v>2131</v>
      </c>
      <c r="D13" s="20">
        <v>1697.0057142860001</v>
      </c>
      <c r="E13" s="21">
        <v>1411.2399214870559</v>
      </c>
      <c r="F13" s="22" t="s">
        <v>241</v>
      </c>
      <c r="G13" s="23">
        <v>-33.775695847627603</v>
      </c>
      <c r="H13" s="24">
        <v>-16.839412524852776</v>
      </c>
    </row>
    <row r="14" spans="1:8" x14ac:dyDescent="0.25">
      <c r="A14" s="34"/>
      <c r="B14" s="25" t="s">
        <v>242</v>
      </c>
      <c r="C14" s="26">
        <v>1081</v>
      </c>
      <c r="D14" s="26">
        <v>891.346335404</v>
      </c>
      <c r="E14" s="26">
        <v>732.59677018599996</v>
      </c>
      <c r="F14" s="27"/>
      <c r="G14" s="38">
        <v>-32.229715986493986</v>
      </c>
      <c r="H14" s="24">
        <v>-17.810087831465339</v>
      </c>
    </row>
    <row r="15" spans="1:8" x14ac:dyDescent="0.25">
      <c r="A15" s="30" t="s">
        <v>21</v>
      </c>
      <c r="B15" s="31" t="s">
        <v>3</v>
      </c>
      <c r="C15" s="20">
        <v>411</v>
      </c>
      <c r="D15" s="20">
        <v>413.16833333300002</v>
      </c>
      <c r="E15" s="21">
        <v>355.49822421736638</v>
      </c>
      <c r="F15" s="22" t="s">
        <v>241</v>
      </c>
      <c r="G15" s="37">
        <v>-13.504081698937625</v>
      </c>
      <c r="H15" s="33">
        <v>-13.958017704409471</v>
      </c>
    </row>
    <row r="16" spans="1:8" x14ac:dyDescent="0.25">
      <c r="A16" s="34"/>
      <c r="B16" s="25" t="s">
        <v>242</v>
      </c>
      <c r="C16" s="26">
        <v>188</v>
      </c>
      <c r="D16" s="26">
        <v>216.68434782599999</v>
      </c>
      <c r="E16" s="26">
        <v>177.75739130400001</v>
      </c>
      <c r="F16" s="27"/>
      <c r="G16" s="28">
        <v>-5.4481961148936051</v>
      </c>
      <c r="H16" s="29">
        <v>-17.964821599970278</v>
      </c>
    </row>
    <row r="17" spans="1:8" x14ac:dyDescent="0.25">
      <c r="A17" s="30" t="s">
        <v>22</v>
      </c>
      <c r="B17" s="31" t="s">
        <v>3</v>
      </c>
      <c r="C17" s="20">
        <v>390</v>
      </c>
      <c r="D17" s="20">
        <v>285.16833333300002</v>
      </c>
      <c r="E17" s="21">
        <v>288.66281872829973</v>
      </c>
      <c r="F17" s="22" t="s">
        <v>241</v>
      </c>
      <c r="G17" s="37">
        <v>-25.983892633769301</v>
      </c>
      <c r="H17" s="33">
        <v>1.2254114453932345</v>
      </c>
    </row>
    <row r="18" spans="1:8" x14ac:dyDescent="0.25">
      <c r="A18" s="34"/>
      <c r="B18" s="25" t="s">
        <v>242</v>
      </c>
      <c r="C18" s="26">
        <v>140</v>
      </c>
      <c r="D18" s="26">
        <v>146.68434782599999</v>
      </c>
      <c r="E18" s="26">
        <v>129.75739130400001</v>
      </c>
      <c r="F18" s="27"/>
      <c r="G18" s="28">
        <v>-7.3161490685714199</v>
      </c>
      <c r="H18" s="29">
        <v>-11.539715568070761</v>
      </c>
    </row>
    <row r="19" spans="1:8" x14ac:dyDescent="0.25">
      <c r="A19" s="30" t="s">
        <v>190</v>
      </c>
      <c r="B19" s="31" t="s">
        <v>3</v>
      </c>
      <c r="C19" s="20">
        <v>3743</v>
      </c>
      <c r="D19" s="20">
        <v>4681.0142857139999</v>
      </c>
      <c r="E19" s="21">
        <v>3283.4135078899649</v>
      </c>
      <c r="F19" s="22" t="s">
        <v>241</v>
      </c>
      <c r="G19" s="23">
        <v>-12.278559767834224</v>
      </c>
      <c r="H19" s="24">
        <v>-29.856793688696413</v>
      </c>
    </row>
    <row r="20" spans="1:8" x14ac:dyDescent="0.25">
      <c r="A20" s="30"/>
      <c r="B20" s="25" t="s">
        <v>242</v>
      </c>
      <c r="C20" s="26">
        <v>1937</v>
      </c>
      <c r="D20" s="26">
        <v>2251.8658385089998</v>
      </c>
      <c r="E20" s="26">
        <v>1617.4919254660001</v>
      </c>
      <c r="F20" s="27"/>
      <c r="G20" s="38">
        <v>-16.494996103975211</v>
      </c>
      <c r="H20" s="24">
        <v>-28.171034978843579</v>
      </c>
    </row>
    <row r="21" spans="1:8" x14ac:dyDescent="0.25">
      <c r="A21" s="39" t="s">
        <v>12</v>
      </c>
      <c r="B21" s="31" t="s">
        <v>3</v>
      </c>
      <c r="C21" s="20">
        <v>53</v>
      </c>
      <c r="D21" s="20">
        <v>44.701000000000001</v>
      </c>
      <c r="E21" s="21">
        <v>41.097956660049668</v>
      </c>
      <c r="F21" s="22" t="s">
        <v>241</v>
      </c>
      <c r="G21" s="37">
        <v>-22.456685547076091</v>
      </c>
      <c r="H21" s="33">
        <v>-8.0603193216042968</v>
      </c>
    </row>
    <row r="22" spans="1:8" x14ac:dyDescent="0.25">
      <c r="A22" s="34"/>
      <c r="B22" s="25" t="s">
        <v>242</v>
      </c>
      <c r="C22" s="26">
        <v>26</v>
      </c>
      <c r="D22" s="26">
        <v>22.410608696000001</v>
      </c>
      <c r="E22" s="26">
        <v>20.454434783</v>
      </c>
      <c r="F22" s="27"/>
      <c r="G22" s="28">
        <v>-21.329096988461544</v>
      </c>
      <c r="H22" s="29">
        <v>-8.7287852799337458</v>
      </c>
    </row>
    <row r="23" spans="1:8" x14ac:dyDescent="0.25">
      <c r="A23" s="39" t="s">
        <v>23</v>
      </c>
      <c r="B23" s="31" t="s">
        <v>3</v>
      </c>
      <c r="C23" s="20">
        <v>1427</v>
      </c>
      <c r="D23" s="20">
        <v>1718.168333333</v>
      </c>
      <c r="E23" s="21">
        <v>1814.1531460983815</v>
      </c>
      <c r="F23" s="22" t="s">
        <v>241</v>
      </c>
      <c r="G23" s="23">
        <v>27.130563847118538</v>
      </c>
      <c r="H23" s="24">
        <v>5.5864615185396076</v>
      </c>
    </row>
    <row r="24" spans="1:8" x14ac:dyDescent="0.25">
      <c r="A24" s="34"/>
      <c r="B24" s="25" t="s">
        <v>242</v>
      </c>
      <c r="C24" s="26">
        <v>695</v>
      </c>
      <c r="D24" s="26">
        <v>800.68434782600002</v>
      </c>
      <c r="E24" s="26">
        <v>857.75739130399995</v>
      </c>
      <c r="F24" s="27"/>
      <c r="G24" s="28">
        <v>23.418329684028777</v>
      </c>
      <c r="H24" s="29">
        <v>7.1280328675043165</v>
      </c>
    </row>
    <row r="25" spans="1:8" x14ac:dyDescent="0.25">
      <c r="A25" s="30" t="s">
        <v>24</v>
      </c>
      <c r="B25" s="31" t="s">
        <v>3</v>
      </c>
      <c r="C25" s="20">
        <v>1533</v>
      </c>
      <c r="D25" s="20">
        <v>2353.3366666669999</v>
      </c>
      <c r="E25" s="21">
        <v>1227.0573802856293</v>
      </c>
      <c r="F25" s="22" t="s">
        <v>241</v>
      </c>
      <c r="G25" s="23">
        <v>-19.957118050513429</v>
      </c>
      <c r="H25" s="24">
        <v>-47.858825400298777</v>
      </c>
    </row>
    <row r="26" spans="1:8" ht="13.8" thickBot="1" x14ac:dyDescent="0.3">
      <c r="A26" s="41"/>
      <c r="B26" s="42" t="s">
        <v>242</v>
      </c>
      <c r="C26" s="43">
        <v>797</v>
      </c>
      <c r="D26" s="43">
        <v>1544.368695652</v>
      </c>
      <c r="E26" s="43">
        <v>740.51478260900001</v>
      </c>
      <c r="F26" s="44"/>
      <c r="G26" s="45">
        <v>-7.0872292836888278</v>
      </c>
      <c r="H26" s="46">
        <v>-52.05064796419159</v>
      </c>
    </row>
    <row r="31" spans="1:8" x14ac:dyDescent="0.25">
      <c r="A31" s="47"/>
      <c r="B31" s="48"/>
      <c r="C31" s="49"/>
      <c r="D31" s="55"/>
      <c r="E31" s="49"/>
      <c r="F31" s="49"/>
      <c r="G31" s="50"/>
      <c r="H31" s="51"/>
    </row>
    <row r="32" spans="1:8" ht="16.8" thickBot="1" x14ac:dyDescent="0.4">
      <c r="A32" s="4" t="s">
        <v>98</v>
      </c>
      <c r="B32" s="5"/>
      <c r="C32" s="5"/>
      <c r="D32" s="5"/>
      <c r="E32" s="5"/>
      <c r="F32" s="5"/>
      <c r="G32" s="5"/>
      <c r="H32" s="6"/>
    </row>
    <row r="33" spans="1:8" x14ac:dyDescent="0.25">
      <c r="A33" s="7"/>
      <c r="B33" s="8"/>
      <c r="C33" s="203" t="s">
        <v>16</v>
      </c>
      <c r="D33" s="197"/>
      <c r="E33" s="197"/>
      <c r="F33" s="204"/>
      <c r="G33" s="197" t="s">
        <v>1</v>
      </c>
      <c r="H33" s="198"/>
    </row>
    <row r="34" spans="1:8" x14ac:dyDescent="0.25">
      <c r="A34" s="12"/>
      <c r="B34" s="13"/>
      <c r="C34" s="14" t="s">
        <v>236</v>
      </c>
      <c r="D34" s="15" t="s">
        <v>237</v>
      </c>
      <c r="E34" s="15" t="s">
        <v>238</v>
      </c>
      <c r="F34" s="16"/>
      <c r="G34" s="17" t="s">
        <v>239</v>
      </c>
      <c r="H34" s="18" t="s">
        <v>240</v>
      </c>
    </row>
    <row r="35" spans="1:8" ht="12.75" customHeight="1" x14ac:dyDescent="0.25">
      <c r="A35" s="199" t="s">
        <v>45</v>
      </c>
      <c r="B35" s="19" t="s">
        <v>3</v>
      </c>
      <c r="C35" s="80">
        <v>812.54066571700002</v>
      </c>
      <c r="D35" s="80">
        <v>734.41756642099995</v>
      </c>
      <c r="E35" s="83">
        <v>739.23001536981837</v>
      </c>
      <c r="F35" s="22" t="s">
        <v>241</v>
      </c>
      <c r="G35" s="23">
        <v>-9.0223977014727126</v>
      </c>
      <c r="H35" s="24">
        <v>0.65527421576673817</v>
      </c>
    </row>
    <row r="36" spans="1:8" ht="12.75" customHeight="1" x14ac:dyDescent="0.25">
      <c r="A36" s="200"/>
      <c r="B36" s="25" t="s">
        <v>242</v>
      </c>
      <c r="C36" s="82">
        <v>401.60775589399998</v>
      </c>
      <c r="D36" s="82">
        <v>388.79056866500002</v>
      </c>
      <c r="E36" s="82">
        <v>382.28262150900002</v>
      </c>
      <c r="F36" s="27"/>
      <c r="G36" s="28">
        <v>-4.8119425238641611</v>
      </c>
      <c r="H36" s="29">
        <v>-1.6738953257910794</v>
      </c>
    </row>
    <row r="37" spans="1:8" x14ac:dyDescent="0.25">
      <c r="A37" s="30" t="s">
        <v>18</v>
      </c>
      <c r="B37" s="31" t="s">
        <v>3</v>
      </c>
      <c r="C37" s="80">
        <v>447.371126667</v>
      </c>
      <c r="D37" s="80">
        <v>300.22438638900002</v>
      </c>
      <c r="E37" s="83">
        <v>279.45050418889775</v>
      </c>
      <c r="F37" s="22" t="s">
        <v>241</v>
      </c>
      <c r="G37" s="32">
        <v>-37.534970960048952</v>
      </c>
      <c r="H37" s="33">
        <v>-6.9194519639006273</v>
      </c>
    </row>
    <row r="38" spans="1:8" x14ac:dyDescent="0.25">
      <c r="A38" s="34"/>
      <c r="B38" s="25" t="s">
        <v>242</v>
      </c>
      <c r="C38" s="82">
        <v>201.43125676899999</v>
      </c>
      <c r="D38" s="82">
        <v>167.30441808</v>
      </c>
      <c r="E38" s="82">
        <v>144.29653622399999</v>
      </c>
      <c r="F38" s="27"/>
      <c r="G38" s="35">
        <v>-28.364376741451665</v>
      </c>
      <c r="H38" s="29">
        <v>-13.752106561225602</v>
      </c>
    </row>
    <row r="39" spans="1:8" x14ac:dyDescent="0.25">
      <c r="A39" s="30" t="s">
        <v>19</v>
      </c>
      <c r="B39" s="31" t="s">
        <v>3</v>
      </c>
      <c r="C39" s="80">
        <v>151.449725927</v>
      </c>
      <c r="D39" s="80">
        <v>154.376926005</v>
      </c>
      <c r="E39" s="83">
        <v>255.77625735561074</v>
      </c>
      <c r="F39" s="22" t="s">
        <v>241</v>
      </c>
      <c r="G39" s="37">
        <v>68.885256008252497</v>
      </c>
      <c r="H39" s="33">
        <v>65.682957922951886</v>
      </c>
    </row>
    <row r="40" spans="1:8" x14ac:dyDescent="0.25">
      <c r="A40" s="34"/>
      <c r="B40" s="25" t="s">
        <v>242</v>
      </c>
      <c r="C40" s="82">
        <v>84.688994665999999</v>
      </c>
      <c r="D40" s="82">
        <v>83.286261436999993</v>
      </c>
      <c r="E40" s="82">
        <v>139.62996285200001</v>
      </c>
      <c r="F40" s="27"/>
      <c r="G40" s="28">
        <v>64.873799013293876</v>
      </c>
      <c r="H40" s="29">
        <v>67.650655033447435</v>
      </c>
    </row>
    <row r="41" spans="1:8" x14ac:dyDescent="0.25">
      <c r="A41" s="30" t="s">
        <v>20</v>
      </c>
      <c r="B41" s="31" t="s">
        <v>3</v>
      </c>
      <c r="C41" s="80">
        <v>54.706122268999998</v>
      </c>
      <c r="D41" s="80">
        <v>44.724691919000001</v>
      </c>
      <c r="E41" s="83">
        <v>35.927018039040377</v>
      </c>
      <c r="F41" s="22" t="s">
        <v>241</v>
      </c>
      <c r="G41" s="23">
        <v>-34.327244284687794</v>
      </c>
      <c r="H41" s="24">
        <v>-19.670731093895327</v>
      </c>
    </row>
    <row r="42" spans="1:8" x14ac:dyDescent="0.25">
      <c r="A42" s="34"/>
      <c r="B42" s="25" t="s">
        <v>242</v>
      </c>
      <c r="C42" s="82">
        <v>31.555055419999999</v>
      </c>
      <c r="D42" s="82">
        <v>26.43822024</v>
      </c>
      <c r="E42" s="82">
        <v>21.063294945999999</v>
      </c>
      <c r="F42" s="27"/>
      <c r="G42" s="38">
        <v>-33.24906368996642</v>
      </c>
      <c r="H42" s="24">
        <v>-20.33013283499298</v>
      </c>
    </row>
    <row r="43" spans="1:8" x14ac:dyDescent="0.25">
      <c r="A43" s="30" t="s">
        <v>21</v>
      </c>
      <c r="B43" s="31" t="s">
        <v>3</v>
      </c>
      <c r="C43" s="80">
        <v>7.6826485289999997</v>
      </c>
      <c r="D43" s="80">
        <v>9.7928673289999999</v>
      </c>
      <c r="E43" s="83">
        <v>7.3049665927619944</v>
      </c>
      <c r="F43" s="22" t="s">
        <v>241</v>
      </c>
      <c r="G43" s="37">
        <v>-4.916038197144573</v>
      </c>
      <c r="H43" s="33">
        <v>-25.405232733731495</v>
      </c>
    </row>
    <row r="44" spans="1:8" x14ac:dyDescent="0.25">
      <c r="A44" s="34"/>
      <c r="B44" s="25" t="s">
        <v>242</v>
      </c>
      <c r="C44" s="82">
        <v>2.2687263510000002</v>
      </c>
      <c r="D44" s="82">
        <v>4.5078336349999999</v>
      </c>
      <c r="E44" s="82">
        <v>2.8346240379999998</v>
      </c>
      <c r="F44" s="27"/>
      <c r="G44" s="28">
        <v>24.943408743437274</v>
      </c>
      <c r="H44" s="29">
        <v>-37.117820498271335</v>
      </c>
    </row>
    <row r="45" spans="1:8" x14ac:dyDescent="0.25">
      <c r="A45" s="30" t="s">
        <v>22</v>
      </c>
      <c r="B45" s="31" t="s">
        <v>3</v>
      </c>
      <c r="C45" s="80">
        <v>2.58368134</v>
      </c>
      <c r="D45" s="80">
        <v>1.438553446</v>
      </c>
      <c r="E45" s="83">
        <v>1.6986518005068874</v>
      </c>
      <c r="F45" s="22" t="s">
        <v>241</v>
      </c>
      <c r="G45" s="37">
        <v>-34.254593466743572</v>
      </c>
      <c r="H45" s="33">
        <v>18.080548569822639</v>
      </c>
    </row>
    <row r="46" spans="1:8" x14ac:dyDescent="0.25">
      <c r="A46" s="34"/>
      <c r="B46" s="25" t="s">
        <v>242</v>
      </c>
      <c r="C46" s="82">
        <v>0.993039915</v>
      </c>
      <c r="D46" s="82">
        <v>0.81299689900000005</v>
      </c>
      <c r="E46" s="82">
        <v>0.82986820400000005</v>
      </c>
      <c r="F46" s="27"/>
      <c r="G46" s="28">
        <v>-16.431535987151122</v>
      </c>
      <c r="H46" s="29">
        <v>2.0751991822788085</v>
      </c>
    </row>
    <row r="47" spans="1:8" x14ac:dyDescent="0.25">
      <c r="A47" s="30" t="s">
        <v>190</v>
      </c>
      <c r="B47" s="31" t="s">
        <v>3</v>
      </c>
      <c r="C47" s="80">
        <v>86.685713366000002</v>
      </c>
      <c r="D47" s="80">
        <v>146.905877734</v>
      </c>
      <c r="E47" s="83">
        <v>82.63120341724877</v>
      </c>
      <c r="F47" s="22" t="s">
        <v>241</v>
      </c>
      <c r="G47" s="23">
        <v>-4.677252792086378</v>
      </c>
      <c r="H47" s="24">
        <v>-43.752282283172015</v>
      </c>
    </row>
    <row r="48" spans="1:8" x14ac:dyDescent="0.25">
      <c r="A48" s="30"/>
      <c r="B48" s="25" t="s">
        <v>242</v>
      </c>
      <c r="C48" s="82">
        <v>49.701622041</v>
      </c>
      <c r="D48" s="82">
        <v>68.603408715</v>
      </c>
      <c r="E48" s="82">
        <v>41.131334643000002</v>
      </c>
      <c r="F48" s="27"/>
      <c r="G48" s="38">
        <v>-17.243476261056784</v>
      </c>
      <c r="H48" s="24">
        <v>-40.044765393695783</v>
      </c>
    </row>
    <row r="49" spans="1:8" x14ac:dyDescent="0.25">
      <c r="A49" s="39" t="s">
        <v>12</v>
      </c>
      <c r="B49" s="31" t="s">
        <v>3</v>
      </c>
      <c r="C49" s="80">
        <v>0.81083148599999999</v>
      </c>
      <c r="D49" s="80">
        <v>0.53863706099999997</v>
      </c>
      <c r="E49" s="83">
        <v>0.34981521242104996</v>
      </c>
      <c r="F49" s="22" t="s">
        <v>241</v>
      </c>
      <c r="G49" s="37">
        <v>-56.857223916308307</v>
      </c>
      <c r="H49" s="33">
        <v>-35.055487683746662</v>
      </c>
    </row>
    <row r="50" spans="1:8" x14ac:dyDescent="0.25">
      <c r="A50" s="34"/>
      <c r="B50" s="25" t="s">
        <v>242</v>
      </c>
      <c r="C50" s="82">
        <v>0.30763716000000002</v>
      </c>
      <c r="D50" s="82">
        <v>0.31924572200000001</v>
      </c>
      <c r="E50" s="82">
        <v>0.17461337399999999</v>
      </c>
      <c r="F50" s="27"/>
      <c r="G50" s="28">
        <v>-43.240480441309501</v>
      </c>
      <c r="H50" s="29">
        <v>-45.304396592666016</v>
      </c>
    </row>
    <row r="51" spans="1:8" x14ac:dyDescent="0.25">
      <c r="A51" s="39" t="s">
        <v>23</v>
      </c>
      <c r="B51" s="31" t="s">
        <v>3</v>
      </c>
      <c r="C51" s="80">
        <v>36.339093022</v>
      </c>
      <c r="D51" s="80">
        <v>44.321216325999998</v>
      </c>
      <c r="E51" s="83">
        <v>42.686031084361893</v>
      </c>
      <c r="F51" s="22" t="s">
        <v>241</v>
      </c>
      <c r="G51" s="23">
        <v>17.465868117620346</v>
      </c>
      <c r="H51" s="24">
        <v>-3.6893961339207806</v>
      </c>
    </row>
    <row r="52" spans="1:8" x14ac:dyDescent="0.25">
      <c r="A52" s="34"/>
      <c r="B52" s="25" t="s">
        <v>242</v>
      </c>
      <c r="C52" s="82">
        <v>18.514337503</v>
      </c>
      <c r="D52" s="82">
        <v>19.257779873</v>
      </c>
      <c r="E52" s="82">
        <v>19.504116754000002</v>
      </c>
      <c r="F52" s="27"/>
      <c r="G52" s="28">
        <v>5.3460149510595301</v>
      </c>
      <c r="H52" s="29">
        <v>1.2791551395048089</v>
      </c>
    </row>
    <row r="53" spans="1:8" x14ac:dyDescent="0.25">
      <c r="A53" s="30" t="s">
        <v>24</v>
      </c>
      <c r="B53" s="31" t="s">
        <v>3</v>
      </c>
      <c r="C53" s="80">
        <v>24.910723111999999</v>
      </c>
      <c r="D53" s="80">
        <v>32.094410214</v>
      </c>
      <c r="E53" s="83">
        <v>23.781945672874336</v>
      </c>
      <c r="F53" s="22" t="s">
        <v>241</v>
      </c>
      <c r="G53" s="23">
        <v>-4.5312913400811965</v>
      </c>
      <c r="H53" s="24">
        <v>-25.900038311031679</v>
      </c>
    </row>
    <row r="54" spans="1:8" ht="13.8" thickBot="1" x14ac:dyDescent="0.3">
      <c r="A54" s="41"/>
      <c r="B54" s="42" t="s">
        <v>242</v>
      </c>
      <c r="C54" s="86">
        <v>12.147086068</v>
      </c>
      <c r="D54" s="86">
        <v>18.260404063999999</v>
      </c>
      <c r="E54" s="86">
        <v>12.818270474</v>
      </c>
      <c r="F54" s="44"/>
      <c r="G54" s="45">
        <v>5.5254766636432464</v>
      </c>
      <c r="H54" s="46">
        <v>-29.8029198638</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H61" s="194">
        <v>16</v>
      </c>
    </row>
    <row r="62" spans="1:8" ht="12.75" customHeight="1" x14ac:dyDescent="0.25">
      <c r="A62" s="54" t="s">
        <v>244</v>
      </c>
      <c r="H62" s="195"/>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5" t="s">
        <v>0</v>
      </c>
      <c r="B2" s="2"/>
      <c r="C2" s="2"/>
      <c r="D2" s="2"/>
      <c r="E2" s="2"/>
      <c r="F2" s="2"/>
      <c r="G2" s="2"/>
    </row>
    <row r="3" spans="1:8" ht="6" customHeight="1" x14ac:dyDescent="0.25">
      <c r="A3" s="3"/>
      <c r="B3" s="2"/>
      <c r="C3" s="2"/>
      <c r="D3" s="2"/>
      <c r="E3" s="2"/>
      <c r="F3" s="2"/>
      <c r="G3" s="2"/>
    </row>
    <row r="4" spans="1:8" ht="16.2" thickBot="1" x14ac:dyDescent="0.35">
      <c r="A4" s="4" t="s">
        <v>164</v>
      </c>
      <c r="B4" s="5"/>
      <c r="C4" s="5"/>
      <c r="D4" s="5"/>
      <c r="E4" s="5"/>
      <c r="F4" s="5"/>
      <c r="G4" s="5"/>
      <c r="H4" s="6"/>
    </row>
    <row r="5" spans="1:8" x14ac:dyDescent="0.25">
      <c r="A5" s="7"/>
      <c r="B5" s="8"/>
      <c r="C5" s="9"/>
      <c r="D5" s="8"/>
      <c r="E5" s="10"/>
      <c r="F5" s="11"/>
      <c r="G5" s="197" t="s">
        <v>1</v>
      </c>
      <c r="H5" s="198"/>
    </row>
    <row r="6" spans="1:8" x14ac:dyDescent="0.25">
      <c r="A6" s="12"/>
      <c r="B6" s="13"/>
      <c r="C6" s="14" t="s">
        <v>236</v>
      </c>
      <c r="D6" s="15" t="s">
        <v>237</v>
      </c>
      <c r="E6" s="15" t="s">
        <v>238</v>
      </c>
      <c r="F6" s="16"/>
      <c r="G6" s="17" t="s">
        <v>239</v>
      </c>
      <c r="H6" s="18" t="s">
        <v>240</v>
      </c>
    </row>
    <row r="7" spans="1:8" x14ac:dyDescent="0.25">
      <c r="A7" s="199" t="s">
        <v>166</v>
      </c>
      <c r="B7" s="19" t="s">
        <v>3</v>
      </c>
      <c r="C7" s="20">
        <v>46146</v>
      </c>
      <c r="D7" s="20">
        <v>42956.936227273</v>
      </c>
      <c r="E7" s="79">
        <v>41027.543295039526</v>
      </c>
      <c r="F7" s="22" t="s">
        <v>241</v>
      </c>
      <c r="G7" s="23">
        <v>-11.09187514618921</v>
      </c>
      <c r="H7" s="24">
        <v>-4.4914584271690217</v>
      </c>
    </row>
    <row r="8" spans="1:8" x14ac:dyDescent="0.25">
      <c r="A8" s="200"/>
      <c r="B8" s="25" t="s">
        <v>242</v>
      </c>
      <c r="C8" s="26">
        <v>20669</v>
      </c>
      <c r="D8" s="26">
        <v>22114.084249084</v>
      </c>
      <c r="E8" s="26">
        <v>20119.271221531999</v>
      </c>
      <c r="F8" s="27"/>
      <c r="G8" s="28">
        <v>-2.6596776741400276</v>
      </c>
      <c r="H8" s="29">
        <v>-9.0205545257187367</v>
      </c>
    </row>
    <row r="9" spans="1:8" x14ac:dyDescent="0.25">
      <c r="A9" s="30" t="s">
        <v>18</v>
      </c>
      <c r="B9" s="31" t="s">
        <v>3</v>
      </c>
      <c r="C9" s="20">
        <v>7893</v>
      </c>
      <c r="D9" s="20">
        <v>6046.3249999999998</v>
      </c>
      <c r="E9" s="36">
        <v>5526.6957421227771</v>
      </c>
      <c r="F9" s="22" t="s">
        <v>241</v>
      </c>
      <c r="G9" s="32">
        <v>-29.97978281866493</v>
      </c>
      <c r="H9" s="33">
        <v>-8.594133756905606</v>
      </c>
    </row>
    <row r="10" spans="1:8" x14ac:dyDescent="0.25">
      <c r="A10" s="34"/>
      <c r="B10" s="25" t="s">
        <v>242</v>
      </c>
      <c r="C10" s="26">
        <v>2639</v>
      </c>
      <c r="D10" s="26">
        <v>3161.2583333329999</v>
      </c>
      <c r="E10" s="26">
        <v>2432.463731884</v>
      </c>
      <c r="F10" s="27"/>
      <c r="G10" s="35">
        <v>-7.8263079998484244</v>
      </c>
      <c r="H10" s="29">
        <v>-23.053940064449336</v>
      </c>
    </row>
    <row r="11" spans="1:8" x14ac:dyDescent="0.25">
      <c r="A11" s="30" t="s">
        <v>19</v>
      </c>
      <c r="B11" s="31" t="s">
        <v>3</v>
      </c>
      <c r="C11" s="20">
        <v>19070</v>
      </c>
      <c r="D11" s="20">
        <v>18245.972727273002</v>
      </c>
      <c r="E11" s="36">
        <v>19210.609138096592</v>
      </c>
      <c r="F11" s="22" t="s">
        <v>241</v>
      </c>
      <c r="G11" s="37">
        <v>0.737331610364933</v>
      </c>
      <c r="H11" s="33">
        <v>5.2868456247427531</v>
      </c>
    </row>
    <row r="12" spans="1:8" x14ac:dyDescent="0.25">
      <c r="A12" s="34"/>
      <c r="B12" s="25" t="s">
        <v>242</v>
      </c>
      <c r="C12" s="26">
        <v>9086</v>
      </c>
      <c r="D12" s="26">
        <v>9155.754545455</v>
      </c>
      <c r="E12" s="26">
        <v>9471.8813043480004</v>
      </c>
      <c r="F12" s="27"/>
      <c r="G12" s="28">
        <v>4.2469877211974421</v>
      </c>
      <c r="H12" s="29">
        <v>3.4527657695883534</v>
      </c>
    </row>
    <row r="13" spans="1:8" x14ac:dyDescent="0.25">
      <c r="A13" s="30" t="s">
        <v>20</v>
      </c>
      <c r="B13" s="31" t="s">
        <v>3</v>
      </c>
      <c r="C13" s="20">
        <v>3868</v>
      </c>
      <c r="D13" s="20">
        <v>3402.9949999999999</v>
      </c>
      <c r="E13" s="36">
        <v>2995.1122303259986</v>
      </c>
      <c r="F13" s="22" t="s">
        <v>241</v>
      </c>
      <c r="G13" s="23">
        <v>-22.566902008117921</v>
      </c>
      <c r="H13" s="24">
        <v>-11.9859937988155</v>
      </c>
    </row>
    <row r="14" spans="1:8" x14ac:dyDescent="0.25">
      <c r="A14" s="34"/>
      <c r="B14" s="25" t="s">
        <v>242</v>
      </c>
      <c r="C14" s="26">
        <v>1986</v>
      </c>
      <c r="D14" s="26">
        <v>1730.355</v>
      </c>
      <c r="E14" s="26">
        <v>1527.8782391300001</v>
      </c>
      <c r="F14" s="27"/>
      <c r="G14" s="38">
        <v>-23.067560970292035</v>
      </c>
      <c r="H14" s="24">
        <v>-11.701457843621682</v>
      </c>
    </row>
    <row r="15" spans="1:8" x14ac:dyDescent="0.25">
      <c r="A15" s="30" t="s">
        <v>21</v>
      </c>
      <c r="B15" s="31" t="s">
        <v>3</v>
      </c>
      <c r="C15" s="20">
        <v>1235</v>
      </c>
      <c r="D15" s="20">
        <v>1193.9949999999999</v>
      </c>
      <c r="E15" s="36">
        <v>1199.9763669617839</v>
      </c>
      <c r="F15" s="22" t="s">
        <v>241</v>
      </c>
      <c r="G15" s="37">
        <v>-2.835921703499281</v>
      </c>
      <c r="H15" s="33">
        <v>0.50095410464734869</v>
      </c>
    </row>
    <row r="16" spans="1:8" x14ac:dyDescent="0.25">
      <c r="A16" s="34"/>
      <c r="B16" s="25" t="s">
        <v>242</v>
      </c>
      <c r="C16" s="26">
        <v>598</v>
      </c>
      <c r="D16" s="26">
        <v>687.35500000000002</v>
      </c>
      <c r="E16" s="26">
        <v>649.87823913</v>
      </c>
      <c r="F16" s="27"/>
      <c r="G16" s="28">
        <v>8.6752908244147164</v>
      </c>
      <c r="H16" s="29">
        <v>-5.4523151602883502</v>
      </c>
    </row>
    <row r="17" spans="1:8" x14ac:dyDescent="0.25">
      <c r="A17" s="30" t="s">
        <v>190</v>
      </c>
      <c r="B17" s="31" t="s">
        <v>3</v>
      </c>
      <c r="C17" s="20">
        <v>7513</v>
      </c>
      <c r="D17" s="20">
        <v>8019.3249999999998</v>
      </c>
      <c r="E17" s="36">
        <v>8150.4379816462906</v>
      </c>
      <c r="F17" s="22" t="s">
        <v>241</v>
      </c>
      <c r="G17" s="37">
        <v>8.4844666797057329</v>
      </c>
      <c r="H17" s="33">
        <v>1.6349628135321979</v>
      </c>
    </row>
    <row r="18" spans="1:8" x14ac:dyDescent="0.25">
      <c r="A18" s="34"/>
      <c r="B18" s="25" t="s">
        <v>242</v>
      </c>
      <c r="C18" s="26">
        <v>3599</v>
      </c>
      <c r="D18" s="26">
        <v>4174.2583333330003</v>
      </c>
      <c r="E18" s="26">
        <v>4123.4637318839996</v>
      </c>
      <c r="F18" s="27"/>
      <c r="G18" s="28">
        <v>14.572484909252552</v>
      </c>
      <c r="H18" s="29">
        <v>-1.2168533280124763</v>
      </c>
    </row>
    <row r="19" spans="1:8" x14ac:dyDescent="0.25">
      <c r="A19" s="39" t="s">
        <v>12</v>
      </c>
      <c r="B19" s="31" t="s">
        <v>3</v>
      </c>
      <c r="C19" s="20">
        <v>740</v>
      </c>
      <c r="D19" s="20">
        <v>615.995</v>
      </c>
      <c r="E19" s="36">
        <v>546.83203742165574</v>
      </c>
      <c r="F19" s="22" t="s">
        <v>241</v>
      </c>
      <c r="G19" s="37">
        <v>-26.10377872680327</v>
      </c>
      <c r="H19" s="33">
        <v>-11.227844800419533</v>
      </c>
    </row>
    <row r="20" spans="1:8" x14ac:dyDescent="0.25">
      <c r="A20" s="34"/>
      <c r="B20" s="25" t="s">
        <v>242</v>
      </c>
      <c r="C20" s="26">
        <v>436</v>
      </c>
      <c r="D20" s="26">
        <v>323.35500000000002</v>
      </c>
      <c r="E20" s="26">
        <v>297.87823913</v>
      </c>
      <c r="F20" s="27"/>
      <c r="G20" s="28">
        <v>-31.67930295183487</v>
      </c>
      <c r="H20" s="29">
        <v>-7.8788826119899227</v>
      </c>
    </row>
    <row r="21" spans="1:8" x14ac:dyDescent="0.25">
      <c r="A21" s="39" t="s">
        <v>23</v>
      </c>
      <c r="B21" s="31" t="s">
        <v>3</v>
      </c>
      <c r="C21" s="20">
        <v>1003</v>
      </c>
      <c r="D21" s="20">
        <v>924.33</v>
      </c>
      <c r="E21" s="36">
        <v>705.16217055644972</v>
      </c>
      <c r="F21" s="22" t="s">
        <v>241</v>
      </c>
      <c r="G21" s="23">
        <v>-29.694698847811594</v>
      </c>
      <c r="H21" s="24">
        <v>-23.710993848901396</v>
      </c>
    </row>
    <row r="22" spans="1:8" x14ac:dyDescent="0.25">
      <c r="A22" s="34"/>
      <c r="B22" s="25" t="s">
        <v>242</v>
      </c>
      <c r="C22" s="26">
        <v>531</v>
      </c>
      <c r="D22" s="26">
        <v>515.90333333299998</v>
      </c>
      <c r="E22" s="26">
        <v>386.58549275399997</v>
      </c>
      <c r="F22" s="27"/>
      <c r="G22" s="38">
        <v>-27.1967056960452</v>
      </c>
      <c r="H22" s="24">
        <v>-25.066292893193861</v>
      </c>
    </row>
    <row r="23" spans="1:8" x14ac:dyDescent="0.25">
      <c r="A23" s="30" t="s">
        <v>24</v>
      </c>
      <c r="B23" s="31" t="s">
        <v>3</v>
      </c>
      <c r="C23" s="20">
        <v>5892</v>
      </c>
      <c r="D23" s="20">
        <v>5593.9984999999997</v>
      </c>
      <c r="E23" s="36">
        <v>3965.8608686758876</v>
      </c>
      <c r="F23" s="22" t="s">
        <v>241</v>
      </c>
      <c r="G23" s="37">
        <v>-32.690752398576251</v>
      </c>
      <c r="H23" s="33">
        <v>-29.105078081878503</v>
      </c>
    </row>
    <row r="24" spans="1:8" ht="13.8" thickBot="1" x14ac:dyDescent="0.3">
      <c r="A24" s="41"/>
      <c r="B24" s="42" t="s">
        <v>242</v>
      </c>
      <c r="C24" s="43">
        <v>2226</v>
      </c>
      <c r="D24" s="43">
        <v>2862.3065000000001</v>
      </c>
      <c r="E24" s="43">
        <v>1814.863471739</v>
      </c>
      <c r="F24" s="44"/>
      <c r="G24" s="45">
        <v>-18.469745204896668</v>
      </c>
      <c r="H24" s="46">
        <v>-36.594369899275293</v>
      </c>
    </row>
    <row r="29" spans="1:8" x14ac:dyDescent="0.25">
      <c r="A29" s="58"/>
      <c r="B29" s="58"/>
      <c r="C29" s="21"/>
      <c r="D29" s="21"/>
      <c r="E29" s="21"/>
      <c r="F29" s="59"/>
      <c r="G29" s="38"/>
      <c r="H29" s="60"/>
    </row>
    <row r="30" spans="1:8" x14ac:dyDescent="0.25">
      <c r="A30" s="58"/>
      <c r="B30" s="62"/>
      <c r="C30" s="21"/>
      <c r="D30" s="21"/>
      <c r="E30" s="21"/>
      <c r="F30" s="63"/>
      <c r="G30" s="38"/>
      <c r="H30" s="60"/>
    </row>
    <row r="31" spans="1:8" x14ac:dyDescent="0.25">
      <c r="A31" s="47"/>
      <c r="B31" s="48"/>
      <c r="C31" s="49"/>
      <c r="D31" s="55"/>
      <c r="E31" s="49"/>
      <c r="F31" s="49"/>
      <c r="G31" s="50"/>
      <c r="H31" s="51"/>
    </row>
    <row r="32" spans="1:8" ht="16.2" thickBot="1" x14ac:dyDescent="0.35">
      <c r="A32" s="4" t="s">
        <v>165</v>
      </c>
      <c r="B32" s="5"/>
      <c r="C32" s="5"/>
      <c r="D32" s="5"/>
      <c r="E32" s="5"/>
      <c r="F32" s="5"/>
      <c r="G32" s="5"/>
      <c r="H32" s="6"/>
    </row>
    <row r="33" spans="1:8" x14ac:dyDescent="0.25">
      <c r="A33" s="7"/>
      <c r="B33" s="8"/>
      <c r="C33" s="203" t="s">
        <v>16</v>
      </c>
      <c r="D33" s="197"/>
      <c r="E33" s="197"/>
      <c r="F33" s="204"/>
      <c r="G33" s="197" t="s">
        <v>1</v>
      </c>
      <c r="H33" s="198"/>
    </row>
    <row r="34" spans="1:8" x14ac:dyDescent="0.25">
      <c r="A34" s="12"/>
      <c r="B34" s="13"/>
      <c r="C34" s="14" t="s">
        <v>236</v>
      </c>
      <c r="D34" s="15" t="s">
        <v>237</v>
      </c>
      <c r="E34" s="15" t="s">
        <v>238</v>
      </c>
      <c r="F34" s="16"/>
      <c r="G34" s="17" t="s">
        <v>239</v>
      </c>
      <c r="H34" s="18" t="s">
        <v>240</v>
      </c>
    </row>
    <row r="35" spans="1:8" ht="12.75" customHeight="1" x14ac:dyDescent="0.25">
      <c r="A35" s="199" t="s">
        <v>166</v>
      </c>
      <c r="B35" s="19" t="s">
        <v>3</v>
      </c>
      <c r="C35" s="80">
        <v>5057.4810805440002</v>
      </c>
      <c r="D35" s="80">
        <v>5832.965228219</v>
      </c>
      <c r="E35" s="81">
        <v>5269.4604053561907</v>
      </c>
      <c r="F35" s="22" t="s">
        <v>241</v>
      </c>
      <c r="G35" s="23">
        <v>4.1914012417697393</v>
      </c>
      <c r="H35" s="24">
        <v>-9.6606923034044314</v>
      </c>
    </row>
    <row r="36" spans="1:8" ht="12.75" customHeight="1" x14ac:dyDescent="0.25">
      <c r="A36" s="200"/>
      <c r="B36" s="25" t="s">
        <v>242</v>
      </c>
      <c r="C36" s="82">
        <v>2400.952199629</v>
      </c>
      <c r="D36" s="82">
        <v>2701.945756992</v>
      </c>
      <c r="E36" s="82">
        <v>2460.811699936</v>
      </c>
      <c r="F36" s="27"/>
      <c r="G36" s="28">
        <v>2.4931566865950003</v>
      </c>
      <c r="H36" s="29">
        <v>-8.9244595836908189</v>
      </c>
    </row>
    <row r="37" spans="1:8" x14ac:dyDescent="0.25">
      <c r="A37" s="30" t="s">
        <v>18</v>
      </c>
      <c r="B37" s="31" t="s">
        <v>3</v>
      </c>
      <c r="C37" s="80">
        <v>2179.6074804599998</v>
      </c>
      <c r="D37" s="80">
        <v>2688.5944829650002</v>
      </c>
      <c r="E37" s="83">
        <v>2197.0397336088099</v>
      </c>
      <c r="F37" s="22" t="s">
        <v>241</v>
      </c>
      <c r="G37" s="32">
        <v>0.79978864566618313</v>
      </c>
      <c r="H37" s="33">
        <v>-18.282963551055886</v>
      </c>
    </row>
    <row r="38" spans="1:8" x14ac:dyDescent="0.25">
      <c r="A38" s="34"/>
      <c r="B38" s="25" t="s">
        <v>242</v>
      </c>
      <c r="C38" s="82">
        <v>1135.1726729469999</v>
      </c>
      <c r="D38" s="82">
        <v>1117.7794881029999</v>
      </c>
      <c r="E38" s="82">
        <v>979.26701838899999</v>
      </c>
      <c r="F38" s="27"/>
      <c r="G38" s="35">
        <v>-13.734091585666548</v>
      </c>
      <c r="H38" s="29">
        <v>-12.391752683623807</v>
      </c>
    </row>
    <row r="39" spans="1:8" x14ac:dyDescent="0.25">
      <c r="A39" s="30" t="s">
        <v>19</v>
      </c>
      <c r="B39" s="31" t="s">
        <v>3</v>
      </c>
      <c r="C39" s="80">
        <v>1448.913621082</v>
      </c>
      <c r="D39" s="80">
        <v>1471.397036653</v>
      </c>
      <c r="E39" s="83">
        <v>1365.5732875367114</v>
      </c>
      <c r="F39" s="22" t="s">
        <v>241</v>
      </c>
      <c r="G39" s="37">
        <v>-5.7519187018928619</v>
      </c>
      <c r="H39" s="33">
        <v>-7.1920594156562174</v>
      </c>
    </row>
    <row r="40" spans="1:8" x14ac:dyDescent="0.25">
      <c r="A40" s="34"/>
      <c r="B40" s="25" t="s">
        <v>242</v>
      </c>
      <c r="C40" s="82">
        <v>688.42759072199999</v>
      </c>
      <c r="D40" s="82">
        <v>781.92830191200005</v>
      </c>
      <c r="E40" s="82">
        <v>698.12445108500003</v>
      </c>
      <c r="F40" s="27"/>
      <c r="G40" s="28">
        <v>1.4085519659126788</v>
      </c>
      <c r="H40" s="29">
        <v>-10.717587612838642</v>
      </c>
    </row>
    <row r="41" spans="1:8" x14ac:dyDescent="0.25">
      <c r="A41" s="30" t="s">
        <v>20</v>
      </c>
      <c r="B41" s="31" t="s">
        <v>3</v>
      </c>
      <c r="C41" s="80">
        <v>199.47013567600001</v>
      </c>
      <c r="D41" s="80">
        <v>165.40193741499999</v>
      </c>
      <c r="E41" s="83">
        <v>141.26900020069991</v>
      </c>
      <c r="F41" s="22" t="s">
        <v>241</v>
      </c>
      <c r="G41" s="23">
        <v>-29.177869297605724</v>
      </c>
      <c r="H41" s="24">
        <v>-14.590480372518002</v>
      </c>
    </row>
    <row r="42" spans="1:8" x14ac:dyDescent="0.25">
      <c r="A42" s="34"/>
      <c r="B42" s="25" t="s">
        <v>242</v>
      </c>
      <c r="C42" s="82">
        <v>90.518964901999993</v>
      </c>
      <c r="D42" s="82">
        <v>93.645539769999999</v>
      </c>
      <c r="E42" s="82">
        <v>73.883671875000005</v>
      </c>
      <c r="F42" s="27"/>
      <c r="G42" s="38">
        <v>-18.377688084491609</v>
      </c>
      <c r="H42" s="24">
        <v>-21.102839434250171</v>
      </c>
    </row>
    <row r="43" spans="1:8" x14ac:dyDescent="0.25">
      <c r="A43" s="30" t="s">
        <v>21</v>
      </c>
      <c r="B43" s="31" t="s">
        <v>3</v>
      </c>
      <c r="C43" s="80">
        <v>16.128485692000002</v>
      </c>
      <c r="D43" s="80">
        <v>15.654153259999999</v>
      </c>
      <c r="E43" s="83">
        <v>17.233080764033925</v>
      </c>
      <c r="F43" s="22" t="s">
        <v>241</v>
      </c>
      <c r="G43" s="37">
        <v>6.8487215298942914</v>
      </c>
      <c r="H43" s="33">
        <v>10.086316888620559</v>
      </c>
    </row>
    <row r="44" spans="1:8" x14ac:dyDescent="0.25">
      <c r="A44" s="34"/>
      <c r="B44" s="25" t="s">
        <v>242</v>
      </c>
      <c r="C44" s="82">
        <v>7.7246534779999996</v>
      </c>
      <c r="D44" s="82">
        <v>8.0581922460000008</v>
      </c>
      <c r="E44" s="82">
        <v>8.6551999659999996</v>
      </c>
      <c r="F44" s="27"/>
      <c r="G44" s="28">
        <v>12.04644959997519</v>
      </c>
      <c r="H44" s="29">
        <v>7.4087053494702388</v>
      </c>
    </row>
    <row r="45" spans="1:8" x14ac:dyDescent="0.25">
      <c r="A45" s="30" t="s">
        <v>190</v>
      </c>
      <c r="B45" s="31" t="s">
        <v>3</v>
      </c>
      <c r="C45" s="80">
        <v>637.38066514699995</v>
      </c>
      <c r="D45" s="80">
        <v>583.87298741400002</v>
      </c>
      <c r="E45" s="83">
        <v>487.39185727264197</v>
      </c>
      <c r="F45" s="22" t="s">
        <v>241</v>
      </c>
      <c r="G45" s="37">
        <v>-23.532061149009891</v>
      </c>
      <c r="H45" s="33">
        <v>-16.524335295708298</v>
      </c>
    </row>
    <row r="46" spans="1:8" x14ac:dyDescent="0.25">
      <c r="A46" s="34"/>
      <c r="B46" s="25" t="s">
        <v>242</v>
      </c>
      <c r="C46" s="82">
        <v>255.80416028799999</v>
      </c>
      <c r="D46" s="82">
        <v>300.38454247700002</v>
      </c>
      <c r="E46" s="82">
        <v>229.21065923500001</v>
      </c>
      <c r="F46" s="27"/>
      <c r="G46" s="28">
        <v>-10.396039307202585</v>
      </c>
      <c r="H46" s="29">
        <v>-23.694256254031345</v>
      </c>
    </row>
    <row r="47" spans="1:8" x14ac:dyDescent="0.25">
      <c r="A47" s="39" t="s">
        <v>12</v>
      </c>
      <c r="B47" s="31" t="s">
        <v>3</v>
      </c>
      <c r="C47" s="80">
        <v>32.125484286000002</v>
      </c>
      <c r="D47" s="80">
        <v>29.310601472999998</v>
      </c>
      <c r="E47" s="83">
        <v>26.301010305891364</v>
      </c>
      <c r="F47" s="22" t="s">
        <v>241</v>
      </c>
      <c r="G47" s="37">
        <v>-18.130384987369325</v>
      </c>
      <c r="H47" s="33">
        <v>-10.267927015694227</v>
      </c>
    </row>
    <row r="48" spans="1:8" x14ac:dyDescent="0.25">
      <c r="A48" s="34"/>
      <c r="B48" s="25" t="s">
        <v>242</v>
      </c>
      <c r="C48" s="82">
        <v>15.335461541000001</v>
      </c>
      <c r="D48" s="82">
        <v>11.844914677</v>
      </c>
      <c r="E48" s="82">
        <v>11.201595033</v>
      </c>
      <c r="F48" s="27"/>
      <c r="G48" s="28">
        <v>-26.956257540393779</v>
      </c>
      <c r="H48" s="29">
        <v>-5.4311885019245665</v>
      </c>
    </row>
    <row r="49" spans="1:8" x14ac:dyDescent="0.25">
      <c r="A49" s="39" t="s">
        <v>23</v>
      </c>
      <c r="B49" s="31" t="s">
        <v>3</v>
      </c>
      <c r="C49" s="80">
        <v>33.162352259999999</v>
      </c>
      <c r="D49" s="80">
        <v>29.976083490000001</v>
      </c>
      <c r="E49" s="83">
        <v>22.691614897162232</v>
      </c>
      <c r="F49" s="22" t="s">
        <v>241</v>
      </c>
      <c r="G49" s="23">
        <v>-31.574169651009456</v>
      </c>
      <c r="H49" s="24">
        <v>-24.300935094699284</v>
      </c>
    </row>
    <row r="50" spans="1:8" x14ac:dyDescent="0.25">
      <c r="A50" s="34"/>
      <c r="B50" s="25" t="s">
        <v>242</v>
      </c>
      <c r="C50" s="82">
        <v>16.264104438</v>
      </c>
      <c r="D50" s="82">
        <v>14.155034384</v>
      </c>
      <c r="E50" s="82">
        <v>10.849642920000001</v>
      </c>
      <c r="F50" s="27"/>
      <c r="G50" s="38">
        <v>-33.290867865736701</v>
      </c>
      <c r="H50" s="24">
        <v>-23.351348886416091</v>
      </c>
    </row>
    <row r="51" spans="1:8" x14ac:dyDescent="0.25">
      <c r="A51" s="30" t="s">
        <v>24</v>
      </c>
      <c r="B51" s="31" t="s">
        <v>3</v>
      </c>
      <c r="C51" s="80">
        <v>510.69285594000002</v>
      </c>
      <c r="D51" s="80">
        <v>848.75794555000004</v>
      </c>
      <c r="E51" s="83">
        <v>1079.2295904157475</v>
      </c>
      <c r="F51" s="22" t="s">
        <v>241</v>
      </c>
      <c r="G51" s="37">
        <v>111.32654938539878</v>
      </c>
      <c r="H51" s="33">
        <v>27.153989670918534</v>
      </c>
    </row>
    <row r="52" spans="1:8" ht="13.8" thickBot="1" x14ac:dyDescent="0.3">
      <c r="A52" s="41"/>
      <c r="B52" s="42" t="s">
        <v>242</v>
      </c>
      <c r="C52" s="86">
        <v>191.704591314</v>
      </c>
      <c r="D52" s="86">
        <v>374.14974342400001</v>
      </c>
      <c r="E52" s="86">
        <v>449.61946143400002</v>
      </c>
      <c r="F52" s="44"/>
      <c r="G52" s="45">
        <v>134.53765940198673</v>
      </c>
      <c r="H52" s="46">
        <v>20.17099285418324</v>
      </c>
    </row>
    <row r="57" spans="1:8" x14ac:dyDescent="0.25">
      <c r="A57" s="47"/>
      <c r="B57" s="48"/>
      <c r="C57" s="49"/>
      <c r="D57" s="49"/>
      <c r="E57" s="49"/>
      <c r="F57" s="49"/>
      <c r="G57" s="50"/>
      <c r="H57" s="51"/>
    </row>
    <row r="58" spans="1:8" x14ac:dyDescent="0.25">
      <c r="A58" s="47"/>
      <c r="B58" s="48"/>
      <c r="C58" s="49"/>
      <c r="D58" s="49"/>
      <c r="E58" s="49"/>
      <c r="F58" s="49"/>
      <c r="G58" s="50"/>
      <c r="H58" s="51"/>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G61" s="53"/>
      <c r="H61" s="202">
        <v>17</v>
      </c>
    </row>
    <row r="62" spans="1:8" ht="12.75" customHeight="1" x14ac:dyDescent="0.25">
      <c r="A62" s="54" t="s">
        <v>244</v>
      </c>
      <c r="G62" s="53"/>
      <c r="H62" s="195"/>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9" ht="5.25" customHeight="1" x14ac:dyDescent="0.25"/>
    <row r="2" spans="1:9" x14ac:dyDescent="0.25">
      <c r="A2" s="95" t="s">
        <v>0</v>
      </c>
      <c r="B2" s="2"/>
      <c r="C2" s="2"/>
      <c r="D2" s="2"/>
      <c r="E2" s="2"/>
      <c r="F2" s="2"/>
      <c r="G2" s="2"/>
    </row>
    <row r="3" spans="1:9" ht="6" customHeight="1" x14ac:dyDescent="0.25">
      <c r="A3" s="3"/>
      <c r="B3" s="2"/>
      <c r="C3" s="2"/>
      <c r="D3" s="2"/>
      <c r="E3" s="2"/>
      <c r="F3" s="2"/>
      <c r="G3" s="2"/>
    </row>
    <row r="4" spans="1:9" ht="16.2" thickBot="1" x14ac:dyDescent="0.35">
      <c r="A4" s="4" t="s">
        <v>152</v>
      </c>
      <c r="B4" s="5"/>
      <c r="C4" s="5"/>
      <c r="D4" s="5"/>
      <c r="E4" s="5"/>
      <c r="F4" s="5"/>
      <c r="G4" s="5"/>
      <c r="H4" s="6"/>
    </row>
    <row r="5" spans="1:9" x14ac:dyDescent="0.25">
      <c r="A5" s="7"/>
      <c r="B5" s="8"/>
      <c r="C5" s="9"/>
      <c r="D5" s="8"/>
      <c r="E5" s="10"/>
      <c r="F5" s="11"/>
      <c r="G5" s="197" t="s">
        <v>1</v>
      </c>
      <c r="H5" s="198"/>
    </row>
    <row r="6" spans="1:9" x14ac:dyDescent="0.25">
      <c r="A6" s="12"/>
      <c r="B6" s="13"/>
      <c r="C6" s="14" t="s">
        <v>236</v>
      </c>
      <c r="D6" s="15" t="s">
        <v>237</v>
      </c>
      <c r="E6" s="15" t="s">
        <v>238</v>
      </c>
      <c r="F6" s="16"/>
      <c r="G6" s="17" t="s">
        <v>239</v>
      </c>
      <c r="H6" s="18" t="s">
        <v>240</v>
      </c>
    </row>
    <row r="7" spans="1:9" x14ac:dyDescent="0.25">
      <c r="A7" s="199" t="s">
        <v>58</v>
      </c>
      <c r="B7" s="19" t="s">
        <v>3</v>
      </c>
      <c r="C7" s="20">
        <v>9129</v>
      </c>
      <c r="D7" s="20">
        <v>9685</v>
      </c>
      <c r="E7" s="79">
        <v>8995.10347284606</v>
      </c>
      <c r="F7" s="22" t="s">
        <v>241</v>
      </c>
      <c r="G7" s="23">
        <v>-1.466716257574106</v>
      </c>
      <c r="H7" s="24">
        <v>-7.1233508224464686</v>
      </c>
    </row>
    <row r="8" spans="1:9" x14ac:dyDescent="0.25">
      <c r="A8" s="200"/>
      <c r="B8" s="25" t="s">
        <v>242</v>
      </c>
      <c r="C8" s="26">
        <v>5922</v>
      </c>
      <c r="D8" s="26">
        <v>4955</v>
      </c>
      <c r="E8" s="26">
        <v>4950.7766367349996</v>
      </c>
      <c r="F8" s="27"/>
      <c r="G8" s="28">
        <v>-16.400259426967239</v>
      </c>
      <c r="H8" s="29">
        <v>-8.5234374672054969E-2</v>
      </c>
    </row>
    <row r="9" spans="1:9" x14ac:dyDescent="0.25">
      <c r="A9" s="30" t="s">
        <v>9</v>
      </c>
      <c r="B9" s="31" t="s">
        <v>3</v>
      </c>
      <c r="C9" s="20">
        <v>8389</v>
      </c>
      <c r="D9" s="20">
        <v>8938</v>
      </c>
      <c r="E9" s="21">
        <v>8526.1672255109625</v>
      </c>
      <c r="F9" s="22" t="s">
        <v>241</v>
      </c>
      <c r="G9" s="32">
        <v>1.6350843427221662</v>
      </c>
      <c r="H9" s="33">
        <v>-4.60766138385587</v>
      </c>
    </row>
    <row r="10" spans="1:9" x14ac:dyDescent="0.25">
      <c r="A10" s="34"/>
      <c r="B10" s="25" t="s">
        <v>242</v>
      </c>
      <c r="C10" s="26">
        <v>5406</v>
      </c>
      <c r="D10" s="26">
        <v>4526</v>
      </c>
      <c r="E10" s="26">
        <v>4649.4373714290005</v>
      </c>
      <c r="F10" s="27"/>
      <c r="G10" s="35">
        <v>-13.994869192952265</v>
      </c>
      <c r="H10" s="29">
        <v>2.7272949940123823</v>
      </c>
    </row>
    <row r="11" spans="1:9" x14ac:dyDescent="0.25">
      <c r="A11" s="30" t="s">
        <v>46</v>
      </c>
      <c r="B11" s="31" t="s">
        <v>3</v>
      </c>
      <c r="C11" s="20">
        <v>742</v>
      </c>
      <c r="D11" s="20">
        <v>751</v>
      </c>
      <c r="E11" s="21">
        <v>494.48802015628161</v>
      </c>
      <c r="F11" s="22" t="s">
        <v>241</v>
      </c>
      <c r="G11" s="37">
        <v>-33.357409682441826</v>
      </c>
      <c r="H11" s="33">
        <v>-34.156055904622946</v>
      </c>
    </row>
    <row r="12" spans="1:9" ht="13.8" thickBot="1" x14ac:dyDescent="0.3">
      <c r="A12" s="56"/>
      <c r="B12" s="42" t="s">
        <v>242</v>
      </c>
      <c r="C12" s="43">
        <v>516</v>
      </c>
      <c r="D12" s="43">
        <v>431</v>
      </c>
      <c r="E12" s="43">
        <v>301.33926530600002</v>
      </c>
      <c r="F12" s="44"/>
      <c r="G12" s="57">
        <v>-41.600917576356586</v>
      </c>
      <c r="H12" s="46">
        <v>-30.083697144779578</v>
      </c>
    </row>
    <row r="13" spans="1:9" x14ac:dyDescent="0.25">
      <c r="A13" s="58"/>
      <c r="B13" s="58"/>
      <c r="C13" s="21"/>
      <c r="D13" s="21"/>
      <c r="E13" s="21"/>
      <c r="F13" s="59"/>
      <c r="G13" s="38"/>
      <c r="H13" s="60"/>
      <c r="I13" s="61"/>
    </row>
    <row r="14" spans="1:9" x14ac:dyDescent="0.25">
      <c r="A14" s="58"/>
      <c r="B14" s="62"/>
      <c r="C14" s="21"/>
      <c r="D14" s="21"/>
      <c r="E14" s="21"/>
      <c r="F14" s="63"/>
      <c r="G14" s="38"/>
      <c r="H14" s="60"/>
      <c r="I14" s="61"/>
    </row>
    <row r="15" spans="1:9" x14ac:dyDescent="0.25">
      <c r="A15" s="58"/>
      <c r="B15" s="58"/>
      <c r="C15" s="21"/>
      <c r="D15" s="21"/>
      <c r="E15" s="21"/>
      <c r="F15" s="59"/>
      <c r="G15" s="38"/>
      <c r="H15" s="60"/>
      <c r="I15" s="61"/>
    </row>
    <row r="16" spans="1:9" x14ac:dyDescent="0.25">
      <c r="A16" s="58"/>
      <c r="B16" s="62"/>
      <c r="C16" s="21"/>
      <c r="D16" s="21"/>
      <c r="E16" s="21"/>
      <c r="F16" s="63"/>
      <c r="G16" s="38"/>
      <c r="H16" s="60"/>
      <c r="I16" s="61"/>
    </row>
    <row r="17" spans="1:9" x14ac:dyDescent="0.25">
      <c r="A17" s="58"/>
      <c r="B17" s="58"/>
      <c r="C17" s="21"/>
      <c r="D17" s="21"/>
      <c r="E17" s="21"/>
      <c r="F17" s="59"/>
      <c r="G17" s="38"/>
      <c r="H17" s="60"/>
      <c r="I17" s="61"/>
    </row>
    <row r="18" spans="1:9" x14ac:dyDescent="0.25">
      <c r="A18" s="58"/>
      <c r="B18" s="62"/>
      <c r="C18" s="21"/>
      <c r="D18" s="21"/>
      <c r="E18" s="21"/>
      <c r="F18" s="63"/>
      <c r="G18" s="38"/>
      <c r="H18" s="60"/>
      <c r="I18" s="61"/>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59</v>
      </c>
      <c r="B32" s="5"/>
      <c r="C32" s="5"/>
      <c r="D32" s="5"/>
      <c r="E32" s="5"/>
      <c r="F32" s="5"/>
      <c r="G32" s="5"/>
      <c r="H32" s="6"/>
    </row>
    <row r="33" spans="1:9" x14ac:dyDescent="0.25">
      <c r="A33" s="7"/>
      <c r="B33" s="8"/>
      <c r="C33" s="203" t="s">
        <v>16</v>
      </c>
      <c r="D33" s="197"/>
      <c r="E33" s="197"/>
      <c r="F33" s="204"/>
      <c r="G33" s="197" t="s">
        <v>1</v>
      </c>
      <c r="H33" s="198"/>
    </row>
    <row r="34" spans="1:9" x14ac:dyDescent="0.25">
      <c r="A34" s="12"/>
      <c r="B34" s="13"/>
      <c r="C34" s="14" t="s">
        <v>236</v>
      </c>
      <c r="D34" s="15" t="s">
        <v>237</v>
      </c>
      <c r="E34" s="15" t="s">
        <v>238</v>
      </c>
      <c r="F34" s="16"/>
      <c r="G34" s="17" t="s">
        <v>239</v>
      </c>
      <c r="H34" s="18" t="s">
        <v>240</v>
      </c>
    </row>
    <row r="35" spans="1:9" ht="12.75" customHeight="1" x14ac:dyDescent="0.25">
      <c r="A35" s="199" t="s">
        <v>58</v>
      </c>
      <c r="B35" s="19" t="s">
        <v>3</v>
      </c>
      <c r="C35" s="80">
        <v>2434.703342413</v>
      </c>
      <c r="D35" s="80">
        <v>2427.3984782100001</v>
      </c>
      <c r="E35" s="81">
        <v>2031.6103155379685</v>
      </c>
      <c r="F35" s="22" t="s">
        <v>241</v>
      </c>
      <c r="G35" s="23">
        <v>-16.556145459410743</v>
      </c>
      <c r="H35" s="24">
        <v>-16.305034637901386</v>
      </c>
    </row>
    <row r="36" spans="1:9" ht="12.75" customHeight="1" x14ac:dyDescent="0.25">
      <c r="A36" s="200"/>
      <c r="B36" s="25" t="s">
        <v>242</v>
      </c>
      <c r="C36" s="82">
        <v>1323.3736207710001</v>
      </c>
      <c r="D36" s="82">
        <v>1149.4538215069999</v>
      </c>
      <c r="E36" s="82">
        <v>1005.193879384</v>
      </c>
      <c r="F36" s="27"/>
      <c r="G36" s="28">
        <v>-24.043077207601286</v>
      </c>
      <c r="H36" s="29">
        <v>-12.550303407044822</v>
      </c>
    </row>
    <row r="37" spans="1:9" x14ac:dyDescent="0.25">
      <c r="A37" s="30" t="s">
        <v>9</v>
      </c>
      <c r="B37" s="31" t="s">
        <v>3</v>
      </c>
      <c r="C37" s="80">
        <v>1752.044536737</v>
      </c>
      <c r="D37" s="80">
        <v>1763.7225609120001</v>
      </c>
      <c r="E37" s="83">
        <v>1491.9290809806273</v>
      </c>
      <c r="F37" s="22" t="s">
        <v>241</v>
      </c>
      <c r="G37" s="32">
        <v>-14.846395185867294</v>
      </c>
      <c r="H37" s="33">
        <v>-15.410217341146421</v>
      </c>
    </row>
    <row r="38" spans="1:9" x14ac:dyDescent="0.25">
      <c r="A38" s="34"/>
      <c r="B38" s="25" t="s">
        <v>242</v>
      </c>
      <c r="C38" s="82">
        <v>930.51081788199997</v>
      </c>
      <c r="D38" s="82">
        <v>821.10176008500002</v>
      </c>
      <c r="E38" s="82">
        <v>724.36929769799997</v>
      </c>
      <c r="F38" s="27"/>
      <c r="G38" s="35">
        <v>-22.153586634619998</v>
      </c>
      <c r="H38" s="29">
        <v>-11.780812938092637</v>
      </c>
    </row>
    <row r="39" spans="1:9" x14ac:dyDescent="0.25">
      <c r="A39" s="30" t="s">
        <v>46</v>
      </c>
      <c r="B39" s="31" t="s">
        <v>3</v>
      </c>
      <c r="C39" s="80">
        <v>682.65880567600004</v>
      </c>
      <c r="D39" s="80">
        <v>663.67591729699996</v>
      </c>
      <c r="E39" s="83">
        <v>541.06633966326081</v>
      </c>
      <c r="F39" s="22" t="s">
        <v>241</v>
      </c>
      <c r="G39" s="37">
        <v>-20.741322727468216</v>
      </c>
      <c r="H39" s="33">
        <v>-18.474314712683849</v>
      </c>
    </row>
    <row r="40" spans="1:9" ht="13.8" thickBot="1" x14ac:dyDescent="0.3">
      <c r="A40" s="56"/>
      <c r="B40" s="42" t="s">
        <v>242</v>
      </c>
      <c r="C40" s="86">
        <v>392.86280288900002</v>
      </c>
      <c r="D40" s="86">
        <v>328.35206142200002</v>
      </c>
      <c r="E40" s="86">
        <v>280.82458168599999</v>
      </c>
      <c r="F40" s="44"/>
      <c r="G40" s="57">
        <v>-28.518409067772055</v>
      </c>
      <c r="H40" s="46">
        <v>-14.474548912582407</v>
      </c>
    </row>
    <row r="41" spans="1:9" x14ac:dyDescent="0.25">
      <c r="A41" s="58"/>
      <c r="B41" s="58"/>
      <c r="C41" s="21"/>
      <c r="D41" s="21"/>
      <c r="E41" s="21"/>
      <c r="F41" s="59"/>
      <c r="G41" s="38"/>
      <c r="H41" s="60"/>
      <c r="I41" s="61"/>
    </row>
    <row r="42" spans="1:9" x14ac:dyDescent="0.25">
      <c r="A42" s="58"/>
      <c r="B42" s="62"/>
      <c r="C42" s="21"/>
      <c r="D42" s="21"/>
      <c r="E42" s="21"/>
      <c r="F42" s="63"/>
      <c r="G42" s="38"/>
      <c r="H42" s="60"/>
      <c r="I42" s="61"/>
    </row>
    <row r="43" spans="1:9" x14ac:dyDescent="0.25">
      <c r="A43" s="58"/>
      <c r="B43" s="58"/>
      <c r="C43" s="21"/>
      <c r="D43" s="21"/>
      <c r="E43" s="21"/>
      <c r="F43" s="59"/>
      <c r="G43" s="38"/>
      <c r="H43" s="60"/>
      <c r="I43" s="61"/>
    </row>
    <row r="44" spans="1:9" x14ac:dyDescent="0.25">
      <c r="A44" s="58"/>
      <c r="B44" s="62"/>
      <c r="C44" s="21"/>
      <c r="D44" s="21"/>
      <c r="E44" s="21"/>
      <c r="F44" s="63"/>
      <c r="G44" s="38"/>
      <c r="H44" s="60"/>
      <c r="I44" s="61"/>
    </row>
    <row r="45" spans="1:9" x14ac:dyDescent="0.25">
      <c r="A45" s="58"/>
      <c r="B45" s="58"/>
      <c r="C45" s="21"/>
      <c r="D45" s="21"/>
      <c r="E45" s="21"/>
      <c r="F45" s="59"/>
      <c r="G45" s="38"/>
      <c r="H45" s="60"/>
      <c r="I45" s="61"/>
    </row>
    <row r="46" spans="1:9" x14ac:dyDescent="0.25">
      <c r="A46" s="58"/>
      <c r="B46" s="62"/>
      <c r="C46" s="21"/>
      <c r="D46" s="21"/>
      <c r="E46" s="21"/>
      <c r="F46" s="63"/>
      <c r="G46" s="38"/>
      <c r="H46" s="60"/>
      <c r="I46" s="61"/>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121"/>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243</v>
      </c>
      <c r="H61" s="194">
        <v>18</v>
      </c>
    </row>
    <row r="62" spans="1:9" ht="12.75" customHeight="1" x14ac:dyDescent="0.25">
      <c r="A62" s="54" t="s">
        <v>244</v>
      </c>
      <c r="H62" s="195"/>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9" ht="5.25" customHeight="1" x14ac:dyDescent="0.25"/>
    <row r="2" spans="1:9" x14ac:dyDescent="0.25">
      <c r="A2" s="95" t="s">
        <v>0</v>
      </c>
      <c r="B2" s="2"/>
      <c r="C2" s="2"/>
      <c r="D2" s="2"/>
      <c r="E2" s="2"/>
      <c r="F2" s="2"/>
      <c r="G2" s="2"/>
    </row>
    <row r="3" spans="1:9" ht="6" customHeight="1" x14ac:dyDescent="0.25">
      <c r="A3" s="3"/>
      <c r="B3" s="2"/>
      <c r="C3" s="2"/>
      <c r="D3" s="2"/>
      <c r="E3" s="2"/>
      <c r="F3" s="2"/>
      <c r="G3" s="2"/>
    </row>
    <row r="4" spans="1:9" ht="16.2" thickBot="1" x14ac:dyDescent="0.35">
      <c r="A4" s="4" t="s">
        <v>153</v>
      </c>
      <c r="B4" s="5"/>
      <c r="C4" s="5"/>
      <c r="D4" s="5"/>
      <c r="E4" s="5"/>
      <c r="F4" s="5"/>
      <c r="G4" s="5"/>
      <c r="H4" s="6"/>
    </row>
    <row r="5" spans="1:9" x14ac:dyDescent="0.25">
      <c r="A5" s="7"/>
      <c r="B5" s="8"/>
      <c r="C5" s="9"/>
      <c r="D5" s="8"/>
      <c r="E5" s="10"/>
      <c r="F5" s="11"/>
      <c r="G5" s="197" t="s">
        <v>1</v>
      </c>
      <c r="H5" s="198"/>
    </row>
    <row r="6" spans="1:9" x14ac:dyDescent="0.25">
      <c r="A6" s="12"/>
      <c r="B6" s="13"/>
      <c r="C6" s="14" t="s">
        <v>236</v>
      </c>
      <c r="D6" s="15" t="s">
        <v>237</v>
      </c>
      <c r="E6" s="15" t="s">
        <v>238</v>
      </c>
      <c r="F6" s="16"/>
      <c r="G6" s="17" t="s">
        <v>239</v>
      </c>
      <c r="H6" s="18" t="s">
        <v>240</v>
      </c>
    </row>
    <row r="7" spans="1:9" x14ac:dyDescent="0.25">
      <c r="A7" s="199" t="s">
        <v>57</v>
      </c>
      <c r="B7" s="19" t="s">
        <v>3</v>
      </c>
      <c r="C7" s="20">
        <v>4549</v>
      </c>
      <c r="D7" s="20">
        <v>5158</v>
      </c>
      <c r="E7" s="79">
        <v>5009.5952962459251</v>
      </c>
      <c r="F7" s="22" t="s">
        <v>241</v>
      </c>
      <c r="G7" s="23">
        <v>10.125198862297765</v>
      </c>
      <c r="H7" s="24">
        <v>-2.8771753345109516</v>
      </c>
    </row>
    <row r="8" spans="1:9" x14ac:dyDescent="0.25">
      <c r="A8" s="200"/>
      <c r="B8" s="25" t="s">
        <v>242</v>
      </c>
      <c r="C8" s="26">
        <v>2218</v>
      </c>
      <c r="D8" s="26">
        <v>2786</v>
      </c>
      <c r="E8" s="26">
        <v>2612</v>
      </c>
      <c r="F8" s="27"/>
      <c r="G8" s="28">
        <v>17.763751127141575</v>
      </c>
      <c r="H8" s="29">
        <v>-6.2455132806891669</v>
      </c>
    </row>
    <row r="9" spans="1:9" x14ac:dyDescent="0.25">
      <c r="A9" s="30" t="s">
        <v>9</v>
      </c>
      <c r="B9" s="31" t="s">
        <v>3</v>
      </c>
      <c r="C9" s="20">
        <v>1754</v>
      </c>
      <c r="D9" s="20">
        <v>1817</v>
      </c>
      <c r="E9" s="21">
        <v>2202.8491001181155</v>
      </c>
      <c r="F9" s="22" t="s">
        <v>241</v>
      </c>
      <c r="G9" s="32">
        <v>25.59002851300545</v>
      </c>
      <c r="H9" s="33">
        <v>21.235503583825846</v>
      </c>
    </row>
    <row r="10" spans="1:9" x14ac:dyDescent="0.25">
      <c r="A10" s="34"/>
      <c r="B10" s="25" t="s">
        <v>242</v>
      </c>
      <c r="C10" s="26">
        <v>1045</v>
      </c>
      <c r="D10" s="26">
        <v>956</v>
      </c>
      <c r="E10" s="26">
        <v>1206</v>
      </c>
      <c r="F10" s="27"/>
      <c r="G10" s="35">
        <v>15.406698564593285</v>
      </c>
      <c r="H10" s="29">
        <v>26.150627615062774</v>
      </c>
    </row>
    <row r="11" spans="1:9" x14ac:dyDescent="0.25">
      <c r="A11" s="30" t="s">
        <v>46</v>
      </c>
      <c r="B11" s="31" t="s">
        <v>3</v>
      </c>
      <c r="C11" s="20">
        <v>1978</v>
      </c>
      <c r="D11" s="20">
        <v>2391</v>
      </c>
      <c r="E11" s="21">
        <v>1887.6502408816727</v>
      </c>
      <c r="F11" s="22" t="s">
        <v>241</v>
      </c>
      <c r="G11" s="37">
        <v>-4.5677330191267487</v>
      </c>
      <c r="H11" s="33">
        <v>-21.05185107144824</v>
      </c>
    </row>
    <row r="12" spans="1:9" x14ac:dyDescent="0.25">
      <c r="A12" s="34"/>
      <c r="B12" s="25" t="s">
        <v>242</v>
      </c>
      <c r="C12" s="26">
        <v>1068</v>
      </c>
      <c r="D12" s="26">
        <v>1283</v>
      </c>
      <c r="E12" s="26">
        <v>1015</v>
      </c>
      <c r="F12" s="27"/>
      <c r="G12" s="28">
        <v>-4.9625468164794029</v>
      </c>
      <c r="H12" s="29">
        <v>-20.888542478565867</v>
      </c>
    </row>
    <row r="13" spans="1:9" x14ac:dyDescent="0.25">
      <c r="A13" s="30" t="s">
        <v>24</v>
      </c>
      <c r="B13" s="31" t="s">
        <v>3</v>
      </c>
      <c r="C13" s="20">
        <v>868</v>
      </c>
      <c r="D13" s="20">
        <v>1005</v>
      </c>
      <c r="E13" s="21">
        <v>803.25330948566034</v>
      </c>
      <c r="F13" s="22" t="s">
        <v>241</v>
      </c>
      <c r="G13" s="23">
        <v>-7.4592961422050337</v>
      </c>
      <c r="H13" s="24">
        <v>-20.074297563615886</v>
      </c>
    </row>
    <row r="14" spans="1:9" ht="13.8" thickBot="1" x14ac:dyDescent="0.3">
      <c r="A14" s="56"/>
      <c r="B14" s="42" t="s">
        <v>242</v>
      </c>
      <c r="C14" s="43">
        <v>470</v>
      </c>
      <c r="D14" s="43">
        <v>571</v>
      </c>
      <c r="E14" s="43">
        <v>449</v>
      </c>
      <c r="F14" s="44"/>
      <c r="G14" s="57">
        <v>-4.4680851063829863</v>
      </c>
      <c r="H14" s="46">
        <v>-21.366024518388798</v>
      </c>
    </row>
    <row r="15" spans="1:9" x14ac:dyDescent="0.25">
      <c r="A15" s="58"/>
      <c r="B15" s="62"/>
      <c r="C15" s="21"/>
      <c r="D15" s="21"/>
      <c r="E15" s="21"/>
      <c r="F15" s="63"/>
      <c r="G15" s="38"/>
      <c r="H15" s="60"/>
      <c r="I15" s="61"/>
    </row>
    <row r="16" spans="1:9" x14ac:dyDescent="0.25">
      <c r="A16" s="58"/>
      <c r="B16" s="62"/>
      <c r="C16" s="21"/>
      <c r="D16" s="21"/>
      <c r="E16" s="21"/>
      <c r="F16" s="63"/>
      <c r="G16" s="38"/>
      <c r="H16" s="60"/>
      <c r="I16" s="61"/>
    </row>
    <row r="17" spans="1:9" x14ac:dyDescent="0.25">
      <c r="A17" s="58"/>
      <c r="B17" s="62"/>
      <c r="C17" s="21"/>
      <c r="D17" s="21"/>
      <c r="E17" s="21"/>
      <c r="F17" s="63"/>
      <c r="G17" s="38"/>
      <c r="H17" s="60"/>
      <c r="I17" s="61"/>
    </row>
    <row r="18" spans="1:9" x14ac:dyDescent="0.25">
      <c r="A18" s="58"/>
      <c r="B18" s="62"/>
      <c r="C18" s="21"/>
      <c r="D18" s="21"/>
      <c r="E18" s="21"/>
      <c r="F18" s="63"/>
      <c r="G18" s="38"/>
      <c r="H18" s="60"/>
      <c r="I18" s="61"/>
    </row>
    <row r="19" spans="1:9" x14ac:dyDescent="0.25">
      <c r="A19" s="58"/>
      <c r="B19" s="62"/>
      <c r="C19" s="21"/>
      <c r="D19" s="21"/>
      <c r="E19" s="21"/>
      <c r="F19" s="63"/>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66" t="s">
        <v>73</v>
      </c>
      <c r="B32" s="5"/>
      <c r="C32" s="5"/>
      <c r="D32" s="5"/>
      <c r="E32" s="5"/>
      <c r="F32" s="5"/>
      <c r="G32" s="5"/>
      <c r="H32" s="6"/>
    </row>
    <row r="33" spans="1:9" x14ac:dyDescent="0.25">
      <c r="A33" s="7"/>
      <c r="B33" s="8"/>
      <c r="C33" s="203" t="s">
        <v>16</v>
      </c>
      <c r="D33" s="197"/>
      <c r="E33" s="197"/>
      <c r="F33" s="204"/>
      <c r="G33" s="197" t="s">
        <v>1</v>
      </c>
      <c r="H33" s="198"/>
    </row>
    <row r="34" spans="1:9" x14ac:dyDescent="0.25">
      <c r="A34" s="12"/>
      <c r="B34" s="13"/>
      <c r="C34" s="14" t="s">
        <v>236</v>
      </c>
      <c r="D34" s="15" t="s">
        <v>237</v>
      </c>
      <c r="E34" s="15" t="s">
        <v>238</v>
      </c>
      <c r="F34" s="16"/>
      <c r="G34" s="17" t="s">
        <v>239</v>
      </c>
      <c r="H34" s="18" t="s">
        <v>240</v>
      </c>
    </row>
    <row r="35" spans="1:9" ht="12.75" customHeight="1" x14ac:dyDescent="0.25">
      <c r="A35" s="199" t="s">
        <v>57</v>
      </c>
      <c r="B35" s="19" t="s">
        <v>3</v>
      </c>
      <c r="C35" s="80">
        <v>1700.2929333249999</v>
      </c>
      <c r="D35" s="80">
        <v>1969.2178060450001</v>
      </c>
      <c r="E35" s="81">
        <v>2215.3447703035654</v>
      </c>
      <c r="F35" s="22" t="s">
        <v>241</v>
      </c>
      <c r="G35" s="23">
        <v>30.291947162972576</v>
      </c>
      <c r="H35" s="24">
        <v>12.498717181157801</v>
      </c>
    </row>
    <row r="36" spans="1:9" ht="12.75" customHeight="1" x14ac:dyDescent="0.25">
      <c r="A36" s="200"/>
      <c r="B36" s="25" t="s">
        <v>242</v>
      </c>
      <c r="C36" s="82">
        <v>902.33012338799995</v>
      </c>
      <c r="D36" s="82">
        <v>1024.114442474</v>
      </c>
      <c r="E36" s="82">
        <v>1159.859386956</v>
      </c>
      <c r="F36" s="27"/>
      <c r="G36" s="28">
        <v>28.540470598615144</v>
      </c>
      <c r="H36" s="29">
        <v>13.254860868290734</v>
      </c>
    </row>
    <row r="37" spans="1:9" x14ac:dyDescent="0.25">
      <c r="A37" s="30" t="s">
        <v>9</v>
      </c>
      <c r="B37" s="31" t="s">
        <v>3</v>
      </c>
      <c r="C37" s="80">
        <v>413.05969491500002</v>
      </c>
      <c r="D37" s="80">
        <v>471.23420600200001</v>
      </c>
      <c r="E37" s="83">
        <v>717.0029544671138</v>
      </c>
      <c r="F37" s="22" t="s">
        <v>241</v>
      </c>
      <c r="G37" s="32">
        <v>73.583373854633663</v>
      </c>
      <c r="H37" s="33">
        <v>52.154267524473966</v>
      </c>
    </row>
    <row r="38" spans="1:9" x14ac:dyDescent="0.25">
      <c r="A38" s="34"/>
      <c r="B38" s="25" t="s">
        <v>242</v>
      </c>
      <c r="C38" s="82">
        <v>218.83057100600001</v>
      </c>
      <c r="D38" s="82">
        <v>245.44274916500001</v>
      </c>
      <c r="E38" s="82">
        <v>375.56146225700002</v>
      </c>
      <c r="F38" s="27"/>
      <c r="G38" s="35">
        <v>71.622027274563322</v>
      </c>
      <c r="H38" s="29">
        <v>53.01387534757734</v>
      </c>
    </row>
    <row r="39" spans="1:9" x14ac:dyDescent="0.25">
      <c r="A39" s="30" t="s">
        <v>46</v>
      </c>
      <c r="B39" s="31" t="s">
        <v>3</v>
      </c>
      <c r="C39" s="80">
        <v>868.00740165900004</v>
      </c>
      <c r="D39" s="80">
        <v>1008.436840941</v>
      </c>
      <c r="E39" s="83">
        <v>1055.1515518551391</v>
      </c>
      <c r="F39" s="22" t="s">
        <v>241</v>
      </c>
      <c r="G39" s="37">
        <v>21.560202117914585</v>
      </c>
      <c r="H39" s="33">
        <v>4.6323883675797077</v>
      </c>
    </row>
    <row r="40" spans="1:9" x14ac:dyDescent="0.25">
      <c r="A40" s="34"/>
      <c r="B40" s="25" t="s">
        <v>242</v>
      </c>
      <c r="C40" s="82">
        <v>457.48054259999998</v>
      </c>
      <c r="D40" s="82">
        <v>512.90929726900004</v>
      </c>
      <c r="E40" s="82">
        <v>542.998049251</v>
      </c>
      <c r="F40" s="27"/>
      <c r="G40" s="28">
        <v>18.693146196989758</v>
      </c>
      <c r="H40" s="29">
        <v>5.8662910074370558</v>
      </c>
    </row>
    <row r="41" spans="1:9" x14ac:dyDescent="0.25">
      <c r="A41" s="30" t="s">
        <v>24</v>
      </c>
      <c r="B41" s="31" t="s">
        <v>3</v>
      </c>
      <c r="C41" s="80">
        <v>419.22583675099997</v>
      </c>
      <c r="D41" s="80">
        <v>489.54675910100002</v>
      </c>
      <c r="E41" s="83">
        <v>445.51349395629398</v>
      </c>
      <c r="F41" s="22" t="s">
        <v>241</v>
      </c>
      <c r="G41" s="23">
        <v>6.2705241187001519</v>
      </c>
      <c r="H41" s="24">
        <v>-8.9947005727437244</v>
      </c>
    </row>
    <row r="42" spans="1:9" ht="13.8" thickBot="1" x14ac:dyDescent="0.3">
      <c r="A42" s="56"/>
      <c r="B42" s="42" t="s">
        <v>242</v>
      </c>
      <c r="C42" s="86">
        <v>226.01900978200001</v>
      </c>
      <c r="D42" s="86">
        <v>265.76239603900001</v>
      </c>
      <c r="E42" s="86">
        <v>241.29987544799999</v>
      </c>
      <c r="F42" s="44"/>
      <c r="G42" s="57">
        <v>6.760876300068162</v>
      </c>
      <c r="H42" s="46">
        <v>-9.204658354829931</v>
      </c>
    </row>
    <row r="43" spans="1:9" x14ac:dyDescent="0.25">
      <c r="A43" s="58"/>
      <c r="B43" s="62"/>
      <c r="C43" s="21"/>
      <c r="D43" s="21"/>
      <c r="E43" s="21"/>
      <c r="F43" s="63"/>
      <c r="G43" s="38"/>
      <c r="H43" s="60"/>
    </row>
    <row r="44" spans="1:9" x14ac:dyDescent="0.25">
      <c r="A44" s="58"/>
      <c r="B44" s="62"/>
      <c r="C44" s="21"/>
      <c r="D44" s="21"/>
      <c r="E44" s="21"/>
      <c r="F44" s="63"/>
      <c r="G44" s="38"/>
      <c r="H44" s="60"/>
    </row>
    <row r="45" spans="1:9" x14ac:dyDescent="0.25">
      <c r="A45" s="58"/>
      <c r="B45" s="62"/>
      <c r="C45" s="21"/>
      <c r="D45" s="21"/>
      <c r="E45" s="21"/>
      <c r="F45" s="63"/>
      <c r="G45" s="38"/>
      <c r="H45" s="60"/>
    </row>
    <row r="46" spans="1:9" x14ac:dyDescent="0.25">
      <c r="A46" s="58"/>
      <c r="B46" s="62"/>
      <c r="C46" s="21"/>
      <c r="D46" s="21"/>
      <c r="E46" s="21"/>
      <c r="F46" s="63"/>
      <c r="G46" s="38"/>
      <c r="H46" s="60"/>
    </row>
    <row r="47" spans="1:9" x14ac:dyDescent="0.25">
      <c r="A47" s="58"/>
      <c r="B47" s="62"/>
      <c r="C47" s="21"/>
      <c r="D47" s="21"/>
      <c r="E47" s="21"/>
      <c r="F47" s="63"/>
      <c r="G47" s="38"/>
      <c r="H47" s="60"/>
      <c r="I47" s="61"/>
    </row>
    <row r="48" spans="1:9" x14ac:dyDescent="0.25">
      <c r="A48" s="58"/>
      <c r="B48" s="62"/>
      <c r="C48" s="21"/>
      <c r="D48" s="21"/>
      <c r="E48" s="21"/>
      <c r="F48" s="63"/>
      <c r="G48" s="38"/>
      <c r="H48" s="60"/>
      <c r="I48" s="61"/>
    </row>
    <row r="49" spans="1:9" x14ac:dyDescent="0.25">
      <c r="A49" s="58"/>
      <c r="B49" s="58"/>
      <c r="C49" s="21"/>
      <c r="D49" s="21"/>
      <c r="E49" s="121"/>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243</v>
      </c>
      <c r="G61" s="53"/>
      <c r="H61" s="202">
        <v>19</v>
      </c>
    </row>
    <row r="62" spans="1:9" ht="12.75" customHeight="1" x14ac:dyDescent="0.25">
      <c r="A62" s="54" t="s">
        <v>244</v>
      </c>
      <c r="G62" s="53"/>
      <c r="H62" s="195"/>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9" ht="5.25" customHeight="1" x14ac:dyDescent="0.25"/>
    <row r="2" spans="1:9" x14ac:dyDescent="0.25">
      <c r="A2" s="95" t="s">
        <v>0</v>
      </c>
      <c r="B2" s="2"/>
      <c r="C2" s="2"/>
      <c r="D2" s="2"/>
      <c r="E2" s="2"/>
      <c r="F2" s="2"/>
      <c r="G2" s="2"/>
    </row>
    <row r="3" spans="1:9" ht="6" customHeight="1" x14ac:dyDescent="0.25">
      <c r="A3" s="3"/>
      <c r="B3" s="2"/>
      <c r="C3" s="2"/>
      <c r="D3" s="2"/>
      <c r="E3" s="2"/>
      <c r="F3" s="2"/>
      <c r="G3" s="2"/>
    </row>
    <row r="4" spans="1:9" ht="16.2" thickBot="1" x14ac:dyDescent="0.35">
      <c r="A4" s="4" t="s">
        <v>154</v>
      </c>
      <c r="B4" s="5"/>
      <c r="C4" s="5"/>
      <c r="D4" s="5"/>
      <c r="E4" s="5"/>
      <c r="F4" s="5"/>
      <c r="G4" s="5"/>
      <c r="H4" s="6"/>
    </row>
    <row r="5" spans="1:9" x14ac:dyDescent="0.25">
      <c r="A5" s="7"/>
      <c r="B5" s="8"/>
      <c r="C5" s="9"/>
      <c r="D5" s="8"/>
      <c r="E5" s="10"/>
      <c r="F5" s="11"/>
      <c r="G5" s="197" t="s">
        <v>1</v>
      </c>
      <c r="H5" s="198"/>
    </row>
    <row r="6" spans="1:9" x14ac:dyDescent="0.25">
      <c r="A6" s="12"/>
      <c r="B6" s="13"/>
      <c r="C6" s="14" t="s">
        <v>236</v>
      </c>
      <c r="D6" s="15" t="s">
        <v>237</v>
      </c>
      <c r="E6" s="15" t="s">
        <v>238</v>
      </c>
      <c r="F6" s="16"/>
      <c r="G6" s="17" t="s">
        <v>239</v>
      </c>
      <c r="H6" s="18" t="s">
        <v>240</v>
      </c>
    </row>
    <row r="7" spans="1:9" ht="12.75" customHeight="1" x14ac:dyDescent="0.25">
      <c r="A7" s="199" t="s">
        <v>60</v>
      </c>
      <c r="B7" s="19" t="s">
        <v>3</v>
      </c>
      <c r="C7" s="20">
        <v>22664</v>
      </c>
      <c r="D7" s="20">
        <v>24133</v>
      </c>
      <c r="E7" s="79">
        <v>25542.78029195395</v>
      </c>
      <c r="F7" s="22" t="s">
        <v>241</v>
      </c>
      <c r="G7" s="23">
        <v>12.70199564046041</v>
      </c>
      <c r="H7" s="24">
        <v>5.8417117306341879</v>
      </c>
    </row>
    <row r="8" spans="1:9" ht="13.5" customHeight="1" thickBot="1" x14ac:dyDescent="0.3">
      <c r="A8" s="205"/>
      <c r="B8" s="42" t="s">
        <v>242</v>
      </c>
      <c r="C8" s="43">
        <v>12291</v>
      </c>
      <c r="D8" s="43">
        <v>12649.523333333</v>
      </c>
      <c r="E8" s="43">
        <v>13539.56</v>
      </c>
      <c r="F8" s="44"/>
      <c r="G8" s="57">
        <v>10.158327231307453</v>
      </c>
      <c r="H8" s="46">
        <v>7.0361281070698425</v>
      </c>
    </row>
    <row r="9" spans="1:9" x14ac:dyDescent="0.25">
      <c r="A9" s="58"/>
      <c r="B9" s="58"/>
      <c r="C9" s="21"/>
      <c r="D9" s="21"/>
      <c r="E9" s="21"/>
      <c r="F9" s="59"/>
      <c r="G9" s="38"/>
      <c r="H9" s="60"/>
      <c r="I9" s="61"/>
    </row>
    <row r="10" spans="1:9" x14ac:dyDescent="0.25">
      <c r="A10" s="58"/>
      <c r="B10" s="58"/>
      <c r="C10" s="21"/>
      <c r="D10" s="21"/>
      <c r="E10" s="21"/>
      <c r="F10" s="59"/>
      <c r="G10" s="38"/>
      <c r="H10" s="60"/>
      <c r="I10" s="61"/>
    </row>
    <row r="11" spans="1:9" x14ac:dyDescent="0.25">
      <c r="A11" s="58"/>
      <c r="B11" s="58"/>
      <c r="C11" s="21"/>
      <c r="D11" s="21"/>
      <c r="E11" s="21"/>
      <c r="F11" s="59"/>
      <c r="G11" s="38"/>
      <c r="H11" s="60"/>
      <c r="I11" s="61"/>
    </row>
    <row r="12" spans="1:9" x14ac:dyDescent="0.25">
      <c r="A12" s="58"/>
      <c r="B12" s="58"/>
      <c r="C12" s="21"/>
      <c r="D12" s="21"/>
      <c r="E12" s="21"/>
      <c r="F12" s="59"/>
      <c r="G12" s="38"/>
      <c r="H12" s="60"/>
      <c r="I12" s="61"/>
    </row>
    <row r="13" spans="1:9" x14ac:dyDescent="0.25">
      <c r="A13" s="58"/>
      <c r="B13" s="58"/>
      <c r="C13" s="21"/>
      <c r="D13" s="21"/>
      <c r="E13" s="21"/>
      <c r="F13" s="59"/>
      <c r="G13" s="38"/>
      <c r="H13" s="60"/>
      <c r="I13" s="61"/>
    </row>
    <row r="14" spans="1:9" x14ac:dyDescent="0.25">
      <c r="A14" s="58"/>
      <c r="B14" s="62"/>
      <c r="C14" s="21"/>
      <c r="D14" s="21"/>
      <c r="E14" s="21"/>
      <c r="F14" s="63"/>
      <c r="G14" s="38"/>
      <c r="H14" s="60"/>
      <c r="I14" s="61"/>
    </row>
    <row r="15" spans="1:9" x14ac:dyDescent="0.25">
      <c r="A15" s="58"/>
      <c r="B15" s="58"/>
      <c r="C15" s="21"/>
      <c r="D15" s="21"/>
      <c r="E15" s="21"/>
      <c r="F15" s="59"/>
      <c r="G15" s="38"/>
      <c r="H15" s="60"/>
      <c r="I15" s="61"/>
    </row>
    <row r="16" spans="1:9" x14ac:dyDescent="0.25">
      <c r="A16" s="58"/>
      <c r="B16" s="62"/>
      <c r="C16" s="21"/>
      <c r="D16" s="21"/>
      <c r="E16" s="21"/>
      <c r="F16" s="63"/>
      <c r="G16" s="38"/>
      <c r="H16" s="60"/>
      <c r="I16" s="61"/>
    </row>
    <row r="17" spans="1:9" x14ac:dyDescent="0.25">
      <c r="A17" s="58"/>
      <c r="B17" s="58"/>
      <c r="C17" s="21"/>
      <c r="D17" s="21"/>
      <c r="E17" s="21"/>
      <c r="F17" s="59"/>
      <c r="G17" s="38"/>
      <c r="H17" s="60"/>
      <c r="I17" s="61"/>
    </row>
    <row r="18" spans="1:9" x14ac:dyDescent="0.25">
      <c r="A18" s="58"/>
      <c r="B18" s="62"/>
      <c r="C18" s="21"/>
      <c r="D18" s="21"/>
      <c r="E18" s="21"/>
      <c r="F18" s="63"/>
      <c r="G18" s="38"/>
      <c r="H18" s="60"/>
      <c r="I18" s="61"/>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72</v>
      </c>
      <c r="B32" s="5"/>
      <c r="C32" s="5"/>
      <c r="D32" s="5"/>
      <c r="E32" s="5"/>
      <c r="F32" s="5"/>
      <c r="G32" s="5"/>
      <c r="H32" s="6"/>
    </row>
    <row r="33" spans="1:9" x14ac:dyDescent="0.25">
      <c r="A33" s="7"/>
      <c r="B33" s="8"/>
      <c r="C33" s="203" t="s">
        <v>16</v>
      </c>
      <c r="D33" s="197"/>
      <c r="E33" s="197"/>
      <c r="F33" s="204"/>
      <c r="G33" s="197" t="s">
        <v>1</v>
      </c>
      <c r="H33" s="198"/>
    </row>
    <row r="34" spans="1:9" x14ac:dyDescent="0.25">
      <c r="A34" s="12"/>
      <c r="B34" s="13"/>
      <c r="C34" s="14" t="s">
        <v>236</v>
      </c>
      <c r="D34" s="15" t="s">
        <v>237</v>
      </c>
      <c r="E34" s="15" t="s">
        <v>238</v>
      </c>
      <c r="F34" s="16"/>
      <c r="G34" s="17" t="s">
        <v>239</v>
      </c>
      <c r="H34" s="18" t="s">
        <v>240</v>
      </c>
    </row>
    <row r="35" spans="1:9" ht="12.75" customHeight="1" x14ac:dyDescent="0.25">
      <c r="A35" s="199" t="s">
        <v>60</v>
      </c>
      <c r="B35" s="19" t="s">
        <v>3</v>
      </c>
      <c r="C35" s="80">
        <v>643.95455599599995</v>
      </c>
      <c r="D35" s="80">
        <v>617.195755996</v>
      </c>
      <c r="E35" s="81">
        <v>550.08438247109109</v>
      </c>
      <c r="F35" s="22" t="s">
        <v>241</v>
      </c>
      <c r="G35" s="23">
        <v>-14.577142540706234</v>
      </c>
      <c r="H35" s="24">
        <v>-10.873596079190122</v>
      </c>
    </row>
    <row r="36" spans="1:9" ht="12.75" customHeight="1" thickBot="1" x14ac:dyDescent="0.3">
      <c r="A36" s="205"/>
      <c r="B36" s="42" t="s">
        <v>242</v>
      </c>
      <c r="C36" s="86">
        <v>349.44877136100001</v>
      </c>
      <c r="D36" s="86">
        <v>320.22656303700001</v>
      </c>
      <c r="E36" s="86">
        <v>289.64428472700001</v>
      </c>
      <c r="F36" s="44"/>
      <c r="G36" s="57">
        <v>-17.113949607285534</v>
      </c>
      <c r="H36" s="46">
        <v>-9.5502003393973354</v>
      </c>
    </row>
    <row r="37" spans="1:9" x14ac:dyDescent="0.25">
      <c r="A37" s="58"/>
      <c r="B37" s="58"/>
      <c r="C37" s="21"/>
      <c r="D37" s="21"/>
      <c r="E37" s="21"/>
      <c r="F37" s="59"/>
      <c r="G37" s="38"/>
      <c r="H37" s="60"/>
      <c r="I37" s="61"/>
    </row>
    <row r="38" spans="1:9" x14ac:dyDescent="0.25">
      <c r="A38" s="58"/>
      <c r="B38" s="62"/>
      <c r="C38" s="21"/>
      <c r="D38" s="21"/>
      <c r="E38" s="21"/>
      <c r="F38" s="63"/>
      <c r="G38" s="38"/>
      <c r="H38" s="60"/>
      <c r="I38" s="61"/>
    </row>
    <row r="39" spans="1:9" x14ac:dyDescent="0.25">
      <c r="A39" s="58"/>
      <c r="B39" s="58"/>
      <c r="C39" s="21"/>
      <c r="D39" s="21"/>
      <c r="E39" s="21"/>
      <c r="F39" s="59"/>
      <c r="G39" s="38"/>
      <c r="H39" s="60"/>
      <c r="I39" s="61"/>
    </row>
    <row r="40" spans="1:9" x14ac:dyDescent="0.25">
      <c r="A40" s="58"/>
      <c r="B40" s="62"/>
      <c r="C40" s="21"/>
      <c r="D40" s="21"/>
      <c r="E40" s="21"/>
      <c r="F40" s="63"/>
      <c r="G40" s="38"/>
      <c r="H40" s="60"/>
      <c r="I40" s="61"/>
    </row>
    <row r="41" spans="1:9" x14ac:dyDescent="0.25">
      <c r="A41" s="58"/>
      <c r="B41" s="58"/>
      <c r="C41" s="21"/>
      <c r="D41" s="21"/>
      <c r="E41" s="21"/>
      <c r="F41" s="59"/>
      <c r="G41" s="38"/>
      <c r="H41" s="60"/>
      <c r="I41" s="61"/>
    </row>
    <row r="42" spans="1:9" x14ac:dyDescent="0.25">
      <c r="A42" s="58"/>
      <c r="B42" s="62"/>
      <c r="C42" s="21"/>
      <c r="D42" s="21"/>
      <c r="E42" s="21"/>
      <c r="F42" s="63"/>
      <c r="G42" s="38"/>
      <c r="H42" s="60"/>
      <c r="I42" s="61"/>
    </row>
    <row r="43" spans="1:9" x14ac:dyDescent="0.25">
      <c r="A43" s="58"/>
      <c r="B43" s="58"/>
      <c r="C43" s="21"/>
      <c r="D43" s="21"/>
      <c r="E43" s="21"/>
      <c r="F43" s="59"/>
      <c r="G43" s="38"/>
      <c r="H43" s="60"/>
      <c r="I43" s="61"/>
    </row>
    <row r="44" spans="1:9" x14ac:dyDescent="0.25">
      <c r="A44" s="58"/>
      <c r="B44" s="62"/>
      <c r="C44" s="21"/>
      <c r="D44" s="21"/>
      <c r="E44" s="21"/>
      <c r="F44" s="63"/>
      <c r="G44" s="38"/>
      <c r="H44" s="60"/>
      <c r="I44" s="61"/>
    </row>
    <row r="45" spans="1:9" x14ac:dyDescent="0.25">
      <c r="A45" s="58"/>
      <c r="B45" s="58"/>
      <c r="C45" s="21"/>
      <c r="D45" s="21"/>
      <c r="E45" s="21"/>
      <c r="F45" s="59"/>
      <c r="G45" s="38"/>
      <c r="H45" s="60"/>
      <c r="I45" s="61"/>
    </row>
    <row r="46" spans="1:9" x14ac:dyDescent="0.25">
      <c r="A46" s="58"/>
      <c r="B46" s="62"/>
      <c r="C46" s="21"/>
      <c r="D46" s="21"/>
      <c r="E46" s="21"/>
      <c r="F46" s="63"/>
      <c r="G46" s="38"/>
      <c r="H46" s="60"/>
      <c r="I46" s="61"/>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121"/>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243</v>
      </c>
      <c r="H61" s="194">
        <v>20</v>
      </c>
    </row>
    <row r="62" spans="1:9" ht="12.75" customHeight="1" x14ac:dyDescent="0.25">
      <c r="A62" s="54" t="s">
        <v>244</v>
      </c>
      <c r="H62" s="195"/>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45" customWidth="1"/>
    <col min="2" max="2" width="8.109375" style="145" customWidth="1"/>
    <col min="3" max="4" width="10.5546875" style="145" customWidth="1"/>
    <col min="5" max="5" width="9.88671875" style="145" customWidth="1"/>
    <col min="6" max="6" width="1.6640625" style="145" customWidth="1"/>
    <col min="7" max="7" width="7.6640625" style="145" customWidth="1"/>
    <col min="8" max="8" width="8.88671875" style="145" customWidth="1"/>
    <col min="9" max="16384" width="11.44140625" style="145"/>
  </cols>
  <sheetData>
    <row r="1" spans="1:8" ht="5.25" customHeight="1" x14ac:dyDescent="0.25"/>
    <row r="2" spans="1:8" x14ac:dyDescent="0.25">
      <c r="A2" s="95" t="s">
        <v>0</v>
      </c>
      <c r="B2" s="146"/>
      <c r="C2" s="146"/>
      <c r="D2" s="146"/>
      <c r="E2" s="146"/>
      <c r="F2" s="146"/>
      <c r="G2" s="146"/>
    </row>
    <row r="3" spans="1:8" ht="6" customHeight="1" x14ac:dyDescent="0.25">
      <c r="A3" s="3"/>
      <c r="B3" s="146"/>
      <c r="C3" s="146"/>
      <c r="D3" s="146"/>
      <c r="E3" s="146"/>
      <c r="F3" s="146"/>
      <c r="G3" s="146"/>
    </row>
    <row r="4" spans="1:8" ht="16.2" thickBot="1" x14ac:dyDescent="0.35">
      <c r="A4" s="147" t="s">
        <v>217</v>
      </c>
      <c r="B4" s="148"/>
      <c r="C4" s="148"/>
      <c r="D4" s="148"/>
      <c r="E4" s="148"/>
      <c r="F4" s="148"/>
      <c r="G4" s="148"/>
      <c r="H4" s="149"/>
    </row>
    <row r="5" spans="1:8" x14ac:dyDescent="0.25">
      <c r="A5" s="150"/>
      <c r="B5" s="151"/>
      <c r="C5" s="152"/>
      <c r="D5" s="151"/>
      <c r="E5" s="153"/>
      <c r="F5" s="154"/>
      <c r="G5" s="208" t="s">
        <v>1</v>
      </c>
      <c r="H5" s="209"/>
    </row>
    <row r="6" spans="1:8" x14ac:dyDescent="0.25">
      <c r="A6" s="155"/>
      <c r="B6" s="156"/>
      <c r="C6" s="157" t="s">
        <v>236</v>
      </c>
      <c r="D6" s="158" t="s">
        <v>237</v>
      </c>
      <c r="E6" s="158" t="s">
        <v>238</v>
      </c>
      <c r="F6" s="159"/>
      <c r="G6" s="160" t="s">
        <v>239</v>
      </c>
      <c r="H6" s="161" t="s">
        <v>240</v>
      </c>
    </row>
    <row r="7" spans="1:8" ht="12.75" customHeight="1" x14ac:dyDescent="0.25">
      <c r="A7" s="210" t="s">
        <v>197</v>
      </c>
      <c r="B7" s="162" t="s">
        <v>3</v>
      </c>
      <c r="C7" s="20">
        <v>4802</v>
      </c>
      <c r="D7" s="20">
        <v>4554</v>
      </c>
      <c r="E7" s="79">
        <v>4882.4534250501574</v>
      </c>
      <c r="F7" s="22" t="s">
        <v>241</v>
      </c>
      <c r="G7" s="163">
        <v>1.6754149323231502</v>
      </c>
      <c r="H7" s="164">
        <v>7.2124160090065317</v>
      </c>
    </row>
    <row r="8" spans="1:8" ht="12.75" customHeight="1" x14ac:dyDescent="0.25">
      <c r="A8" s="211"/>
      <c r="B8" s="165" t="s">
        <v>242</v>
      </c>
      <c r="C8" s="26">
        <v>2376</v>
      </c>
      <c r="D8" s="26">
        <v>2326</v>
      </c>
      <c r="E8" s="26">
        <v>2476</v>
      </c>
      <c r="F8" s="27"/>
      <c r="G8" s="166">
        <v>4.2087542087542147</v>
      </c>
      <c r="H8" s="167">
        <v>6.4488392089423883</v>
      </c>
    </row>
    <row r="9" spans="1:8" x14ac:dyDescent="0.25">
      <c r="A9" s="168" t="s">
        <v>198</v>
      </c>
      <c r="B9" s="169" t="s">
        <v>3</v>
      </c>
      <c r="C9" s="20">
        <v>1861</v>
      </c>
      <c r="D9" s="20">
        <v>1793</v>
      </c>
      <c r="E9" s="21">
        <v>1683.4701223902086</v>
      </c>
      <c r="F9" s="22" t="s">
        <v>241</v>
      </c>
      <c r="G9" s="170">
        <v>-9.5394883186346817</v>
      </c>
      <c r="H9" s="171">
        <v>-6.1087494483988536</v>
      </c>
    </row>
    <row r="10" spans="1:8" x14ac:dyDescent="0.25">
      <c r="A10" s="172"/>
      <c r="B10" s="165" t="s">
        <v>242</v>
      </c>
      <c r="C10" s="26">
        <v>857</v>
      </c>
      <c r="D10" s="26">
        <v>926</v>
      </c>
      <c r="E10" s="26">
        <v>860</v>
      </c>
      <c r="F10" s="27"/>
      <c r="G10" s="173">
        <v>0.35005834305717087</v>
      </c>
      <c r="H10" s="167">
        <v>-7.1274298056155487</v>
      </c>
    </row>
    <row r="11" spans="1:8" x14ac:dyDescent="0.25">
      <c r="A11" s="168" t="s">
        <v>199</v>
      </c>
      <c r="B11" s="169" t="s">
        <v>3</v>
      </c>
      <c r="C11" s="20">
        <v>292</v>
      </c>
      <c r="D11" s="20">
        <v>355</v>
      </c>
      <c r="E11" s="21">
        <v>355.53654188948303</v>
      </c>
      <c r="F11" s="22" t="s">
        <v>241</v>
      </c>
      <c r="G11" s="174">
        <v>21.759089688179117</v>
      </c>
      <c r="H11" s="171">
        <v>0.15113856041774909</v>
      </c>
    </row>
    <row r="12" spans="1:8" x14ac:dyDescent="0.25">
      <c r="A12" s="172"/>
      <c r="B12" s="165" t="s">
        <v>242</v>
      </c>
      <c r="C12" s="26">
        <v>160</v>
      </c>
      <c r="D12" s="26">
        <v>187</v>
      </c>
      <c r="E12" s="26">
        <v>184</v>
      </c>
      <c r="F12" s="27"/>
      <c r="G12" s="166">
        <v>14.999999999999986</v>
      </c>
      <c r="H12" s="167">
        <v>-1.6042780748663006</v>
      </c>
    </row>
    <row r="13" spans="1:8" x14ac:dyDescent="0.25">
      <c r="A13" s="168" t="s">
        <v>233</v>
      </c>
      <c r="B13" s="169" t="s">
        <v>3</v>
      </c>
      <c r="C13" s="20">
        <v>202</v>
      </c>
      <c r="D13" s="20">
        <v>154</v>
      </c>
      <c r="E13" s="21">
        <v>56.564885496183209</v>
      </c>
      <c r="F13" s="22" t="s">
        <v>241</v>
      </c>
      <c r="G13" s="163">
        <v>-71.997581437533057</v>
      </c>
      <c r="H13" s="164">
        <v>-63.26955487260831</v>
      </c>
    </row>
    <row r="14" spans="1:8" x14ac:dyDescent="0.25">
      <c r="A14" s="172"/>
      <c r="B14" s="165" t="s">
        <v>242</v>
      </c>
      <c r="C14" s="26">
        <v>116</v>
      </c>
      <c r="D14" s="26">
        <v>131</v>
      </c>
      <c r="E14" s="26">
        <v>39</v>
      </c>
      <c r="F14" s="27"/>
      <c r="G14" s="175">
        <v>-66.379310344827587</v>
      </c>
      <c r="H14" s="164">
        <v>-70.229007633587784</v>
      </c>
    </row>
    <row r="15" spans="1:8" x14ac:dyDescent="0.25">
      <c r="A15" s="168" t="s">
        <v>200</v>
      </c>
      <c r="B15" s="169" t="s">
        <v>3</v>
      </c>
      <c r="C15" s="20">
        <v>1585</v>
      </c>
      <c r="D15" s="20">
        <v>1833</v>
      </c>
      <c r="E15" s="21">
        <v>1954.4078947368419</v>
      </c>
      <c r="F15" s="22" t="s">
        <v>241</v>
      </c>
      <c r="G15" s="174">
        <v>23.306491781504207</v>
      </c>
      <c r="H15" s="171">
        <v>6.6234530680219166</v>
      </c>
    </row>
    <row r="16" spans="1:8" x14ac:dyDescent="0.25">
      <c r="A16" s="172"/>
      <c r="B16" s="165" t="s">
        <v>242</v>
      </c>
      <c r="C16" s="26">
        <v>730</v>
      </c>
      <c r="D16" s="26">
        <v>912</v>
      </c>
      <c r="E16" s="26">
        <v>974</v>
      </c>
      <c r="F16" s="27"/>
      <c r="G16" s="166">
        <v>33.424657534246563</v>
      </c>
      <c r="H16" s="167">
        <v>6.798245614035082</v>
      </c>
    </row>
    <row r="17" spans="1:9" x14ac:dyDescent="0.25">
      <c r="A17" s="168" t="s">
        <v>201</v>
      </c>
      <c r="B17" s="169" t="s">
        <v>3</v>
      </c>
      <c r="C17" s="20">
        <v>361</v>
      </c>
      <c r="D17" s="20">
        <v>436</v>
      </c>
      <c r="E17" s="21">
        <v>382.74509803921563</v>
      </c>
      <c r="F17" s="22" t="s">
        <v>241</v>
      </c>
      <c r="G17" s="174">
        <v>6.0235728640486457</v>
      </c>
      <c r="H17" s="171">
        <v>-12.214427055225769</v>
      </c>
    </row>
    <row r="18" spans="1:9" x14ac:dyDescent="0.25">
      <c r="A18" s="168"/>
      <c r="B18" s="165" t="s">
        <v>242</v>
      </c>
      <c r="C18" s="26">
        <v>149</v>
      </c>
      <c r="D18" s="26">
        <v>204</v>
      </c>
      <c r="E18" s="26">
        <v>183</v>
      </c>
      <c r="F18" s="27"/>
      <c r="G18" s="166">
        <v>22.818791946308721</v>
      </c>
      <c r="H18" s="167">
        <v>-10.294117647058826</v>
      </c>
    </row>
    <row r="19" spans="1:9" x14ac:dyDescent="0.25">
      <c r="A19" s="176" t="s">
        <v>202</v>
      </c>
      <c r="B19" s="169" t="s">
        <v>3</v>
      </c>
      <c r="C19" s="20">
        <v>34</v>
      </c>
      <c r="D19" s="20">
        <v>35</v>
      </c>
      <c r="E19" s="21">
        <v>46.75</v>
      </c>
      <c r="F19" s="22" t="s">
        <v>241</v>
      </c>
      <c r="G19" s="163">
        <v>37.5</v>
      </c>
      <c r="H19" s="164">
        <v>33.571428571428555</v>
      </c>
    </row>
    <row r="20" spans="1:9" x14ac:dyDescent="0.25">
      <c r="A20" s="172"/>
      <c r="B20" s="165" t="s">
        <v>242</v>
      </c>
      <c r="C20" s="26">
        <v>10</v>
      </c>
      <c r="D20" s="26">
        <v>16</v>
      </c>
      <c r="E20" s="26">
        <v>22</v>
      </c>
      <c r="F20" s="27"/>
      <c r="G20" s="175">
        <v>120.00000000000003</v>
      </c>
      <c r="H20" s="164">
        <v>37.5</v>
      </c>
    </row>
    <row r="21" spans="1:9" x14ac:dyDescent="0.25">
      <c r="A21" s="176" t="s">
        <v>203</v>
      </c>
      <c r="B21" s="169" t="s">
        <v>3</v>
      </c>
      <c r="C21" s="20">
        <v>15</v>
      </c>
      <c r="D21" s="20">
        <v>19</v>
      </c>
      <c r="E21" s="21">
        <v>6.5641025641025639</v>
      </c>
      <c r="F21" s="22" t="s">
        <v>241</v>
      </c>
      <c r="G21" s="174">
        <v>-56.239316239316238</v>
      </c>
      <c r="H21" s="171">
        <v>-65.452091767881242</v>
      </c>
    </row>
    <row r="22" spans="1:9" x14ac:dyDescent="0.25">
      <c r="A22" s="172"/>
      <c r="B22" s="165" t="s">
        <v>242</v>
      </c>
      <c r="C22" s="26">
        <v>8</v>
      </c>
      <c r="D22" s="26">
        <v>13</v>
      </c>
      <c r="E22" s="26">
        <v>4</v>
      </c>
      <c r="F22" s="27"/>
      <c r="G22" s="166">
        <v>-50</v>
      </c>
      <c r="H22" s="167">
        <v>-69.230769230769226</v>
      </c>
    </row>
    <row r="23" spans="1:9" x14ac:dyDescent="0.25">
      <c r="A23" s="176" t="s">
        <v>204</v>
      </c>
      <c r="B23" s="169" t="s">
        <v>3</v>
      </c>
      <c r="C23" s="20">
        <v>116</v>
      </c>
      <c r="D23" s="20">
        <v>157</v>
      </c>
      <c r="E23" s="21">
        <v>233.12903225806448</v>
      </c>
      <c r="F23" s="22" t="s">
        <v>241</v>
      </c>
      <c r="G23" s="174">
        <v>100.97330367074525</v>
      </c>
      <c r="H23" s="171">
        <v>48.489829463735333</v>
      </c>
    </row>
    <row r="24" spans="1:9" x14ac:dyDescent="0.25">
      <c r="A24" s="172"/>
      <c r="B24" s="165" t="s">
        <v>242</v>
      </c>
      <c r="C24" s="26">
        <v>51</v>
      </c>
      <c r="D24" s="26">
        <v>62</v>
      </c>
      <c r="E24" s="26">
        <v>99</v>
      </c>
      <c r="F24" s="27"/>
      <c r="G24" s="166">
        <v>94.117647058823536</v>
      </c>
      <c r="H24" s="167">
        <v>59.67741935483869</v>
      </c>
    </row>
    <row r="25" spans="1:9" x14ac:dyDescent="0.25">
      <c r="A25" s="168" t="s">
        <v>24</v>
      </c>
      <c r="B25" s="169" t="s">
        <v>3</v>
      </c>
      <c r="C25" s="20">
        <v>1700</v>
      </c>
      <c r="D25" s="20">
        <v>1010</v>
      </c>
      <c r="E25" s="21">
        <v>963.36182336182333</v>
      </c>
      <c r="F25" s="22" t="s">
        <v>241</v>
      </c>
      <c r="G25" s="163">
        <v>-43.331657449304508</v>
      </c>
      <c r="H25" s="164">
        <v>-4.6176412513046188</v>
      </c>
      <c r="I25" s="177"/>
    </row>
    <row r="26" spans="1:9" ht="13.8" thickBot="1" x14ac:dyDescent="0.3">
      <c r="A26" s="178"/>
      <c r="B26" s="179" t="s">
        <v>242</v>
      </c>
      <c r="C26" s="43">
        <v>894</v>
      </c>
      <c r="D26" s="43">
        <v>585</v>
      </c>
      <c r="E26" s="43">
        <v>530</v>
      </c>
      <c r="F26" s="44"/>
      <c r="G26" s="180">
        <v>-40.715883668903807</v>
      </c>
      <c r="H26" s="181">
        <v>-9.4017094017093967</v>
      </c>
      <c r="I26" s="177"/>
    </row>
    <row r="27" spans="1:9" x14ac:dyDescent="0.25">
      <c r="A27" s="182"/>
      <c r="B27" s="182"/>
      <c r="C27" s="64"/>
      <c r="D27" s="64"/>
      <c r="E27" s="21"/>
      <c r="F27" s="59"/>
      <c r="G27" s="175"/>
      <c r="H27" s="183"/>
      <c r="I27" s="177"/>
    </row>
    <row r="28" spans="1:9" x14ac:dyDescent="0.25">
      <c r="A28" s="182"/>
      <c r="B28" s="182"/>
      <c r="C28" s="64"/>
      <c r="D28" s="64"/>
      <c r="E28" s="21"/>
      <c r="F28" s="59"/>
      <c r="G28" s="175"/>
      <c r="H28" s="183"/>
      <c r="I28" s="177"/>
    </row>
    <row r="29" spans="1:9" x14ac:dyDescent="0.25">
      <c r="A29" s="182"/>
      <c r="B29" s="182"/>
      <c r="C29" s="64"/>
      <c r="D29" s="64"/>
      <c r="E29" s="21"/>
      <c r="F29" s="59"/>
      <c r="G29" s="175"/>
      <c r="H29" s="183"/>
      <c r="I29" s="177"/>
    </row>
    <row r="30" spans="1:9" x14ac:dyDescent="0.25">
      <c r="A30" s="184"/>
      <c r="B30" s="185"/>
      <c r="C30" s="21"/>
      <c r="D30" s="21"/>
      <c r="E30" s="21"/>
      <c r="F30" s="63"/>
      <c r="G30" s="175"/>
      <c r="H30" s="183"/>
      <c r="I30" s="177"/>
    </row>
    <row r="31" spans="1:9" x14ac:dyDescent="0.25">
      <c r="A31" s="186"/>
      <c r="B31" s="187"/>
      <c r="C31" s="49"/>
      <c r="D31" s="55"/>
      <c r="E31" s="49"/>
      <c r="F31" s="49"/>
      <c r="G31" s="188"/>
      <c r="H31" s="189"/>
      <c r="I31" s="177"/>
    </row>
    <row r="32" spans="1:9" ht="16.2" thickBot="1" x14ac:dyDescent="0.35">
      <c r="A32" s="147" t="s">
        <v>218</v>
      </c>
      <c r="B32" s="148"/>
      <c r="C32" s="148"/>
      <c r="D32" s="148"/>
      <c r="E32" s="148"/>
      <c r="F32" s="148"/>
      <c r="G32" s="148"/>
      <c r="H32" s="149"/>
    </row>
    <row r="33" spans="1:8" x14ac:dyDescent="0.25">
      <c r="A33" s="150"/>
      <c r="B33" s="151"/>
      <c r="C33" s="212" t="s">
        <v>16</v>
      </c>
      <c r="D33" s="208"/>
      <c r="E33" s="208"/>
      <c r="F33" s="213"/>
      <c r="G33" s="208" t="s">
        <v>1</v>
      </c>
      <c r="H33" s="209"/>
    </row>
    <row r="34" spans="1:8" x14ac:dyDescent="0.25">
      <c r="A34" s="155"/>
      <c r="B34" s="156"/>
      <c r="C34" s="157" t="s">
        <v>236</v>
      </c>
      <c r="D34" s="158" t="s">
        <v>237</v>
      </c>
      <c r="E34" s="158" t="s">
        <v>238</v>
      </c>
      <c r="F34" s="159"/>
      <c r="G34" s="160" t="s">
        <v>239</v>
      </c>
      <c r="H34" s="161" t="s">
        <v>240</v>
      </c>
    </row>
    <row r="35" spans="1:8" ht="12.75" customHeight="1" x14ac:dyDescent="0.25">
      <c r="A35" s="210" t="s">
        <v>197</v>
      </c>
      <c r="B35" s="162" t="s">
        <v>3</v>
      </c>
      <c r="C35" s="80">
        <v>901.02329223499999</v>
      </c>
      <c r="D35" s="80">
        <v>800.24281891500004</v>
      </c>
      <c r="E35" s="81">
        <v>849.2756129717294</v>
      </c>
      <c r="F35" s="22" t="s">
        <v>241</v>
      </c>
      <c r="G35" s="163">
        <v>-5.7432121576912607</v>
      </c>
      <c r="H35" s="164">
        <v>6.127239495033507</v>
      </c>
    </row>
    <row r="36" spans="1:8" ht="12.75" customHeight="1" x14ac:dyDescent="0.25">
      <c r="A36" s="211"/>
      <c r="B36" s="165" t="s">
        <v>242</v>
      </c>
      <c r="C36" s="82">
        <v>408.467615438</v>
      </c>
      <c r="D36" s="82">
        <v>442.828570528</v>
      </c>
      <c r="E36" s="82">
        <v>453.81565637</v>
      </c>
      <c r="F36" s="27"/>
      <c r="G36" s="166">
        <v>11.101991741346069</v>
      </c>
      <c r="H36" s="167">
        <v>2.481114944525757</v>
      </c>
    </row>
    <row r="37" spans="1:8" x14ac:dyDescent="0.25">
      <c r="A37" s="168" t="s">
        <v>198</v>
      </c>
      <c r="B37" s="169" t="s">
        <v>3</v>
      </c>
      <c r="C37" s="80">
        <v>478.10329378799997</v>
      </c>
      <c r="D37" s="80">
        <v>407.49456307100002</v>
      </c>
      <c r="E37" s="83">
        <v>441.81577942179484</v>
      </c>
      <c r="F37" s="22" t="s">
        <v>241</v>
      </c>
      <c r="G37" s="170">
        <v>-7.5898900588406519</v>
      </c>
      <c r="H37" s="171">
        <v>8.4224967548376384</v>
      </c>
    </row>
    <row r="38" spans="1:8" x14ac:dyDescent="0.25">
      <c r="A38" s="172"/>
      <c r="B38" s="165" t="s">
        <v>242</v>
      </c>
      <c r="C38" s="82">
        <v>211.34854578700001</v>
      </c>
      <c r="D38" s="82">
        <v>222.80363765600001</v>
      </c>
      <c r="E38" s="82">
        <v>234.26569213299999</v>
      </c>
      <c r="F38" s="27"/>
      <c r="G38" s="173">
        <v>10.843295022761225</v>
      </c>
      <c r="H38" s="167">
        <v>5.1444646943767225</v>
      </c>
    </row>
    <row r="39" spans="1:8" x14ac:dyDescent="0.25">
      <c r="A39" s="168" t="s">
        <v>199</v>
      </c>
      <c r="B39" s="169" t="s">
        <v>3</v>
      </c>
      <c r="C39" s="80">
        <v>58.283790598000003</v>
      </c>
      <c r="D39" s="80">
        <v>57.949384959</v>
      </c>
      <c r="E39" s="83">
        <v>60.036577184905603</v>
      </c>
      <c r="F39" s="22" t="s">
        <v>241</v>
      </c>
      <c r="G39" s="174">
        <v>3.0073311445974298</v>
      </c>
      <c r="H39" s="171">
        <v>3.6017504368378184</v>
      </c>
    </row>
    <row r="40" spans="1:8" x14ac:dyDescent="0.25">
      <c r="A40" s="172"/>
      <c r="B40" s="165" t="s">
        <v>242</v>
      </c>
      <c r="C40" s="82">
        <v>25.765428348</v>
      </c>
      <c r="D40" s="82">
        <v>28.051179082000001</v>
      </c>
      <c r="E40" s="82">
        <v>29.373588363</v>
      </c>
      <c r="F40" s="27"/>
      <c r="G40" s="166">
        <v>14.003881349327841</v>
      </c>
      <c r="H40" s="167">
        <v>4.7142734254923511</v>
      </c>
    </row>
    <row r="41" spans="1:8" x14ac:dyDescent="0.25">
      <c r="A41" s="168" t="s">
        <v>233</v>
      </c>
      <c r="B41" s="169" t="s">
        <v>3</v>
      </c>
      <c r="C41" s="80">
        <v>102.42903274</v>
      </c>
      <c r="D41" s="80">
        <v>86.781303187000006</v>
      </c>
      <c r="E41" s="83">
        <v>75.973579445453069</v>
      </c>
      <c r="F41" s="22" t="s">
        <v>241</v>
      </c>
      <c r="G41" s="163">
        <v>-25.828080756849417</v>
      </c>
      <c r="H41" s="164">
        <v>-12.45397723315817</v>
      </c>
    </row>
    <row r="42" spans="1:8" x14ac:dyDescent="0.25">
      <c r="A42" s="172"/>
      <c r="B42" s="165" t="s">
        <v>242</v>
      </c>
      <c r="C42" s="82">
        <v>51.174292026000003</v>
      </c>
      <c r="D42" s="82">
        <v>60.831471282999999</v>
      </c>
      <c r="E42" s="82">
        <v>46.963258764999999</v>
      </c>
      <c r="F42" s="27"/>
      <c r="G42" s="175">
        <v>-8.2288060943970009</v>
      </c>
      <c r="H42" s="164">
        <v>-22.797759491106746</v>
      </c>
    </row>
    <row r="43" spans="1:8" x14ac:dyDescent="0.25">
      <c r="A43" s="168" t="s">
        <v>200</v>
      </c>
      <c r="B43" s="169" t="s">
        <v>3</v>
      </c>
      <c r="C43" s="80">
        <v>35.192316542</v>
      </c>
      <c r="D43" s="80">
        <v>30.984959708000002</v>
      </c>
      <c r="E43" s="83">
        <v>35.020633134709492</v>
      </c>
      <c r="F43" s="22" t="s">
        <v>241</v>
      </c>
      <c r="G43" s="174">
        <v>-0.48784343902343608</v>
      </c>
      <c r="H43" s="171">
        <v>13.024620540873315</v>
      </c>
    </row>
    <row r="44" spans="1:8" x14ac:dyDescent="0.25">
      <c r="A44" s="172"/>
      <c r="B44" s="165" t="s">
        <v>242</v>
      </c>
      <c r="C44" s="82">
        <v>16.981033076999999</v>
      </c>
      <c r="D44" s="82">
        <v>18.041839701000001</v>
      </c>
      <c r="E44" s="82">
        <v>19.331365401999999</v>
      </c>
      <c r="F44" s="27"/>
      <c r="G44" s="166">
        <v>13.840926605245315</v>
      </c>
      <c r="H44" s="167">
        <v>7.1474180148520077</v>
      </c>
    </row>
    <row r="45" spans="1:8" x14ac:dyDescent="0.25">
      <c r="A45" s="168" t="s">
        <v>201</v>
      </c>
      <c r="B45" s="169" t="s">
        <v>3</v>
      </c>
      <c r="C45" s="80">
        <v>10.845290228</v>
      </c>
      <c r="D45" s="80">
        <v>10.324812846</v>
      </c>
      <c r="E45" s="83">
        <v>11.292814562793319</v>
      </c>
      <c r="F45" s="22" t="s">
        <v>241</v>
      </c>
      <c r="G45" s="174">
        <v>4.1264394533021971</v>
      </c>
      <c r="H45" s="171">
        <v>9.3754892338638172</v>
      </c>
    </row>
    <row r="46" spans="1:8" x14ac:dyDescent="0.25">
      <c r="A46" s="168"/>
      <c r="B46" s="165" t="s">
        <v>242</v>
      </c>
      <c r="C46" s="82">
        <v>4.387044145</v>
      </c>
      <c r="D46" s="82">
        <v>4.9494534400000001</v>
      </c>
      <c r="E46" s="82">
        <v>5.4889634799999998</v>
      </c>
      <c r="F46" s="27"/>
      <c r="G46" s="166">
        <v>25.11758027910156</v>
      </c>
      <c r="H46" s="167">
        <v>10.900396307193063</v>
      </c>
    </row>
    <row r="47" spans="1:8" x14ac:dyDescent="0.25">
      <c r="A47" s="176" t="s">
        <v>202</v>
      </c>
      <c r="B47" s="169" t="s">
        <v>3</v>
      </c>
      <c r="C47" s="80">
        <v>8.0477832280000001</v>
      </c>
      <c r="D47" s="80">
        <v>7.4859547659999999</v>
      </c>
      <c r="E47" s="83">
        <v>9.0840938996545137</v>
      </c>
      <c r="F47" s="22" t="s">
        <v>241</v>
      </c>
      <c r="G47" s="163">
        <v>12.876970493551099</v>
      </c>
      <c r="H47" s="164">
        <v>21.348501074478904</v>
      </c>
    </row>
    <row r="48" spans="1:8" x14ac:dyDescent="0.25">
      <c r="A48" s="172"/>
      <c r="B48" s="165" t="s">
        <v>242</v>
      </c>
      <c r="C48" s="82">
        <v>3.3842593349999999</v>
      </c>
      <c r="D48" s="82">
        <v>4.2225554399999998</v>
      </c>
      <c r="E48" s="82">
        <v>4.9141294799999997</v>
      </c>
      <c r="F48" s="27"/>
      <c r="G48" s="175">
        <v>45.205464285141716</v>
      </c>
      <c r="H48" s="164">
        <v>16.378092598826839</v>
      </c>
    </row>
    <row r="49" spans="1:9" x14ac:dyDescent="0.25">
      <c r="A49" s="176" t="s">
        <v>203</v>
      </c>
      <c r="B49" s="169" t="s">
        <v>3</v>
      </c>
      <c r="C49" s="80">
        <v>6.1016602280000001</v>
      </c>
      <c r="D49" s="80">
        <v>5.0159747660000003</v>
      </c>
      <c r="E49" s="83">
        <v>5.5636367729227461</v>
      </c>
      <c r="F49" s="22" t="s">
        <v>241</v>
      </c>
      <c r="G49" s="174">
        <v>-8.8176567519821987</v>
      </c>
      <c r="H49" s="171">
        <v>10.918356500415172</v>
      </c>
    </row>
    <row r="50" spans="1:9" x14ac:dyDescent="0.25">
      <c r="A50" s="172"/>
      <c r="B50" s="165" t="s">
        <v>242</v>
      </c>
      <c r="C50" s="82">
        <v>2.9648893350000001</v>
      </c>
      <c r="D50" s="82">
        <v>3.4017684400000001</v>
      </c>
      <c r="E50" s="82">
        <v>3.3725554799999999</v>
      </c>
      <c r="F50" s="27"/>
      <c r="G50" s="166">
        <v>13.749792958124019</v>
      </c>
      <c r="H50" s="167">
        <v>-0.85875804056786365</v>
      </c>
    </row>
    <row r="51" spans="1:9" x14ac:dyDescent="0.25">
      <c r="A51" s="176" t="s">
        <v>204</v>
      </c>
      <c r="B51" s="169" t="s">
        <v>3</v>
      </c>
      <c r="C51" s="80">
        <v>51.721295142000002</v>
      </c>
      <c r="D51" s="80">
        <v>58.015099827999997</v>
      </c>
      <c r="E51" s="83">
        <v>77.311862054222672</v>
      </c>
      <c r="F51" s="22" t="s">
        <v>241</v>
      </c>
      <c r="G51" s="174">
        <v>49.477815360122293</v>
      </c>
      <c r="H51" s="171">
        <v>33.261620308217431</v>
      </c>
    </row>
    <row r="52" spans="1:9" x14ac:dyDescent="0.25">
      <c r="A52" s="172"/>
      <c r="B52" s="165" t="s">
        <v>242</v>
      </c>
      <c r="C52" s="82">
        <v>23.114446677</v>
      </c>
      <c r="D52" s="82">
        <v>26.767157201</v>
      </c>
      <c r="E52" s="82">
        <v>36.612945402000001</v>
      </c>
      <c r="F52" s="27"/>
      <c r="G52" s="166">
        <v>58.398537129732233</v>
      </c>
      <c r="H52" s="167">
        <v>36.783092530394555</v>
      </c>
    </row>
    <row r="53" spans="1:9" x14ac:dyDescent="0.25">
      <c r="A53" s="168" t="s">
        <v>24</v>
      </c>
      <c r="B53" s="169" t="s">
        <v>3</v>
      </c>
      <c r="C53" s="80">
        <v>150.29882974</v>
      </c>
      <c r="D53" s="80">
        <v>136.190765787</v>
      </c>
      <c r="E53" s="83">
        <v>139.46141991461542</v>
      </c>
      <c r="F53" s="22" t="s">
        <v>241</v>
      </c>
      <c r="G53" s="163">
        <v>-7.2105749885957806</v>
      </c>
      <c r="H53" s="164">
        <v>2.4015241479225153</v>
      </c>
      <c r="I53" s="177"/>
    </row>
    <row r="54" spans="1:9" ht="13.8" thickBot="1" x14ac:dyDescent="0.3">
      <c r="A54" s="178"/>
      <c r="B54" s="179" t="s">
        <v>242</v>
      </c>
      <c r="C54" s="86">
        <v>69.347676706000001</v>
      </c>
      <c r="D54" s="86">
        <v>73.759508283000002</v>
      </c>
      <c r="E54" s="86">
        <v>73.493157865000001</v>
      </c>
      <c r="F54" s="44"/>
      <c r="G54" s="180">
        <v>5.9778226984802814</v>
      </c>
      <c r="H54" s="181">
        <v>-0.36110655317558837</v>
      </c>
      <c r="I54" s="177"/>
    </row>
    <row r="55" spans="1:9" x14ac:dyDescent="0.25">
      <c r="A55" s="184"/>
      <c r="B55" s="185"/>
      <c r="C55" s="21"/>
      <c r="D55" s="21"/>
      <c r="E55" s="21"/>
      <c r="F55" s="63"/>
      <c r="G55" s="175"/>
      <c r="H55" s="183"/>
      <c r="I55" s="177"/>
    </row>
    <row r="56" spans="1:9" x14ac:dyDescent="0.25">
      <c r="A56" s="184"/>
      <c r="B56" s="185"/>
      <c r="C56" s="21"/>
      <c r="D56" s="21"/>
      <c r="E56" s="21"/>
      <c r="F56" s="63"/>
      <c r="G56" s="175"/>
      <c r="H56" s="183"/>
      <c r="I56" s="177"/>
    </row>
    <row r="57" spans="1:9" x14ac:dyDescent="0.25">
      <c r="A57" s="184"/>
      <c r="B57" s="185"/>
      <c r="C57" s="21"/>
      <c r="D57" s="21"/>
      <c r="E57" s="21"/>
      <c r="F57" s="63"/>
      <c r="G57" s="175"/>
      <c r="H57" s="183"/>
      <c r="I57" s="177"/>
    </row>
    <row r="58" spans="1:9" x14ac:dyDescent="0.25">
      <c r="A58" s="184"/>
      <c r="B58" s="185"/>
      <c r="C58" s="21"/>
      <c r="D58" s="21"/>
      <c r="E58" s="21"/>
      <c r="F58" s="63"/>
      <c r="G58" s="175"/>
      <c r="H58" s="183"/>
      <c r="I58" s="177"/>
    </row>
    <row r="59" spans="1:9" x14ac:dyDescent="0.25">
      <c r="A59" s="186"/>
      <c r="B59" s="187"/>
      <c r="C59" s="49"/>
      <c r="D59" s="49"/>
      <c r="E59" s="49"/>
      <c r="F59" s="49"/>
      <c r="G59" s="188"/>
      <c r="H59" s="189"/>
      <c r="I59" s="177"/>
    </row>
    <row r="60" spans="1:9" x14ac:dyDescent="0.25">
      <c r="A60" s="190"/>
      <c r="B60" s="190"/>
      <c r="C60" s="190"/>
      <c r="D60" s="190"/>
      <c r="E60" s="190"/>
      <c r="F60" s="190"/>
      <c r="G60" s="190"/>
      <c r="H60" s="190"/>
    </row>
    <row r="61" spans="1:9" ht="12.75" customHeight="1" x14ac:dyDescent="0.25">
      <c r="A61" s="191" t="s">
        <v>243</v>
      </c>
      <c r="G61" s="192"/>
      <c r="H61" s="206">
        <v>21</v>
      </c>
    </row>
    <row r="62" spans="1:9" ht="12.75" customHeight="1" x14ac:dyDescent="0.25">
      <c r="A62" s="191" t="s">
        <v>244</v>
      </c>
      <c r="G62" s="192"/>
      <c r="H62" s="207"/>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6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45" customWidth="1"/>
    <col min="2" max="2" width="8.109375" style="145" customWidth="1"/>
    <col min="3" max="4" width="10.5546875" style="145" customWidth="1"/>
    <col min="5" max="5" width="9.88671875" style="145" customWidth="1"/>
    <col min="6" max="6" width="1.6640625" style="145" customWidth="1"/>
    <col min="7" max="7" width="7.6640625" style="145" customWidth="1"/>
    <col min="8" max="8" width="8.88671875" style="145" customWidth="1"/>
    <col min="9" max="16384" width="11.44140625" style="145"/>
  </cols>
  <sheetData>
    <row r="1" spans="1:8" ht="5.25" customHeight="1" x14ac:dyDescent="0.25"/>
    <row r="2" spans="1:8" x14ac:dyDescent="0.25">
      <c r="A2" s="95" t="s">
        <v>0</v>
      </c>
      <c r="B2" s="146"/>
      <c r="C2" s="146"/>
      <c r="D2" s="146"/>
      <c r="E2" s="146"/>
      <c r="F2" s="146"/>
      <c r="G2" s="146"/>
    </row>
    <row r="3" spans="1:8" ht="6" customHeight="1" x14ac:dyDescent="0.25">
      <c r="A3" s="3"/>
      <c r="B3" s="146"/>
      <c r="C3" s="146"/>
      <c r="D3" s="146"/>
      <c r="E3" s="146"/>
      <c r="F3" s="146"/>
      <c r="G3" s="146"/>
    </row>
    <row r="4" spans="1:8" ht="16.2" thickBot="1" x14ac:dyDescent="0.35">
      <c r="A4" s="147" t="s">
        <v>219</v>
      </c>
      <c r="B4" s="148"/>
      <c r="C4" s="148"/>
      <c r="D4" s="148"/>
      <c r="E4" s="148"/>
      <c r="F4" s="148"/>
      <c r="G4" s="148"/>
      <c r="H4" s="149"/>
    </row>
    <row r="5" spans="1:8" x14ac:dyDescent="0.25">
      <c r="A5" s="150"/>
      <c r="B5" s="151"/>
      <c r="C5" s="152"/>
      <c r="D5" s="151"/>
      <c r="E5" s="153"/>
      <c r="F5" s="154"/>
      <c r="G5" s="208" t="s">
        <v>1</v>
      </c>
      <c r="H5" s="209"/>
    </row>
    <row r="6" spans="1:8" x14ac:dyDescent="0.25">
      <c r="A6" s="155"/>
      <c r="B6" s="156"/>
      <c r="C6" s="157" t="s">
        <v>236</v>
      </c>
      <c r="D6" s="158" t="s">
        <v>237</v>
      </c>
      <c r="E6" s="158" t="s">
        <v>238</v>
      </c>
      <c r="F6" s="159"/>
      <c r="G6" s="160" t="s">
        <v>239</v>
      </c>
      <c r="H6" s="161" t="s">
        <v>240</v>
      </c>
    </row>
    <row r="7" spans="1:8" ht="12.75" customHeight="1" x14ac:dyDescent="0.25">
      <c r="A7" s="210" t="s">
        <v>205</v>
      </c>
      <c r="B7" s="162" t="s">
        <v>3</v>
      </c>
      <c r="C7" s="20">
        <v>575</v>
      </c>
      <c r="D7" s="20">
        <v>733</v>
      </c>
      <c r="E7" s="79">
        <v>1011.339487179487</v>
      </c>
      <c r="F7" s="22" t="s">
        <v>241</v>
      </c>
      <c r="G7" s="163">
        <v>75.885128205128183</v>
      </c>
      <c r="H7" s="164">
        <v>37.972644908524842</v>
      </c>
    </row>
    <row r="8" spans="1:8" ht="12.75" customHeight="1" x14ac:dyDescent="0.25">
      <c r="A8" s="211"/>
      <c r="B8" s="165" t="s">
        <v>242</v>
      </c>
      <c r="C8" s="26">
        <v>312</v>
      </c>
      <c r="D8" s="26">
        <v>325</v>
      </c>
      <c r="E8" s="26">
        <v>466</v>
      </c>
      <c r="F8" s="27"/>
      <c r="G8" s="166">
        <v>49.358974358974365</v>
      </c>
      <c r="H8" s="167">
        <v>43.384615384615387</v>
      </c>
    </row>
    <row r="9" spans="1:8" x14ac:dyDescent="0.25">
      <c r="A9" s="168" t="s">
        <v>206</v>
      </c>
      <c r="B9" s="169" t="s">
        <v>3</v>
      </c>
      <c r="C9" s="20">
        <v>306</v>
      </c>
      <c r="D9" s="20">
        <v>350</v>
      </c>
      <c r="E9" s="21">
        <v>397.35802469135803</v>
      </c>
      <c r="F9" s="22" t="s">
        <v>241</v>
      </c>
      <c r="G9" s="170">
        <v>29.855563624626797</v>
      </c>
      <c r="H9" s="171">
        <v>13.53086419753086</v>
      </c>
    </row>
    <row r="10" spans="1:8" x14ac:dyDescent="0.25">
      <c r="A10" s="172"/>
      <c r="B10" s="165" t="s">
        <v>242</v>
      </c>
      <c r="C10" s="26">
        <v>159</v>
      </c>
      <c r="D10" s="26">
        <v>189</v>
      </c>
      <c r="E10" s="26">
        <v>209</v>
      </c>
      <c r="F10" s="27"/>
      <c r="G10" s="173">
        <v>31.446540880503136</v>
      </c>
      <c r="H10" s="167">
        <v>10.582010582010582</v>
      </c>
    </row>
    <row r="11" spans="1:8" x14ac:dyDescent="0.25">
      <c r="A11" s="168" t="s">
        <v>207</v>
      </c>
      <c r="B11" s="169" t="s">
        <v>3</v>
      </c>
      <c r="C11" s="20">
        <v>99</v>
      </c>
      <c r="D11" s="20">
        <v>97</v>
      </c>
      <c r="E11" s="21">
        <v>109.98765432098764</v>
      </c>
      <c r="F11" s="22" t="s">
        <v>241</v>
      </c>
      <c r="G11" s="174">
        <v>11.09864072827034</v>
      </c>
      <c r="H11" s="171">
        <v>13.389334351533648</v>
      </c>
    </row>
    <row r="12" spans="1:8" x14ac:dyDescent="0.25">
      <c r="A12" s="172"/>
      <c r="B12" s="165" t="s">
        <v>242</v>
      </c>
      <c r="C12" s="26">
        <v>45</v>
      </c>
      <c r="D12" s="26">
        <v>54</v>
      </c>
      <c r="E12" s="26">
        <v>59</v>
      </c>
      <c r="F12" s="27"/>
      <c r="G12" s="166">
        <v>31.111111111111114</v>
      </c>
      <c r="H12" s="167">
        <v>9.2592592592592524</v>
      </c>
    </row>
    <row r="13" spans="1:8" x14ac:dyDescent="0.25">
      <c r="A13" s="168" t="s">
        <v>208</v>
      </c>
      <c r="B13" s="169" t="s">
        <v>3</v>
      </c>
      <c r="C13" s="20">
        <v>38</v>
      </c>
      <c r="D13" s="20">
        <v>34</v>
      </c>
      <c r="E13" s="21">
        <v>40</v>
      </c>
      <c r="F13" s="22" t="s">
        <v>241</v>
      </c>
      <c r="G13" s="163">
        <v>5.2631578947368354</v>
      </c>
      <c r="H13" s="164">
        <v>17.64705882352942</v>
      </c>
    </row>
    <row r="14" spans="1:8" x14ac:dyDescent="0.25">
      <c r="A14" s="172"/>
      <c r="B14" s="165" t="s">
        <v>242</v>
      </c>
      <c r="C14" s="26">
        <v>20</v>
      </c>
      <c r="D14" s="26">
        <v>17</v>
      </c>
      <c r="E14" s="26">
        <v>20</v>
      </c>
      <c r="F14" s="27"/>
      <c r="G14" s="175">
        <v>0</v>
      </c>
      <c r="H14" s="164">
        <v>17.64705882352942</v>
      </c>
    </row>
    <row r="15" spans="1:8" x14ac:dyDescent="0.25">
      <c r="A15" s="168" t="s">
        <v>209</v>
      </c>
      <c r="B15" s="169" t="s">
        <v>3</v>
      </c>
      <c r="C15" s="20">
        <v>3</v>
      </c>
      <c r="D15" s="20">
        <v>3</v>
      </c>
      <c r="E15" s="21">
        <v>1.6666666666666665</v>
      </c>
      <c r="F15" s="22" t="s">
        <v>241</v>
      </c>
      <c r="G15" s="174">
        <v>-44.44444444444445</v>
      </c>
      <c r="H15" s="171">
        <v>-44.44444444444445</v>
      </c>
    </row>
    <row r="16" spans="1:8" x14ac:dyDescent="0.25">
      <c r="A16" s="172"/>
      <c r="B16" s="165" t="s">
        <v>242</v>
      </c>
      <c r="C16" s="26">
        <v>2</v>
      </c>
      <c r="D16" s="26">
        <v>2</v>
      </c>
      <c r="E16" s="26">
        <v>1</v>
      </c>
      <c r="F16" s="27"/>
      <c r="G16" s="166">
        <v>-50</v>
      </c>
      <c r="H16" s="167">
        <v>-50</v>
      </c>
    </row>
    <row r="17" spans="1:9" x14ac:dyDescent="0.25">
      <c r="A17" s="168" t="s">
        <v>210</v>
      </c>
      <c r="B17" s="169" t="s">
        <v>3</v>
      </c>
      <c r="C17" s="20">
        <v>35</v>
      </c>
      <c r="D17" s="20">
        <v>23</v>
      </c>
      <c r="E17" s="21">
        <v>40.999999999999993</v>
      </c>
      <c r="F17" s="22" t="s">
        <v>241</v>
      </c>
      <c r="G17" s="174">
        <v>17.142857142857125</v>
      </c>
      <c r="H17" s="171">
        <v>78.260869565217348</v>
      </c>
    </row>
    <row r="18" spans="1:9" x14ac:dyDescent="0.25">
      <c r="A18" s="172"/>
      <c r="B18" s="165" t="s">
        <v>242</v>
      </c>
      <c r="C18" s="26">
        <v>22</v>
      </c>
      <c r="D18" s="26">
        <v>18</v>
      </c>
      <c r="E18" s="26">
        <v>27</v>
      </c>
      <c r="F18" s="27"/>
      <c r="G18" s="166">
        <v>22.727272727272734</v>
      </c>
      <c r="H18" s="167">
        <v>50</v>
      </c>
    </row>
    <row r="19" spans="1:9" x14ac:dyDescent="0.25">
      <c r="A19" s="168" t="s">
        <v>211</v>
      </c>
      <c r="B19" s="169" t="s">
        <v>3</v>
      </c>
      <c r="C19" s="20">
        <v>94</v>
      </c>
      <c r="D19" s="20">
        <v>227</v>
      </c>
      <c r="E19" s="21">
        <v>553.99999999999989</v>
      </c>
      <c r="F19" s="22" t="s">
        <v>241</v>
      </c>
      <c r="G19" s="163">
        <v>489.36170212765944</v>
      </c>
      <c r="H19" s="164">
        <v>144.05286343612329</v>
      </c>
    </row>
    <row r="20" spans="1:9" ht="13.8" thickBot="1" x14ac:dyDescent="0.3">
      <c r="A20" s="178"/>
      <c r="B20" s="179" t="s">
        <v>242</v>
      </c>
      <c r="C20" s="43">
        <v>67</v>
      </c>
      <c r="D20" s="43">
        <v>50</v>
      </c>
      <c r="E20" s="43">
        <v>150</v>
      </c>
      <c r="F20" s="44"/>
      <c r="G20" s="180">
        <v>123.88059701492534</v>
      </c>
      <c r="H20" s="181">
        <v>200</v>
      </c>
    </row>
    <row r="25" spans="1:9" x14ac:dyDescent="0.25">
      <c r="I25" s="177"/>
    </row>
    <row r="26" spans="1:9" x14ac:dyDescent="0.25">
      <c r="I26" s="177"/>
    </row>
    <row r="27" spans="1:9" x14ac:dyDescent="0.25">
      <c r="A27" s="182"/>
      <c r="B27" s="182"/>
      <c r="C27" s="64"/>
      <c r="D27" s="64"/>
      <c r="E27" s="21"/>
      <c r="F27" s="59"/>
      <c r="G27" s="175"/>
      <c r="H27" s="183"/>
      <c r="I27" s="177"/>
    </row>
    <row r="28" spans="1:9" x14ac:dyDescent="0.25">
      <c r="A28" s="182"/>
      <c r="B28" s="182"/>
      <c r="C28" s="64"/>
      <c r="D28" s="64"/>
      <c r="E28" s="21"/>
      <c r="F28" s="59"/>
      <c r="G28" s="175"/>
      <c r="H28" s="183"/>
      <c r="I28" s="177"/>
    </row>
    <row r="29" spans="1:9" x14ac:dyDescent="0.25">
      <c r="A29" s="182"/>
      <c r="B29" s="182"/>
      <c r="C29" s="64"/>
      <c r="D29" s="64"/>
      <c r="E29" s="21"/>
      <c r="F29" s="59"/>
      <c r="G29" s="175"/>
      <c r="H29" s="183"/>
      <c r="I29" s="177"/>
    </row>
    <row r="30" spans="1:9" x14ac:dyDescent="0.25">
      <c r="A30" s="184"/>
      <c r="B30" s="185"/>
      <c r="C30" s="21"/>
      <c r="D30" s="21"/>
      <c r="E30" s="21"/>
      <c r="F30" s="63"/>
      <c r="G30" s="175"/>
      <c r="H30" s="183"/>
      <c r="I30" s="177"/>
    </row>
    <row r="31" spans="1:9" x14ac:dyDescent="0.25">
      <c r="A31" s="186"/>
      <c r="B31" s="187"/>
      <c r="C31" s="49"/>
      <c r="D31" s="55"/>
      <c r="E31" s="49"/>
      <c r="F31" s="49"/>
      <c r="G31" s="188"/>
      <c r="H31" s="189"/>
      <c r="I31" s="177"/>
    </row>
    <row r="32" spans="1:9" ht="16.2" thickBot="1" x14ac:dyDescent="0.35">
      <c r="A32" s="147" t="s">
        <v>220</v>
      </c>
      <c r="B32" s="148"/>
      <c r="C32" s="148"/>
      <c r="D32" s="148"/>
      <c r="E32" s="148"/>
      <c r="F32" s="148"/>
      <c r="G32" s="148"/>
      <c r="H32" s="149"/>
    </row>
    <row r="33" spans="1:8" x14ac:dyDescent="0.25">
      <c r="A33" s="150"/>
      <c r="B33" s="151"/>
      <c r="C33" s="212" t="s">
        <v>16</v>
      </c>
      <c r="D33" s="208"/>
      <c r="E33" s="208"/>
      <c r="F33" s="213"/>
      <c r="G33" s="208" t="s">
        <v>1</v>
      </c>
      <c r="H33" s="209"/>
    </row>
    <row r="34" spans="1:8" x14ac:dyDescent="0.25">
      <c r="A34" s="155"/>
      <c r="B34" s="156"/>
      <c r="C34" s="157" t="s">
        <v>236</v>
      </c>
      <c r="D34" s="158" t="s">
        <v>237</v>
      </c>
      <c r="E34" s="158" t="s">
        <v>238</v>
      </c>
      <c r="F34" s="159"/>
      <c r="G34" s="160" t="s">
        <v>239</v>
      </c>
      <c r="H34" s="161" t="s">
        <v>240</v>
      </c>
    </row>
    <row r="35" spans="1:8" ht="12.75" customHeight="1" x14ac:dyDescent="0.25">
      <c r="A35" s="210" t="s">
        <v>205</v>
      </c>
      <c r="B35" s="162" t="s">
        <v>3</v>
      </c>
      <c r="C35" s="80">
        <v>290.80328065399999</v>
      </c>
      <c r="D35" s="80">
        <v>307.38186722199998</v>
      </c>
      <c r="E35" s="81">
        <v>344.30173178038962</v>
      </c>
      <c r="F35" s="22" t="s">
        <v>241</v>
      </c>
      <c r="G35" s="163">
        <v>18.396783903563502</v>
      </c>
      <c r="H35" s="164">
        <v>12.01107433306241</v>
      </c>
    </row>
    <row r="36" spans="1:8" ht="12.75" customHeight="1" x14ac:dyDescent="0.25">
      <c r="A36" s="211"/>
      <c r="B36" s="165" t="s">
        <v>242</v>
      </c>
      <c r="C36" s="82">
        <v>115.298669788</v>
      </c>
      <c r="D36" s="82">
        <v>157.750000613</v>
      </c>
      <c r="E36" s="82">
        <v>175.15548435400001</v>
      </c>
      <c r="F36" s="27"/>
      <c r="G36" s="166">
        <v>51.914575143025417</v>
      </c>
      <c r="H36" s="167">
        <v>11.033587114652363</v>
      </c>
    </row>
    <row r="37" spans="1:8" x14ac:dyDescent="0.25">
      <c r="A37" s="168" t="s">
        <v>206</v>
      </c>
      <c r="B37" s="169" t="s">
        <v>3</v>
      </c>
      <c r="C37" s="80">
        <v>166.174737913</v>
      </c>
      <c r="D37" s="80">
        <v>176.81630336500001</v>
      </c>
      <c r="E37" s="83">
        <v>169.75834494210486</v>
      </c>
      <c r="F37" s="22" t="s">
        <v>241</v>
      </c>
      <c r="G37" s="170">
        <v>2.1565293702951607</v>
      </c>
      <c r="H37" s="171">
        <v>-3.9916898433994987</v>
      </c>
    </row>
    <row r="38" spans="1:8" x14ac:dyDescent="0.25">
      <c r="A38" s="172"/>
      <c r="B38" s="165" t="s">
        <v>242</v>
      </c>
      <c r="C38" s="82">
        <v>58.890741018999996</v>
      </c>
      <c r="D38" s="82">
        <v>91.553941863000006</v>
      </c>
      <c r="E38" s="82">
        <v>86.869050798000004</v>
      </c>
      <c r="F38" s="27"/>
      <c r="G38" s="173">
        <v>47.508843147301093</v>
      </c>
      <c r="H38" s="167">
        <v>-5.1170828581148413</v>
      </c>
    </row>
    <row r="39" spans="1:8" x14ac:dyDescent="0.25">
      <c r="A39" s="168" t="s">
        <v>207</v>
      </c>
      <c r="B39" s="169" t="s">
        <v>3</v>
      </c>
      <c r="C39" s="80">
        <v>53.798922304000001</v>
      </c>
      <c r="D39" s="80">
        <v>51.040145717999998</v>
      </c>
      <c r="E39" s="83">
        <v>56.011790409224957</v>
      </c>
      <c r="F39" s="22" t="s">
        <v>241</v>
      </c>
      <c r="G39" s="174">
        <v>4.113220136122365</v>
      </c>
      <c r="H39" s="171">
        <v>9.7406553631206521</v>
      </c>
    </row>
    <row r="40" spans="1:8" x14ac:dyDescent="0.25">
      <c r="A40" s="172"/>
      <c r="B40" s="165" t="s">
        <v>242</v>
      </c>
      <c r="C40" s="82">
        <v>18.351224340000002</v>
      </c>
      <c r="D40" s="82">
        <v>29.314064494</v>
      </c>
      <c r="E40" s="82">
        <v>30.650539009999999</v>
      </c>
      <c r="F40" s="27"/>
      <c r="G40" s="166">
        <v>67.021766189143534</v>
      </c>
      <c r="H40" s="167">
        <v>4.5591579982828563</v>
      </c>
    </row>
    <row r="41" spans="1:8" x14ac:dyDescent="0.25">
      <c r="A41" s="168" t="s">
        <v>208</v>
      </c>
      <c r="B41" s="169" t="s">
        <v>3</v>
      </c>
      <c r="C41" s="80">
        <v>17.264892133</v>
      </c>
      <c r="D41" s="80">
        <v>17.991160296</v>
      </c>
      <c r="E41" s="83">
        <v>20.445438196467109</v>
      </c>
      <c r="F41" s="22" t="s">
        <v>241</v>
      </c>
      <c r="G41" s="163">
        <v>18.422044221103675</v>
      </c>
      <c r="H41" s="164">
        <v>13.641576530296234</v>
      </c>
    </row>
    <row r="42" spans="1:8" x14ac:dyDescent="0.25">
      <c r="A42" s="172"/>
      <c r="B42" s="165" t="s">
        <v>242</v>
      </c>
      <c r="C42" s="82">
        <v>4.9694800890000002</v>
      </c>
      <c r="D42" s="82">
        <v>7.6719677329999998</v>
      </c>
      <c r="E42" s="82">
        <v>9.1682164749999995</v>
      </c>
      <c r="F42" s="27"/>
      <c r="G42" s="175">
        <v>84.490455959245082</v>
      </c>
      <c r="H42" s="164">
        <v>19.502802854137087</v>
      </c>
    </row>
    <row r="43" spans="1:8" x14ac:dyDescent="0.25">
      <c r="A43" s="168" t="s">
        <v>209</v>
      </c>
      <c r="B43" s="169" t="s">
        <v>3</v>
      </c>
      <c r="C43" s="80">
        <v>1.8461962270000001</v>
      </c>
      <c r="D43" s="80">
        <v>1.6878840420000001</v>
      </c>
      <c r="E43" s="83">
        <v>1.4870663801595307</v>
      </c>
      <c r="F43" s="22" t="s">
        <v>241</v>
      </c>
      <c r="G43" s="174">
        <v>-19.452420148428203</v>
      </c>
      <c r="H43" s="171">
        <v>-11.897598226150492</v>
      </c>
    </row>
    <row r="44" spans="1:8" x14ac:dyDescent="0.25">
      <c r="A44" s="172"/>
      <c r="B44" s="165" t="s">
        <v>242</v>
      </c>
      <c r="C44" s="82">
        <v>0.94269601800000002</v>
      </c>
      <c r="D44" s="82">
        <v>0.78670967599999997</v>
      </c>
      <c r="E44" s="82">
        <v>0.70914035399999997</v>
      </c>
      <c r="F44" s="27"/>
      <c r="G44" s="166">
        <v>-24.775289121885308</v>
      </c>
      <c r="H44" s="167">
        <v>-9.8599679610397999</v>
      </c>
    </row>
    <row r="45" spans="1:8" x14ac:dyDescent="0.25">
      <c r="A45" s="168" t="s">
        <v>210</v>
      </c>
      <c r="B45" s="169" t="s">
        <v>3</v>
      </c>
      <c r="C45" s="80">
        <v>11.543588679999999</v>
      </c>
      <c r="D45" s="80">
        <v>12.739420211000001</v>
      </c>
      <c r="E45" s="83">
        <v>16.188987651973299</v>
      </c>
      <c r="F45" s="22" t="s">
        <v>241</v>
      </c>
      <c r="G45" s="174">
        <v>40.242242692012667</v>
      </c>
      <c r="H45" s="171">
        <v>27.077899808931093</v>
      </c>
    </row>
    <row r="46" spans="1:8" x14ac:dyDescent="0.25">
      <c r="A46" s="172"/>
      <c r="B46" s="165" t="s">
        <v>242</v>
      </c>
      <c r="C46" s="82">
        <v>7.3470880540000003</v>
      </c>
      <c r="D46" s="82">
        <v>8.3955483809999993</v>
      </c>
      <c r="E46" s="82">
        <v>9.6462477680000003</v>
      </c>
      <c r="F46" s="27"/>
      <c r="G46" s="166">
        <v>31.293482494037363</v>
      </c>
      <c r="H46" s="167">
        <v>14.897173242792135</v>
      </c>
    </row>
    <row r="47" spans="1:8" x14ac:dyDescent="0.25">
      <c r="A47" s="168" t="s">
        <v>211</v>
      </c>
      <c r="B47" s="169" t="s">
        <v>3</v>
      </c>
      <c r="C47" s="80">
        <v>40.174943398000003</v>
      </c>
      <c r="D47" s="80">
        <v>47.106953591</v>
      </c>
      <c r="E47" s="83">
        <v>85.170347263691468</v>
      </c>
      <c r="F47" s="22" t="s">
        <v>241</v>
      </c>
      <c r="G47" s="163">
        <v>111.99867394942351</v>
      </c>
      <c r="H47" s="164">
        <v>80.802070121477044</v>
      </c>
    </row>
    <row r="48" spans="1:8" ht="13.8" thickBot="1" x14ac:dyDescent="0.3">
      <c r="A48" s="178"/>
      <c r="B48" s="179" t="s">
        <v>242</v>
      </c>
      <c r="C48" s="86">
        <v>24.797440267999999</v>
      </c>
      <c r="D48" s="86">
        <v>20.027768466000001</v>
      </c>
      <c r="E48" s="86">
        <v>38.112289949999997</v>
      </c>
      <c r="F48" s="44"/>
      <c r="G48" s="180">
        <v>53.694452080936031</v>
      </c>
      <c r="H48" s="181">
        <v>90.297236632733473</v>
      </c>
    </row>
    <row r="53" spans="1:9" x14ac:dyDescent="0.25">
      <c r="I53" s="177"/>
    </row>
    <row r="54" spans="1:9" x14ac:dyDescent="0.25">
      <c r="I54" s="177"/>
    </row>
    <row r="55" spans="1:9" x14ac:dyDescent="0.25">
      <c r="A55" s="184"/>
      <c r="B55" s="185"/>
      <c r="C55" s="21"/>
      <c r="D55" s="21"/>
      <c r="E55" s="21"/>
      <c r="F55" s="63"/>
      <c r="G55" s="175"/>
      <c r="H55" s="183"/>
      <c r="I55" s="177"/>
    </row>
    <row r="56" spans="1:9" x14ac:dyDescent="0.25">
      <c r="A56" s="184"/>
      <c r="B56" s="185"/>
      <c r="C56" s="21"/>
      <c r="D56" s="21"/>
      <c r="E56" s="21"/>
      <c r="F56" s="63"/>
      <c r="G56" s="175"/>
      <c r="H56" s="183"/>
      <c r="I56" s="177"/>
    </row>
    <row r="57" spans="1:9" x14ac:dyDescent="0.25">
      <c r="A57" s="184"/>
      <c r="B57" s="185"/>
      <c r="C57" s="21"/>
      <c r="D57" s="21"/>
      <c r="E57" s="21"/>
      <c r="F57" s="63"/>
      <c r="G57" s="175"/>
      <c r="H57" s="183"/>
      <c r="I57" s="177"/>
    </row>
    <row r="58" spans="1:9" x14ac:dyDescent="0.25">
      <c r="A58" s="184"/>
      <c r="B58" s="185"/>
      <c r="C58" s="21"/>
      <c r="D58" s="21"/>
      <c r="E58" s="21"/>
      <c r="F58" s="63"/>
      <c r="G58" s="175"/>
      <c r="H58" s="183"/>
      <c r="I58" s="177"/>
    </row>
    <row r="59" spans="1:9" x14ac:dyDescent="0.25">
      <c r="A59" s="186"/>
      <c r="B59" s="187"/>
      <c r="C59" s="49"/>
      <c r="D59" s="49"/>
      <c r="E59" s="49"/>
      <c r="F59" s="49"/>
      <c r="G59" s="188"/>
      <c r="H59" s="189"/>
      <c r="I59" s="177"/>
    </row>
    <row r="60" spans="1:9" x14ac:dyDescent="0.25">
      <c r="A60" s="190"/>
      <c r="B60" s="190"/>
      <c r="C60" s="190"/>
      <c r="D60" s="190"/>
      <c r="E60" s="190"/>
      <c r="F60" s="190"/>
      <c r="G60" s="190"/>
      <c r="H60" s="190"/>
    </row>
    <row r="61" spans="1:9" ht="12.75" customHeight="1" x14ac:dyDescent="0.25">
      <c r="A61" s="191" t="s">
        <v>243</v>
      </c>
      <c r="G61" s="192"/>
      <c r="H61" s="206">
        <v>22</v>
      </c>
    </row>
    <row r="62" spans="1:9" ht="12.75" customHeight="1" x14ac:dyDescent="0.25">
      <c r="A62" s="191" t="s">
        <v>244</v>
      </c>
      <c r="G62" s="192"/>
      <c r="H62" s="207"/>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6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45" customWidth="1"/>
    <col min="2" max="2" width="8.109375" style="145" customWidth="1"/>
    <col min="3" max="4" width="10.5546875" style="145" customWidth="1"/>
    <col min="5" max="5" width="9.88671875" style="145" customWidth="1"/>
    <col min="6" max="6" width="1.6640625" style="145" customWidth="1"/>
    <col min="7" max="7" width="7.6640625" style="145" customWidth="1"/>
    <col min="8" max="8" width="8.88671875" style="145" customWidth="1"/>
    <col min="9" max="16384" width="11.44140625" style="145"/>
  </cols>
  <sheetData>
    <row r="1" spans="1:8" ht="5.25" customHeight="1" x14ac:dyDescent="0.25"/>
    <row r="2" spans="1:8" x14ac:dyDescent="0.25">
      <c r="A2" s="95" t="s">
        <v>0</v>
      </c>
      <c r="B2" s="146"/>
      <c r="C2" s="146"/>
      <c r="D2" s="146"/>
      <c r="E2" s="146"/>
      <c r="F2" s="146"/>
      <c r="G2" s="146"/>
    </row>
    <row r="3" spans="1:8" ht="6" customHeight="1" x14ac:dyDescent="0.25">
      <c r="A3" s="3"/>
      <c r="B3" s="146"/>
      <c r="C3" s="146"/>
      <c r="D3" s="146"/>
      <c r="E3" s="146"/>
      <c r="F3" s="146"/>
      <c r="G3" s="146"/>
    </row>
    <row r="4" spans="1:8" ht="16.2" thickBot="1" x14ac:dyDescent="0.35">
      <c r="A4" s="147" t="s">
        <v>221</v>
      </c>
      <c r="B4" s="148"/>
      <c r="C4" s="148"/>
      <c r="D4" s="148"/>
      <c r="E4" s="148"/>
      <c r="F4" s="148"/>
      <c r="G4" s="148"/>
      <c r="H4" s="149"/>
    </row>
    <row r="5" spans="1:8" x14ac:dyDescent="0.25">
      <c r="A5" s="150"/>
      <c r="B5" s="151"/>
      <c r="C5" s="152"/>
      <c r="D5" s="151"/>
      <c r="E5" s="153"/>
      <c r="F5" s="154"/>
      <c r="G5" s="208" t="s">
        <v>1</v>
      </c>
      <c r="H5" s="209"/>
    </row>
    <row r="6" spans="1:8" x14ac:dyDescent="0.25">
      <c r="A6" s="155"/>
      <c r="B6" s="156"/>
      <c r="C6" s="157" t="s">
        <v>236</v>
      </c>
      <c r="D6" s="158" t="s">
        <v>237</v>
      </c>
      <c r="E6" s="158" t="s">
        <v>238</v>
      </c>
      <c r="F6" s="159"/>
      <c r="G6" s="160" t="s">
        <v>239</v>
      </c>
      <c r="H6" s="161" t="s">
        <v>240</v>
      </c>
    </row>
    <row r="7" spans="1:8" ht="12.75" customHeight="1" x14ac:dyDescent="0.25">
      <c r="A7" s="210" t="s">
        <v>212</v>
      </c>
      <c r="B7" s="162" t="s">
        <v>3</v>
      </c>
      <c r="C7" s="20">
        <v>200240.61617925501</v>
      </c>
      <c r="D7" s="20">
        <v>241263</v>
      </c>
      <c r="E7" s="79">
        <v>268487.79402295878</v>
      </c>
      <c r="F7" s="22" t="s">
        <v>241</v>
      </c>
      <c r="G7" s="163">
        <v>34.082584815165092</v>
      </c>
      <c r="H7" s="164">
        <v>11.284280649315789</v>
      </c>
    </row>
    <row r="8" spans="1:8" ht="12.75" customHeight="1" x14ac:dyDescent="0.25">
      <c r="A8" s="211"/>
      <c r="B8" s="165" t="s">
        <v>242</v>
      </c>
      <c r="C8" s="26">
        <v>86842</v>
      </c>
      <c r="D8" s="26">
        <v>97648.947142998004</v>
      </c>
      <c r="E8" s="26">
        <v>116037</v>
      </c>
      <c r="F8" s="27"/>
      <c r="G8" s="166">
        <v>33.618525598212869</v>
      </c>
      <c r="H8" s="167">
        <v>18.83077431451909</v>
      </c>
    </row>
    <row r="9" spans="1:8" x14ac:dyDescent="0.25">
      <c r="A9" s="168" t="s">
        <v>232</v>
      </c>
      <c r="B9" s="169" t="s">
        <v>3</v>
      </c>
      <c r="C9" s="20">
        <v>8813.391887537</v>
      </c>
      <c r="D9" s="20">
        <v>10965</v>
      </c>
      <c r="E9" s="21">
        <v>9158.8880815528319</v>
      </c>
      <c r="F9" s="22" t="s">
        <v>241</v>
      </c>
      <c r="G9" s="170">
        <v>3.9201274426977193</v>
      </c>
      <c r="H9" s="171">
        <v>-16.471608923366787</v>
      </c>
    </row>
    <row r="10" spans="1:8" x14ac:dyDescent="0.25">
      <c r="A10" s="172"/>
      <c r="B10" s="165" t="s">
        <v>242</v>
      </c>
      <c r="C10" s="26">
        <v>4037.872681282</v>
      </c>
      <c r="D10" s="26">
        <v>4805.0559185129996</v>
      </c>
      <c r="E10" s="26">
        <v>4186</v>
      </c>
      <c r="F10" s="27"/>
      <c r="G10" s="173">
        <v>3.6684494636163265</v>
      </c>
      <c r="H10" s="167">
        <v>-12.883427976933433</v>
      </c>
    </row>
    <row r="11" spans="1:8" x14ac:dyDescent="0.25">
      <c r="A11" s="168" t="s">
        <v>213</v>
      </c>
      <c r="B11" s="169" t="s">
        <v>3</v>
      </c>
      <c r="C11" s="20">
        <v>120203.458974138</v>
      </c>
      <c r="D11" s="20">
        <v>148378</v>
      </c>
      <c r="E11" s="21">
        <v>151400.37358711541</v>
      </c>
      <c r="F11" s="22" t="s">
        <v>241</v>
      </c>
      <c r="G11" s="174">
        <v>25.953425033874836</v>
      </c>
      <c r="H11" s="171">
        <v>2.0369418560132857</v>
      </c>
    </row>
    <row r="12" spans="1:8" x14ac:dyDescent="0.25">
      <c r="A12" s="172"/>
      <c r="B12" s="165" t="s">
        <v>242</v>
      </c>
      <c r="C12" s="26">
        <v>50173.877740304</v>
      </c>
      <c r="D12" s="26">
        <v>55913.228946231</v>
      </c>
      <c r="E12" s="26">
        <v>62156</v>
      </c>
      <c r="F12" s="27"/>
      <c r="G12" s="166">
        <v>23.881196350249255</v>
      </c>
      <c r="H12" s="167">
        <v>11.165105595622762</v>
      </c>
    </row>
    <row r="13" spans="1:8" x14ac:dyDescent="0.25">
      <c r="A13" s="168" t="s">
        <v>214</v>
      </c>
      <c r="B13" s="169" t="s">
        <v>3</v>
      </c>
      <c r="C13" s="20">
        <v>71751.232997767002</v>
      </c>
      <c r="D13" s="20">
        <v>82215</v>
      </c>
      <c r="E13" s="21">
        <v>78984.971041558165</v>
      </c>
      <c r="F13" s="22" t="s">
        <v>241</v>
      </c>
      <c r="G13" s="163">
        <v>10.081691619175785</v>
      </c>
      <c r="H13" s="164">
        <v>-3.9287586917738082</v>
      </c>
    </row>
    <row r="14" spans="1:8" x14ac:dyDescent="0.25">
      <c r="A14" s="172"/>
      <c r="B14" s="165" t="s">
        <v>242</v>
      </c>
      <c r="C14" s="26">
        <v>32137.572512647999</v>
      </c>
      <c r="D14" s="26">
        <v>37722.07159508</v>
      </c>
      <c r="E14" s="26">
        <v>37263</v>
      </c>
      <c r="F14" s="27"/>
      <c r="G14" s="175">
        <v>15.948396492407284</v>
      </c>
      <c r="H14" s="164">
        <v>-1.2169840511619014</v>
      </c>
    </row>
    <row r="15" spans="1:8" x14ac:dyDescent="0.25">
      <c r="A15" s="168" t="s">
        <v>215</v>
      </c>
      <c r="B15" s="169" t="s">
        <v>3</v>
      </c>
      <c r="C15" s="20">
        <v>4184.0132306690002</v>
      </c>
      <c r="D15" s="20">
        <v>4273</v>
      </c>
      <c r="E15" s="21">
        <v>3197.3724403472083</v>
      </c>
      <c r="F15" s="22" t="s">
        <v>241</v>
      </c>
      <c r="G15" s="174">
        <v>-23.581206270804117</v>
      </c>
      <c r="H15" s="171">
        <v>-25.17265526919708</v>
      </c>
    </row>
    <row r="16" spans="1:8" x14ac:dyDescent="0.25">
      <c r="A16" s="172"/>
      <c r="B16" s="165" t="s">
        <v>242</v>
      </c>
      <c r="C16" s="26">
        <v>1699.7816188869999</v>
      </c>
      <c r="D16" s="26">
        <v>1837.0775897650001</v>
      </c>
      <c r="E16" s="26">
        <v>1442</v>
      </c>
      <c r="F16" s="27"/>
      <c r="G16" s="166">
        <v>-15.165572801981043</v>
      </c>
      <c r="H16" s="167">
        <v>-21.505765024085804</v>
      </c>
    </row>
    <row r="17" spans="1:9" x14ac:dyDescent="0.25">
      <c r="A17" s="168" t="s">
        <v>216</v>
      </c>
      <c r="B17" s="169" t="s">
        <v>3</v>
      </c>
      <c r="C17" s="20">
        <v>12510.103082203001</v>
      </c>
      <c r="D17" s="20">
        <v>13517</v>
      </c>
      <c r="E17" s="21">
        <v>36898.725255865771</v>
      </c>
      <c r="F17" s="22" t="s">
        <v>241</v>
      </c>
      <c r="G17" s="163">
        <v>194.95140858078355</v>
      </c>
      <c r="H17" s="164">
        <v>172.98013801779814</v>
      </c>
    </row>
    <row r="18" spans="1:9" ht="13.8" thickBot="1" x14ac:dyDescent="0.3">
      <c r="A18" s="178"/>
      <c r="B18" s="179" t="s">
        <v>242</v>
      </c>
      <c r="C18" s="43">
        <v>4943.9742833050004</v>
      </c>
      <c r="D18" s="43">
        <v>5296.5203571310003</v>
      </c>
      <c r="E18" s="43">
        <v>15582</v>
      </c>
      <c r="F18" s="44"/>
      <c r="G18" s="180">
        <v>215.17154230793409</v>
      </c>
      <c r="H18" s="181">
        <v>194.19314850779506</v>
      </c>
    </row>
    <row r="25" spans="1:9" x14ac:dyDescent="0.25">
      <c r="I25" s="177"/>
    </row>
    <row r="26" spans="1:9" x14ac:dyDescent="0.25">
      <c r="I26" s="177"/>
    </row>
    <row r="27" spans="1:9" x14ac:dyDescent="0.25">
      <c r="A27" s="182"/>
      <c r="B27" s="182"/>
      <c r="C27" s="64"/>
      <c r="D27" s="64"/>
      <c r="E27" s="21"/>
      <c r="F27" s="59"/>
      <c r="G27" s="175"/>
      <c r="H27" s="183"/>
      <c r="I27" s="177"/>
    </row>
    <row r="28" spans="1:9" x14ac:dyDescent="0.25">
      <c r="A28" s="182"/>
      <c r="B28" s="182"/>
      <c r="C28" s="64"/>
      <c r="D28" s="64"/>
      <c r="E28" s="21"/>
      <c r="F28" s="59"/>
      <c r="G28" s="175"/>
      <c r="H28" s="183"/>
      <c r="I28" s="177"/>
    </row>
    <row r="29" spans="1:9" x14ac:dyDescent="0.25">
      <c r="A29" s="182"/>
      <c r="B29" s="182"/>
      <c r="C29" s="64"/>
      <c r="D29" s="64"/>
      <c r="E29" s="21"/>
      <c r="F29" s="59"/>
      <c r="G29" s="175"/>
      <c r="H29" s="183"/>
      <c r="I29" s="177"/>
    </row>
    <row r="30" spans="1:9" x14ac:dyDescent="0.25">
      <c r="A30" s="184"/>
      <c r="B30" s="185"/>
      <c r="C30" s="21"/>
      <c r="D30" s="21"/>
      <c r="E30" s="21"/>
      <c r="F30" s="63"/>
      <c r="G30" s="175"/>
      <c r="H30" s="183"/>
      <c r="I30" s="177"/>
    </row>
    <row r="31" spans="1:9" x14ac:dyDescent="0.25">
      <c r="A31" s="186"/>
      <c r="B31" s="187"/>
      <c r="C31" s="49"/>
      <c r="D31" s="55"/>
      <c r="E31" s="49"/>
      <c r="F31" s="49"/>
      <c r="G31" s="188"/>
      <c r="H31" s="189"/>
      <c r="I31" s="177"/>
    </row>
    <row r="32" spans="1:9" ht="16.2" thickBot="1" x14ac:dyDescent="0.35">
      <c r="A32" s="147" t="s">
        <v>222</v>
      </c>
      <c r="B32" s="148"/>
      <c r="C32" s="148"/>
      <c r="D32" s="148"/>
      <c r="E32" s="148"/>
      <c r="F32" s="148"/>
      <c r="G32" s="148"/>
      <c r="H32" s="149"/>
    </row>
    <row r="33" spans="1:8" x14ac:dyDescent="0.25">
      <c r="A33" s="150"/>
      <c r="B33" s="151"/>
      <c r="C33" s="212" t="s">
        <v>16</v>
      </c>
      <c r="D33" s="208"/>
      <c r="E33" s="208"/>
      <c r="F33" s="213"/>
      <c r="G33" s="208" t="s">
        <v>1</v>
      </c>
      <c r="H33" s="209"/>
    </row>
    <row r="34" spans="1:8" x14ac:dyDescent="0.25">
      <c r="A34" s="155"/>
      <c r="B34" s="156"/>
      <c r="C34" s="157" t="s">
        <v>236</v>
      </c>
      <c r="D34" s="158" t="s">
        <v>237</v>
      </c>
      <c r="E34" s="158" t="s">
        <v>238</v>
      </c>
      <c r="F34" s="159"/>
      <c r="G34" s="160" t="s">
        <v>239</v>
      </c>
      <c r="H34" s="161" t="s">
        <v>240</v>
      </c>
    </row>
    <row r="35" spans="1:8" ht="12.75" customHeight="1" x14ac:dyDescent="0.25">
      <c r="A35" s="210" t="s">
        <v>212</v>
      </c>
      <c r="B35" s="162" t="s">
        <v>3</v>
      </c>
      <c r="C35" s="80">
        <v>698.64237269399996</v>
      </c>
      <c r="D35" s="80">
        <v>802.17088901099999</v>
      </c>
      <c r="E35" s="81">
        <v>884.6338391828682</v>
      </c>
      <c r="F35" s="22" t="s">
        <v>241</v>
      </c>
      <c r="G35" s="163">
        <v>26.621841697301548</v>
      </c>
      <c r="H35" s="164">
        <v>10.279972921173581</v>
      </c>
    </row>
    <row r="36" spans="1:8" ht="12.75" customHeight="1" x14ac:dyDescent="0.25">
      <c r="A36" s="211"/>
      <c r="B36" s="165" t="s">
        <v>242</v>
      </c>
      <c r="C36" s="82">
        <v>336.19368649199998</v>
      </c>
      <c r="D36" s="82">
        <v>383.18176290700001</v>
      </c>
      <c r="E36" s="82">
        <v>428.955324152</v>
      </c>
      <c r="F36" s="27"/>
      <c r="G36" s="166">
        <v>27.591725064178846</v>
      </c>
      <c r="H36" s="167">
        <v>11.945652344657503</v>
      </c>
    </row>
    <row r="37" spans="1:8" x14ac:dyDescent="0.25">
      <c r="A37" s="168" t="s">
        <v>232</v>
      </c>
      <c r="B37" s="169" t="s">
        <v>3</v>
      </c>
      <c r="C37" s="80">
        <v>223.34273136199999</v>
      </c>
      <c r="D37" s="80">
        <v>288.63855850599998</v>
      </c>
      <c r="E37" s="83">
        <v>280.26072076028089</v>
      </c>
      <c r="F37" s="22" t="s">
        <v>241</v>
      </c>
      <c r="G37" s="170">
        <v>25.484594484530888</v>
      </c>
      <c r="H37" s="171">
        <v>-2.9025358874721974</v>
      </c>
    </row>
    <row r="38" spans="1:8" x14ac:dyDescent="0.25">
      <c r="A38" s="172"/>
      <c r="B38" s="165" t="s">
        <v>242</v>
      </c>
      <c r="C38" s="82">
        <v>105.56402942</v>
      </c>
      <c r="D38" s="82">
        <v>131.76886862200001</v>
      </c>
      <c r="E38" s="82">
        <v>131.763745277</v>
      </c>
      <c r="F38" s="27"/>
      <c r="G38" s="173">
        <v>24.818791022802927</v>
      </c>
      <c r="H38" s="167">
        <v>-3.8881300671249619E-3</v>
      </c>
    </row>
    <row r="39" spans="1:8" x14ac:dyDescent="0.25">
      <c r="A39" s="168" t="s">
        <v>213</v>
      </c>
      <c r="B39" s="169" t="s">
        <v>3</v>
      </c>
      <c r="C39" s="80">
        <v>174.58551054899999</v>
      </c>
      <c r="D39" s="80">
        <v>197.45523154599999</v>
      </c>
      <c r="E39" s="83">
        <v>187.37582274126908</v>
      </c>
      <c r="F39" s="22" t="s">
        <v>241</v>
      </c>
      <c r="G39" s="174">
        <v>7.3261017778902584</v>
      </c>
      <c r="H39" s="171">
        <v>-5.1046552303592847</v>
      </c>
    </row>
    <row r="40" spans="1:8" x14ac:dyDescent="0.25">
      <c r="A40" s="172"/>
      <c r="B40" s="165" t="s">
        <v>242</v>
      </c>
      <c r="C40" s="82">
        <v>88.373125698999999</v>
      </c>
      <c r="D40" s="82">
        <v>99.804367022999998</v>
      </c>
      <c r="E40" s="82">
        <v>94.366635126999995</v>
      </c>
      <c r="F40" s="27"/>
      <c r="G40" s="166">
        <v>6.7820498376553644</v>
      </c>
      <c r="H40" s="167">
        <v>-5.4483907450130715</v>
      </c>
    </row>
    <row r="41" spans="1:8" x14ac:dyDescent="0.25">
      <c r="A41" s="168" t="s">
        <v>214</v>
      </c>
      <c r="B41" s="169" t="s">
        <v>3</v>
      </c>
      <c r="C41" s="80">
        <v>220.96467231599999</v>
      </c>
      <c r="D41" s="80">
        <v>239.62301461199999</v>
      </c>
      <c r="E41" s="83">
        <v>233.6855859176635</v>
      </c>
      <c r="F41" s="22" t="s">
        <v>241</v>
      </c>
      <c r="G41" s="163">
        <v>5.7569897795569034</v>
      </c>
      <c r="H41" s="164">
        <v>-2.477820715155616</v>
      </c>
    </row>
    <row r="42" spans="1:8" x14ac:dyDescent="0.25">
      <c r="A42" s="172"/>
      <c r="B42" s="165" t="s">
        <v>242</v>
      </c>
      <c r="C42" s="82">
        <v>106.864277102</v>
      </c>
      <c r="D42" s="82">
        <v>120.60456802</v>
      </c>
      <c r="E42" s="82">
        <v>117.35726455</v>
      </c>
      <c r="F42" s="27"/>
      <c r="G42" s="175">
        <v>9.8189851019949685</v>
      </c>
      <c r="H42" s="164">
        <v>-2.6925211236289925</v>
      </c>
    </row>
    <row r="43" spans="1:8" x14ac:dyDescent="0.25">
      <c r="A43" s="168" t="s">
        <v>215</v>
      </c>
      <c r="B43" s="169" t="s">
        <v>3</v>
      </c>
      <c r="C43" s="80">
        <v>13.824757663</v>
      </c>
      <c r="D43" s="80">
        <v>15.395364396</v>
      </c>
      <c r="E43" s="83">
        <v>12.720640170621241</v>
      </c>
      <c r="F43" s="22" t="s">
        <v>241</v>
      </c>
      <c r="G43" s="174">
        <v>-7.986523303289232</v>
      </c>
      <c r="H43" s="171">
        <v>-17.373568800188337</v>
      </c>
    </row>
    <row r="44" spans="1:8" x14ac:dyDescent="0.25">
      <c r="A44" s="172"/>
      <c r="B44" s="165" t="s">
        <v>242</v>
      </c>
      <c r="C44" s="82">
        <v>5.9898592490000002</v>
      </c>
      <c r="D44" s="82">
        <v>7.1611766550000002</v>
      </c>
      <c r="E44" s="82">
        <v>6.0577606660000001</v>
      </c>
      <c r="F44" s="27"/>
      <c r="G44" s="166">
        <v>1.1336062197343892</v>
      </c>
      <c r="H44" s="167">
        <v>-15.408305675989496</v>
      </c>
    </row>
    <row r="45" spans="1:8" x14ac:dyDescent="0.25">
      <c r="A45" s="168" t="s">
        <v>216</v>
      </c>
      <c r="B45" s="169" t="s">
        <v>3</v>
      </c>
      <c r="C45" s="80">
        <v>65.924700805000001</v>
      </c>
      <c r="D45" s="80">
        <v>61.058719951999997</v>
      </c>
      <c r="E45" s="83">
        <v>188.51327091487744</v>
      </c>
      <c r="F45" s="22" t="s">
        <v>241</v>
      </c>
      <c r="G45" s="163">
        <v>185.95241026953562</v>
      </c>
      <c r="H45" s="164">
        <v>208.7409481611686</v>
      </c>
    </row>
    <row r="46" spans="1:8" ht="13.8" thickBot="1" x14ac:dyDescent="0.3">
      <c r="A46" s="178"/>
      <c r="B46" s="179" t="s">
        <v>242</v>
      </c>
      <c r="C46" s="86">
        <v>29.402395022</v>
      </c>
      <c r="D46" s="86">
        <v>23.842782586999999</v>
      </c>
      <c r="E46" s="86">
        <v>79.409918531000002</v>
      </c>
      <c r="F46" s="44"/>
      <c r="G46" s="180">
        <v>170.07976211319675</v>
      </c>
      <c r="H46" s="181">
        <v>233.0564217546376</v>
      </c>
    </row>
    <row r="53" spans="1:9" x14ac:dyDescent="0.25">
      <c r="I53" s="177"/>
    </row>
    <row r="54" spans="1:9" x14ac:dyDescent="0.25">
      <c r="I54" s="177"/>
    </row>
    <row r="55" spans="1:9" x14ac:dyDescent="0.25">
      <c r="A55" s="184"/>
      <c r="B55" s="185"/>
      <c r="C55" s="21"/>
      <c r="D55" s="21"/>
      <c r="E55" s="21"/>
      <c r="F55" s="63"/>
      <c r="G55" s="175"/>
      <c r="H55" s="183"/>
      <c r="I55" s="177"/>
    </row>
    <row r="56" spans="1:9" x14ac:dyDescent="0.25">
      <c r="A56" s="184"/>
      <c r="B56" s="185"/>
      <c r="C56" s="21"/>
      <c r="D56" s="21"/>
      <c r="E56" s="21"/>
      <c r="F56" s="63"/>
      <c r="G56" s="175"/>
      <c r="H56" s="183"/>
      <c r="I56" s="177"/>
    </row>
    <row r="57" spans="1:9" x14ac:dyDescent="0.25">
      <c r="A57" s="184"/>
      <c r="B57" s="185"/>
      <c r="C57" s="21"/>
      <c r="D57" s="21"/>
      <c r="E57" s="21"/>
      <c r="F57" s="63"/>
      <c r="G57" s="175"/>
      <c r="H57" s="183"/>
      <c r="I57" s="177"/>
    </row>
    <row r="58" spans="1:9" x14ac:dyDescent="0.25">
      <c r="A58" s="184"/>
      <c r="B58" s="185"/>
      <c r="C58" s="21"/>
      <c r="D58" s="21"/>
      <c r="E58" s="21"/>
      <c r="F58" s="63"/>
      <c r="G58" s="175"/>
      <c r="H58" s="183"/>
      <c r="I58" s="177"/>
    </row>
    <row r="59" spans="1:9" x14ac:dyDescent="0.25">
      <c r="A59" s="186"/>
      <c r="B59" s="187"/>
      <c r="C59" s="49"/>
      <c r="D59" s="49"/>
      <c r="E59" s="49"/>
      <c r="F59" s="49"/>
      <c r="G59" s="188"/>
      <c r="H59" s="189"/>
      <c r="I59" s="177"/>
    </row>
    <row r="60" spans="1:9" x14ac:dyDescent="0.25">
      <c r="A60" s="190"/>
      <c r="B60" s="190"/>
      <c r="C60" s="190"/>
      <c r="D60" s="190"/>
      <c r="E60" s="190"/>
      <c r="F60" s="190"/>
      <c r="G60" s="190"/>
      <c r="H60" s="190"/>
    </row>
    <row r="61" spans="1:9" ht="12.75" customHeight="1" x14ac:dyDescent="0.25">
      <c r="A61" s="191" t="s">
        <v>243</v>
      </c>
      <c r="G61" s="192"/>
      <c r="H61" s="206">
        <v>23</v>
      </c>
    </row>
    <row r="62" spans="1:9" ht="12.75" customHeight="1" x14ac:dyDescent="0.25">
      <c r="A62" s="191" t="s">
        <v>244</v>
      </c>
      <c r="G62" s="192"/>
      <c r="H62" s="207"/>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7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63"/>
  <sheetViews>
    <sheetView showGridLines="0" showRowColHeaders="0" tabSelected="1" topLeftCell="A3" zoomScale="80" zoomScaleNormal="80" workbookViewId="0"/>
  </sheetViews>
  <sheetFormatPr defaultColWidth="11.44140625" defaultRowHeight="12.75" customHeight="1" x14ac:dyDescent="0.25"/>
  <cols>
    <col min="1" max="1" width="11.33203125" style="92" customWidth="1"/>
    <col min="2" max="2" width="27.109375" style="1" customWidth="1"/>
    <col min="3" max="5" width="10.6640625" style="1" customWidth="1"/>
    <col min="6" max="8" width="7.6640625" style="1" customWidth="1"/>
    <col min="9" max="16384" width="11.44140625" style="1"/>
  </cols>
  <sheetData>
    <row r="2" spans="1:8" ht="12.75" customHeight="1" x14ac:dyDescent="0.25">
      <c r="B2" s="2"/>
      <c r="C2" s="2"/>
      <c r="D2" s="2"/>
      <c r="E2" s="2"/>
      <c r="F2" s="2"/>
      <c r="G2" s="2"/>
    </row>
    <row r="3" spans="1:8" ht="12.75" customHeight="1" x14ac:dyDescent="0.25">
      <c r="A3" s="93"/>
      <c r="B3" s="2"/>
      <c r="C3" s="2"/>
      <c r="D3" s="2"/>
      <c r="E3" s="2"/>
      <c r="F3" s="2"/>
      <c r="G3" s="2"/>
    </row>
    <row r="4" spans="1:8" ht="12.75" customHeight="1" x14ac:dyDescent="0.3">
      <c r="A4" s="93"/>
      <c r="C4" s="74"/>
      <c r="D4" s="74" t="s">
        <v>88</v>
      </c>
      <c r="E4" s="74"/>
      <c r="F4" s="74"/>
      <c r="G4" s="74"/>
      <c r="H4" s="74"/>
    </row>
    <row r="5" spans="1:8" ht="12.75" customHeight="1" x14ac:dyDescent="0.3">
      <c r="A5" s="93"/>
      <c r="B5" s="75"/>
      <c r="C5" s="74"/>
      <c r="D5" s="74"/>
      <c r="E5" s="74"/>
      <c r="F5" s="74"/>
      <c r="G5" s="74"/>
      <c r="H5" s="74"/>
    </row>
    <row r="6" spans="1:8" ht="12.75" customHeight="1" x14ac:dyDescent="0.3">
      <c r="A6" s="93"/>
      <c r="B6" s="73"/>
      <c r="C6" s="73"/>
      <c r="D6" s="73"/>
      <c r="E6" s="73"/>
      <c r="F6" s="73"/>
      <c r="G6" s="73"/>
      <c r="H6" s="73"/>
    </row>
    <row r="7" spans="1:8" ht="12.75" customHeight="1" x14ac:dyDescent="0.3">
      <c r="A7" s="93"/>
      <c r="B7" s="73"/>
      <c r="C7" s="73"/>
      <c r="D7" s="73"/>
      <c r="E7" s="73"/>
      <c r="F7" s="73"/>
      <c r="G7" s="73"/>
      <c r="H7" s="73"/>
    </row>
    <row r="8" spans="1:8" ht="12.75" customHeight="1" x14ac:dyDescent="0.3">
      <c r="A8" s="94" t="s">
        <v>114</v>
      </c>
      <c r="B8" s="73" t="s">
        <v>89</v>
      </c>
      <c r="C8" s="73"/>
      <c r="D8" s="73"/>
      <c r="E8" s="73"/>
      <c r="F8" s="73"/>
      <c r="G8" s="73"/>
      <c r="H8" s="76">
        <v>2</v>
      </c>
    </row>
    <row r="9" spans="1:8" ht="12.75" customHeight="1" x14ac:dyDescent="0.3">
      <c r="B9" s="73"/>
      <c r="C9" s="73"/>
      <c r="D9" s="73"/>
      <c r="E9" s="73"/>
      <c r="F9" s="73"/>
      <c r="G9" s="73"/>
      <c r="H9" s="76"/>
    </row>
    <row r="10" spans="1:8" ht="12.75" customHeight="1" x14ac:dyDescent="0.3">
      <c r="B10" s="73" t="s">
        <v>90</v>
      </c>
      <c r="C10" s="73"/>
      <c r="D10" s="73"/>
      <c r="E10" s="73"/>
      <c r="F10" s="73"/>
      <c r="G10" s="73"/>
      <c r="H10" s="76"/>
    </row>
    <row r="11" spans="1:8" ht="12.75" customHeight="1" x14ac:dyDescent="0.3">
      <c r="A11" s="94" t="s">
        <v>115</v>
      </c>
      <c r="B11" s="73" t="str">
        <f>+'Tab2'!A6&amp;" ……………………………………………"</f>
        <v>Figur 1. Antall meldte skader etter bransjer  ……………………………………………</v>
      </c>
      <c r="C11" s="73"/>
      <c r="D11" s="73"/>
      <c r="E11" s="73"/>
      <c r="F11" s="73"/>
      <c r="G11" s="73"/>
      <c r="H11" s="76">
        <v>4</v>
      </c>
    </row>
    <row r="12" spans="1:8" ht="12.75" customHeight="1" x14ac:dyDescent="0.3">
      <c r="B12" s="73" t="str">
        <f>+'Tab2'!A32&amp;" ……………………………"</f>
        <v>Figur 2. Antall meldte skader etter bransjer  ……………………………</v>
      </c>
      <c r="C12" s="73"/>
      <c r="D12" s="73"/>
      <c r="E12" s="73"/>
      <c r="F12" s="73"/>
      <c r="G12" s="73"/>
      <c r="H12" s="76">
        <v>4</v>
      </c>
    </row>
    <row r="13" spans="1:8" ht="12.75" customHeight="1" x14ac:dyDescent="0.3">
      <c r="B13" s="73" t="str">
        <f>+'Tab2'!I6&amp;"  ………………………………………………………………………………………………….."</f>
        <v>Figur 3. Anslått erstatning etter bransje, pr.   …………………………………………………………………………………………………..</v>
      </c>
      <c r="C13" s="73"/>
      <c r="D13" s="73"/>
      <c r="E13" s="73"/>
      <c r="F13" s="73"/>
      <c r="G13" s="73"/>
      <c r="H13" s="76">
        <v>5</v>
      </c>
    </row>
    <row r="14" spans="1:8" ht="12.75" customHeight="1" x14ac:dyDescent="0.3">
      <c r="B14" s="73" t="str">
        <f>+'Tab2'!I32&amp;"  ………………………………………………………………………………………………….."</f>
        <v>Figur 4. Vannskader pr. kvartal  …………………………………………………………………………………………………..</v>
      </c>
      <c r="C14" s="73"/>
      <c r="D14" s="73"/>
      <c r="E14" s="73"/>
      <c r="F14" s="73"/>
      <c r="G14" s="73"/>
      <c r="H14" s="76">
        <v>5</v>
      </c>
    </row>
    <row r="15" spans="1:8" ht="12.75" customHeight="1" x14ac:dyDescent="0.3">
      <c r="B15" s="73" t="str">
        <f>+'Tab2'!P6&amp;" ……………………………"</f>
        <v>Figur 5. Antall meldte skader i motorvogn kvartalsvis (i 1000) ……………………………</v>
      </c>
      <c r="C15" s="73"/>
      <c r="D15" s="73"/>
      <c r="E15" s="73"/>
      <c r="F15" s="73"/>
      <c r="G15" s="73"/>
      <c r="H15" s="76">
        <v>6</v>
      </c>
    </row>
    <row r="16" spans="1:8" ht="12.75" customHeight="1" x14ac:dyDescent="0.3">
      <c r="B16" s="73" t="str">
        <f>+'Tab2'!P32&amp;" ……………………………"</f>
        <v>Figur 6. Anslått erstatning etter skadetype, motorvogn  2016 ……………………………</v>
      </c>
      <c r="C16" s="73"/>
      <c r="D16" s="73"/>
      <c r="E16" s="73"/>
      <c r="F16" s="73"/>
      <c r="G16" s="73"/>
      <c r="H16" s="76">
        <v>6</v>
      </c>
    </row>
    <row r="17" spans="1:14" ht="12.75" customHeight="1" x14ac:dyDescent="0.3">
      <c r="B17" s="73" t="str">
        <f>+'Tab2'!W6&amp;" ……………………………………………………………"</f>
        <v>Figur 7. Antall meldte skader i de Brann-kombinerte bransjer etter skadetype  ……………………………………………………………</v>
      </c>
      <c r="C17" s="73"/>
      <c r="D17" s="73"/>
      <c r="E17" s="73"/>
      <c r="F17" s="73"/>
      <c r="G17" s="73"/>
      <c r="H17" s="76">
        <v>7</v>
      </c>
    </row>
    <row r="18" spans="1:14" ht="12.75" customHeight="1" x14ac:dyDescent="0.3">
      <c r="B18" s="73" t="str">
        <f>+'Tab2'!W32&amp;" ……………………………………………………………"</f>
        <v>Figur 8. Anslått erstatning i de Brann-kombinerte bransjer etter skadetype  ……………………………………………………………</v>
      </c>
      <c r="C18" s="73"/>
      <c r="D18" s="73"/>
      <c r="E18" s="73"/>
      <c r="F18" s="73"/>
      <c r="G18" s="73"/>
      <c r="H18" s="76">
        <v>7</v>
      </c>
    </row>
    <row r="19" spans="1:14" ht="12.75" customHeight="1" x14ac:dyDescent="0.3">
      <c r="B19" s="73" t="str">
        <f>+'Tab2'!AD6&amp;"  ………………………………………………………………………………………………….."</f>
        <v>Figur 9. Brannskader pr. kvartal  …………………………………………………………………………………………………..</v>
      </c>
      <c r="C19" s="73"/>
      <c r="D19" s="73"/>
      <c r="E19" s="73"/>
      <c r="F19" s="73"/>
      <c r="G19" s="73"/>
      <c r="H19" s="76">
        <v>8</v>
      </c>
    </row>
    <row r="20" spans="1:14" ht="12.75" customHeight="1" x14ac:dyDescent="0.3">
      <c r="B20" s="73" t="str">
        <f>+'Tab2'!AD32&amp;"  ………………………………………………………………………………………………….."</f>
        <v>Figur 10. Innbrudd, tyverier og ran pr. kvartal  …………………………………………………………………………………………………..</v>
      </c>
      <c r="C20" s="73"/>
      <c r="D20" s="73"/>
      <c r="E20" s="73"/>
      <c r="F20" s="73"/>
      <c r="G20" s="73"/>
      <c r="H20" s="76">
        <v>8</v>
      </c>
    </row>
    <row r="22" spans="1:14" ht="12.75" customHeight="1" x14ac:dyDescent="0.3">
      <c r="B22" s="73" t="s">
        <v>91</v>
      </c>
      <c r="C22" s="73"/>
      <c r="D22" s="73"/>
      <c r="E22" s="73"/>
      <c r="F22" s="73"/>
      <c r="G22" s="73"/>
      <c r="H22" s="76"/>
    </row>
    <row r="23" spans="1:14" ht="12.75" customHeight="1" x14ac:dyDescent="0.3">
      <c r="A23" s="94" t="s">
        <v>116</v>
      </c>
      <c r="B23" s="73" t="s">
        <v>132</v>
      </c>
      <c r="C23" s="73"/>
      <c r="D23" s="73"/>
      <c r="E23" s="73"/>
      <c r="F23" s="73"/>
      <c r="G23" s="73"/>
      <c r="H23" s="76">
        <v>9</v>
      </c>
    </row>
    <row r="24" spans="1:14" ht="12.75" customHeight="1" x14ac:dyDescent="0.3">
      <c r="A24" s="94" t="s">
        <v>117</v>
      </c>
      <c r="B24" s="73" t="s">
        <v>93</v>
      </c>
      <c r="C24" s="73"/>
      <c r="D24" s="73"/>
      <c r="E24" s="73"/>
      <c r="F24" s="73"/>
      <c r="G24" s="73"/>
      <c r="H24" s="76">
        <f>H23+1</f>
        <v>10</v>
      </c>
    </row>
    <row r="25" spans="1:14" ht="12.75" customHeight="1" x14ac:dyDescent="0.3">
      <c r="B25" s="73"/>
      <c r="C25" s="73"/>
      <c r="D25" s="73"/>
      <c r="E25" s="73"/>
      <c r="F25" s="73"/>
      <c r="G25" s="73"/>
      <c r="H25" s="76"/>
    </row>
    <row r="26" spans="1:14" ht="12.75" customHeight="1" x14ac:dyDescent="0.3">
      <c r="A26" s="94" t="s">
        <v>118</v>
      </c>
      <c r="B26" s="73" t="s">
        <v>133</v>
      </c>
      <c r="C26" s="73"/>
      <c r="D26" s="73"/>
      <c r="E26" s="73"/>
      <c r="F26" s="73"/>
      <c r="G26" s="73"/>
      <c r="H26" s="76">
        <f>+H24+1</f>
        <v>11</v>
      </c>
    </row>
    <row r="27" spans="1:14" ht="12.75" customHeight="1" x14ac:dyDescent="0.3">
      <c r="B27" s="73" t="s">
        <v>94</v>
      </c>
      <c r="C27" s="73"/>
      <c r="D27" s="73"/>
      <c r="E27" s="73"/>
      <c r="F27" s="73"/>
      <c r="G27" s="73"/>
      <c r="H27" s="76">
        <f>+H26</f>
        <v>11</v>
      </c>
      <c r="N27" s="77"/>
    </row>
    <row r="28" spans="1:14" ht="12.75" customHeight="1" x14ac:dyDescent="0.3">
      <c r="A28" s="94" t="s">
        <v>119</v>
      </c>
      <c r="B28" s="73" t="s">
        <v>134</v>
      </c>
      <c r="C28" s="73"/>
      <c r="D28" s="73"/>
      <c r="E28" s="73"/>
      <c r="F28" s="73"/>
      <c r="G28" s="73"/>
      <c r="H28" s="76">
        <f>+H26+1</f>
        <v>12</v>
      </c>
      <c r="N28" s="77"/>
    </row>
    <row r="29" spans="1:14" ht="12.75" customHeight="1" x14ac:dyDescent="0.3">
      <c r="B29" s="73" t="s">
        <v>95</v>
      </c>
      <c r="C29" s="73"/>
      <c r="D29" s="73"/>
      <c r="E29" s="73"/>
      <c r="F29" s="73"/>
      <c r="G29" s="73"/>
      <c r="H29" s="76">
        <f>+H28</f>
        <v>12</v>
      </c>
      <c r="N29" s="77"/>
    </row>
    <row r="30" spans="1:14" ht="12.75" customHeight="1" x14ac:dyDescent="0.3">
      <c r="B30" s="73"/>
      <c r="C30" s="73"/>
      <c r="D30" s="73"/>
      <c r="E30" s="73"/>
      <c r="F30" s="73"/>
      <c r="G30" s="73"/>
      <c r="H30" s="76"/>
      <c r="N30" s="77"/>
    </row>
    <row r="31" spans="1:14" ht="12.75" customHeight="1" x14ac:dyDescent="0.3">
      <c r="A31" s="94" t="s">
        <v>120</v>
      </c>
      <c r="B31" s="73" t="s">
        <v>135</v>
      </c>
      <c r="C31" s="73"/>
      <c r="D31" s="73"/>
      <c r="E31" s="73"/>
      <c r="F31" s="73"/>
      <c r="G31" s="73"/>
      <c r="H31" s="76">
        <f>+H29+1</f>
        <v>13</v>
      </c>
      <c r="N31" s="77"/>
    </row>
    <row r="32" spans="1:14" ht="12.75" customHeight="1" x14ac:dyDescent="0.3">
      <c r="B32" s="73" t="s">
        <v>96</v>
      </c>
      <c r="C32" s="73"/>
      <c r="D32" s="73"/>
      <c r="E32" s="73"/>
      <c r="F32" s="73"/>
      <c r="G32" s="73"/>
      <c r="H32" s="76">
        <f>+H31</f>
        <v>13</v>
      </c>
      <c r="N32" s="77"/>
    </row>
    <row r="33" spans="1:14" ht="12.75" customHeight="1" x14ac:dyDescent="0.3">
      <c r="A33" s="94" t="s">
        <v>121</v>
      </c>
      <c r="B33" s="73" t="s">
        <v>136</v>
      </c>
      <c r="C33" s="73"/>
      <c r="D33" s="73"/>
      <c r="E33" s="73"/>
      <c r="F33" s="73"/>
      <c r="G33" s="73"/>
      <c r="H33" s="76">
        <f>+H31+1</f>
        <v>14</v>
      </c>
      <c r="N33" s="77"/>
    </row>
    <row r="34" spans="1:14" ht="12.75" customHeight="1" x14ac:dyDescent="0.3">
      <c r="B34" s="73" t="s">
        <v>97</v>
      </c>
      <c r="C34" s="73"/>
      <c r="D34" s="73"/>
      <c r="E34" s="73"/>
      <c r="F34" s="73"/>
      <c r="G34" s="73"/>
      <c r="H34" s="76">
        <f>+H33</f>
        <v>14</v>
      </c>
      <c r="N34" s="77"/>
    </row>
    <row r="35" spans="1:14" ht="12.75" customHeight="1" x14ac:dyDescent="0.3">
      <c r="A35" s="94" t="s">
        <v>122</v>
      </c>
      <c r="B35" s="73" t="s">
        <v>137</v>
      </c>
      <c r="C35" s="73"/>
      <c r="D35" s="73"/>
      <c r="E35" s="73"/>
      <c r="F35" s="73"/>
      <c r="G35" s="73"/>
      <c r="H35" s="76">
        <f>+H34+1</f>
        <v>15</v>
      </c>
      <c r="N35" s="77"/>
    </row>
    <row r="36" spans="1:14" ht="12.75" customHeight="1" x14ac:dyDescent="0.3">
      <c r="B36" s="73" t="s">
        <v>100</v>
      </c>
      <c r="C36" s="73"/>
      <c r="D36" s="73"/>
      <c r="E36" s="73"/>
      <c r="F36" s="73"/>
      <c r="G36" s="73"/>
      <c r="H36" s="76">
        <f>+H35</f>
        <v>15</v>
      </c>
      <c r="N36" s="77"/>
    </row>
    <row r="37" spans="1:14" ht="12.75" customHeight="1" x14ac:dyDescent="0.3">
      <c r="A37" s="94" t="s">
        <v>123</v>
      </c>
      <c r="B37" s="73" t="s">
        <v>138</v>
      </c>
      <c r="C37" s="73"/>
      <c r="D37" s="73"/>
      <c r="E37" s="73"/>
      <c r="F37" s="73"/>
      <c r="G37" s="73"/>
      <c r="H37" s="76">
        <f>+H36+1</f>
        <v>16</v>
      </c>
      <c r="N37" s="77"/>
    </row>
    <row r="38" spans="1:14" ht="12.75" customHeight="1" x14ac:dyDescent="0.3">
      <c r="B38" s="73" t="s">
        <v>101</v>
      </c>
      <c r="C38" s="73"/>
      <c r="D38" s="73"/>
      <c r="E38" s="73"/>
      <c r="F38" s="73"/>
      <c r="G38" s="73"/>
      <c r="H38" s="76">
        <f>+H37</f>
        <v>16</v>
      </c>
      <c r="N38" s="77"/>
    </row>
    <row r="39" spans="1:14" ht="12.75" customHeight="1" x14ac:dyDescent="0.3">
      <c r="B39" s="73"/>
      <c r="C39" s="73"/>
      <c r="D39" s="73"/>
      <c r="E39" s="73"/>
      <c r="F39" s="73"/>
      <c r="G39" s="73"/>
      <c r="H39" s="76"/>
      <c r="N39" s="77"/>
    </row>
    <row r="40" spans="1:14" ht="12.75" customHeight="1" x14ac:dyDescent="0.3">
      <c r="A40" s="94" t="s">
        <v>124</v>
      </c>
      <c r="B40" s="73" t="s">
        <v>167</v>
      </c>
      <c r="C40" s="73"/>
      <c r="D40" s="73"/>
      <c r="E40" s="73"/>
      <c r="F40" s="73"/>
      <c r="G40" s="73"/>
      <c r="H40" s="76">
        <f>+H38+1</f>
        <v>17</v>
      </c>
      <c r="N40" s="77"/>
    </row>
    <row r="41" spans="1:14" ht="12.75" customHeight="1" x14ac:dyDescent="0.3">
      <c r="B41" s="73" t="s">
        <v>168</v>
      </c>
      <c r="C41" s="73"/>
      <c r="D41" s="73"/>
      <c r="E41" s="73"/>
      <c r="F41" s="73"/>
      <c r="G41" s="73"/>
      <c r="H41" s="76">
        <f>+H40</f>
        <v>17</v>
      </c>
      <c r="N41" s="77"/>
    </row>
    <row r="42" spans="1:14" ht="12.75" customHeight="1" x14ac:dyDescent="0.3">
      <c r="B42" s="73"/>
      <c r="C42" s="73"/>
      <c r="D42" s="73"/>
      <c r="E42" s="73"/>
      <c r="F42" s="73"/>
      <c r="G42" s="73"/>
      <c r="H42" s="76"/>
      <c r="N42" s="77"/>
    </row>
    <row r="43" spans="1:14" ht="12.75" customHeight="1" x14ac:dyDescent="0.3">
      <c r="A43" s="94" t="s">
        <v>173</v>
      </c>
      <c r="B43" s="73" t="s">
        <v>139</v>
      </c>
      <c r="H43" s="76">
        <f>+H40+1</f>
        <v>18</v>
      </c>
      <c r="N43" s="77"/>
    </row>
    <row r="44" spans="1:14" ht="12.75" customHeight="1" x14ac:dyDescent="0.3">
      <c r="B44" s="73" t="s">
        <v>104</v>
      </c>
      <c r="H44" s="76">
        <f>+H43</f>
        <v>18</v>
      </c>
      <c r="N44" s="77"/>
    </row>
    <row r="45" spans="1:14" ht="12.75" customHeight="1" x14ac:dyDescent="0.3">
      <c r="A45" s="94" t="s">
        <v>125</v>
      </c>
      <c r="B45" s="73" t="s">
        <v>140</v>
      </c>
      <c r="H45" s="76">
        <f>+H43+1</f>
        <v>19</v>
      </c>
      <c r="N45" s="77"/>
    </row>
    <row r="46" spans="1:14" ht="12.75" customHeight="1" x14ac:dyDescent="0.3">
      <c r="B46" s="73" t="s">
        <v>102</v>
      </c>
      <c r="H46" s="76">
        <f>+H45</f>
        <v>19</v>
      </c>
      <c r="N46" s="77"/>
    </row>
    <row r="47" spans="1:14" ht="12.75" customHeight="1" x14ac:dyDescent="0.3">
      <c r="A47" s="94" t="s">
        <v>126</v>
      </c>
      <c r="B47" s="73" t="s">
        <v>141</v>
      </c>
      <c r="H47" s="76">
        <f>+H46+1</f>
        <v>20</v>
      </c>
      <c r="N47" s="77"/>
    </row>
    <row r="48" spans="1:14" ht="12.75" customHeight="1" x14ac:dyDescent="0.3">
      <c r="B48" s="73" t="s">
        <v>103</v>
      </c>
      <c r="H48" s="76">
        <f>H47</f>
        <v>20</v>
      </c>
      <c r="N48" s="77"/>
    </row>
    <row r="49" spans="1:14" ht="12.75" customHeight="1" x14ac:dyDescent="0.3">
      <c r="A49" s="94"/>
      <c r="B49" s="73"/>
      <c r="C49" s="73"/>
      <c r="D49" s="73"/>
      <c r="E49" s="73"/>
      <c r="F49" s="73"/>
      <c r="G49" s="73"/>
      <c r="H49" s="76"/>
      <c r="N49" s="77"/>
    </row>
    <row r="50" spans="1:14" ht="12.75" customHeight="1" x14ac:dyDescent="0.3">
      <c r="A50" s="94"/>
      <c r="B50" s="73"/>
      <c r="C50" s="73"/>
      <c r="D50" s="73"/>
      <c r="E50" s="73"/>
      <c r="F50" s="73"/>
      <c r="G50" s="73"/>
      <c r="H50" s="76"/>
      <c r="N50" s="77"/>
    </row>
    <row r="51" spans="1:14" ht="12.75" customHeight="1" x14ac:dyDescent="0.3">
      <c r="A51" s="94"/>
      <c r="B51" s="73"/>
      <c r="C51" s="73"/>
      <c r="D51" s="73"/>
      <c r="E51" s="73"/>
      <c r="F51" s="73"/>
      <c r="G51" s="73"/>
      <c r="H51" s="76"/>
      <c r="N51" s="77"/>
    </row>
    <row r="52" spans="1:14" ht="12.75" customHeight="1" x14ac:dyDescent="0.3">
      <c r="A52" s="94"/>
      <c r="B52" s="73"/>
      <c r="C52" s="73"/>
      <c r="D52" s="73"/>
      <c r="E52" s="73"/>
      <c r="F52" s="73"/>
      <c r="G52" s="73"/>
      <c r="H52" s="76"/>
      <c r="N52" s="77"/>
    </row>
    <row r="53" spans="1:14" ht="12.75" customHeight="1" x14ac:dyDescent="0.3">
      <c r="A53" s="94"/>
      <c r="B53" s="73"/>
      <c r="C53" s="73"/>
      <c r="D53" s="73"/>
      <c r="E53" s="73"/>
      <c r="F53" s="73"/>
      <c r="G53" s="73"/>
      <c r="H53" s="76"/>
      <c r="N53" s="77"/>
    </row>
    <row r="54" spans="1:14" ht="12.75" customHeight="1" x14ac:dyDescent="0.3">
      <c r="A54" s="94"/>
      <c r="B54" s="73"/>
      <c r="C54" s="73"/>
      <c r="D54" s="73"/>
      <c r="E54" s="73"/>
      <c r="F54" s="73"/>
      <c r="G54" s="73"/>
      <c r="H54" s="76"/>
      <c r="N54" s="77"/>
    </row>
    <row r="55" spans="1:14" ht="12.75" customHeight="1" x14ac:dyDescent="0.3">
      <c r="A55" s="94"/>
      <c r="B55" s="73"/>
      <c r="C55" s="73"/>
      <c r="D55" s="73"/>
      <c r="E55" s="73"/>
      <c r="F55" s="73"/>
      <c r="G55" s="73"/>
      <c r="H55" s="76"/>
      <c r="N55" s="77"/>
    </row>
    <row r="56" spans="1:14" ht="12.75" customHeight="1" x14ac:dyDescent="0.3">
      <c r="A56" s="94"/>
      <c r="B56" s="73"/>
      <c r="C56" s="73"/>
      <c r="D56" s="73"/>
      <c r="E56" s="73"/>
      <c r="F56" s="73"/>
      <c r="G56" s="73"/>
      <c r="H56" s="76"/>
      <c r="N56" s="77"/>
    </row>
    <row r="57" spans="1:14" ht="12.75" customHeight="1" x14ac:dyDescent="0.3">
      <c r="A57" s="94"/>
      <c r="B57" s="73"/>
      <c r="C57" s="73"/>
      <c r="D57" s="73"/>
      <c r="E57" s="73"/>
      <c r="F57" s="73"/>
      <c r="G57" s="73"/>
      <c r="H57" s="76"/>
      <c r="N57" s="77"/>
    </row>
    <row r="58" spans="1:14" ht="12.75" customHeight="1" x14ac:dyDescent="0.3">
      <c r="B58" s="73"/>
      <c r="C58" s="73"/>
      <c r="D58" s="73"/>
      <c r="E58" s="73"/>
      <c r="F58" s="73"/>
      <c r="G58" s="73"/>
      <c r="H58" s="76"/>
      <c r="N58" s="77"/>
    </row>
    <row r="59" spans="1:14" ht="12.75" customHeight="1" x14ac:dyDescent="0.25">
      <c r="B59" s="48"/>
      <c r="C59" s="49"/>
      <c r="D59" s="49"/>
      <c r="E59" s="122"/>
      <c r="F59" s="49"/>
      <c r="G59" s="50"/>
      <c r="H59" s="51"/>
      <c r="N59" s="77"/>
    </row>
    <row r="60" spans="1:14" ht="12.75" customHeight="1" x14ac:dyDescent="0.25">
      <c r="B60" s="52"/>
      <c r="C60" s="52"/>
      <c r="D60" s="52"/>
      <c r="E60" s="52"/>
      <c r="F60" s="52"/>
      <c r="G60" s="52"/>
      <c r="H60" s="52"/>
      <c r="I60" s="77"/>
    </row>
    <row r="61" spans="1:14" ht="12.75" customHeight="1" x14ac:dyDescent="0.25">
      <c r="B61" s="54" t="str">
        <f>+B123</f>
        <v>Finans Norge / Skadestatistikk</v>
      </c>
      <c r="H61" s="194">
        <v>1</v>
      </c>
      <c r="I61" s="77"/>
    </row>
    <row r="62" spans="1:14" ht="12.75" customHeight="1" x14ac:dyDescent="0.25">
      <c r="B62" s="54" t="str">
        <f>+B124</f>
        <v>Skadestatistikk for landbasert forsikring 2. kvartal 2016</v>
      </c>
      <c r="H62" s="195"/>
      <c r="I62" s="77"/>
    </row>
    <row r="63" spans="1:14" ht="12.75" customHeight="1" x14ac:dyDescent="0.25">
      <c r="I63" s="77"/>
    </row>
    <row r="64" spans="1:14" ht="12.75" customHeight="1" x14ac:dyDescent="0.25">
      <c r="I64" s="77"/>
    </row>
    <row r="66" spans="1:13" ht="12.75" customHeight="1" x14ac:dyDescent="0.3">
      <c r="A66" s="94" t="s">
        <v>127</v>
      </c>
      <c r="B66" s="73" t="s">
        <v>223</v>
      </c>
      <c r="H66" s="76">
        <f>H48+1</f>
        <v>21</v>
      </c>
    </row>
    <row r="67" spans="1:13" ht="12.75" customHeight="1" x14ac:dyDescent="0.3">
      <c r="B67" s="73" t="s">
        <v>224</v>
      </c>
      <c r="H67" s="76">
        <f>H66</f>
        <v>21</v>
      </c>
    </row>
    <row r="68" spans="1:13" ht="12.75" customHeight="1" x14ac:dyDescent="0.3">
      <c r="A68" s="94" t="s">
        <v>128</v>
      </c>
      <c r="B68" s="73" t="s">
        <v>225</v>
      </c>
      <c r="H68" s="76">
        <f>H67+1</f>
        <v>22</v>
      </c>
    </row>
    <row r="69" spans="1:13" ht="12.75" customHeight="1" x14ac:dyDescent="0.3">
      <c r="B69" s="73" t="s">
        <v>226</v>
      </c>
      <c r="H69" s="76">
        <f>H68</f>
        <v>22</v>
      </c>
    </row>
    <row r="70" spans="1:13" ht="12.75" customHeight="1" x14ac:dyDescent="0.3">
      <c r="A70" s="94" t="s">
        <v>129</v>
      </c>
      <c r="B70" s="73" t="s">
        <v>227</v>
      </c>
      <c r="H70" s="76">
        <f>H69+1</f>
        <v>23</v>
      </c>
      <c r="J70"/>
      <c r="K70"/>
      <c r="L70"/>
      <c r="M70"/>
    </row>
    <row r="71" spans="1:13" ht="12.75" customHeight="1" x14ac:dyDescent="0.3">
      <c r="B71" s="73" t="s">
        <v>228</v>
      </c>
      <c r="H71" s="76">
        <f>H70</f>
        <v>23</v>
      </c>
      <c r="J71"/>
      <c r="K71" s="71"/>
      <c r="L71" s="72"/>
      <c r="M71" s="72"/>
    </row>
    <row r="72" spans="1:13" ht="12.75" customHeight="1" x14ac:dyDescent="0.25">
      <c r="J72"/>
      <c r="K72" s="70"/>
      <c r="L72"/>
      <c r="M72"/>
    </row>
    <row r="73" spans="1:13" ht="12.75" customHeight="1" x14ac:dyDescent="0.3">
      <c r="A73" s="94" t="s">
        <v>130</v>
      </c>
      <c r="B73" s="73" t="s">
        <v>142</v>
      </c>
      <c r="C73" s="73"/>
      <c r="D73" s="73"/>
      <c r="E73" s="73"/>
      <c r="F73" s="73"/>
      <c r="G73" s="73"/>
      <c r="H73" s="76">
        <f>+H71+1</f>
        <v>24</v>
      </c>
      <c r="J73"/>
      <c r="K73" s="69"/>
      <c r="L73" s="69"/>
      <c r="M73" s="69"/>
    </row>
    <row r="74" spans="1:13" ht="12.75" customHeight="1" x14ac:dyDescent="0.3">
      <c r="B74" s="73" t="s">
        <v>107</v>
      </c>
      <c r="C74" s="73"/>
      <c r="D74" s="73"/>
      <c r="E74" s="73"/>
      <c r="F74" s="73"/>
      <c r="G74" s="73"/>
      <c r="H74" s="76">
        <f>+H73</f>
        <v>24</v>
      </c>
      <c r="J74"/>
      <c r="K74" s="69"/>
      <c r="L74" s="69"/>
      <c r="M74" s="69"/>
    </row>
    <row r="75" spans="1:13" ht="12.75" customHeight="1" x14ac:dyDescent="0.3">
      <c r="A75" s="94" t="s">
        <v>229</v>
      </c>
      <c r="B75" s="73" t="s">
        <v>143</v>
      </c>
      <c r="C75" s="73"/>
      <c r="D75" s="73"/>
      <c r="E75" s="73"/>
      <c r="F75" s="73"/>
      <c r="G75" s="73"/>
      <c r="H75" s="76">
        <f>+H74+1</f>
        <v>25</v>
      </c>
      <c r="J75"/>
      <c r="K75" s="69"/>
      <c r="L75" s="69"/>
      <c r="M75" s="69"/>
    </row>
    <row r="76" spans="1:13" ht="12.75" customHeight="1" x14ac:dyDescent="0.3">
      <c r="B76" s="73" t="s">
        <v>105</v>
      </c>
      <c r="C76" s="73"/>
      <c r="D76" s="73"/>
      <c r="E76" s="73"/>
      <c r="F76" s="73"/>
      <c r="G76" s="73"/>
      <c r="H76" s="76">
        <f>+H75</f>
        <v>25</v>
      </c>
      <c r="J76"/>
      <c r="K76" s="69"/>
      <c r="L76" s="69"/>
      <c r="M76" s="69"/>
    </row>
    <row r="77" spans="1:13" ht="12.75" customHeight="1" x14ac:dyDescent="0.3">
      <c r="A77" s="94" t="s">
        <v>230</v>
      </c>
      <c r="B77" s="73" t="s">
        <v>144</v>
      </c>
      <c r="C77" s="73"/>
      <c r="D77" s="73"/>
      <c r="E77" s="73"/>
      <c r="F77" s="73"/>
      <c r="G77" s="73"/>
      <c r="H77" s="76">
        <f>+H76+1</f>
        <v>26</v>
      </c>
      <c r="J77"/>
      <c r="K77"/>
      <c r="L77"/>
      <c r="M77"/>
    </row>
    <row r="78" spans="1:13" ht="12.75" customHeight="1" x14ac:dyDescent="0.3">
      <c r="B78" s="73" t="s">
        <v>106</v>
      </c>
      <c r="C78" s="73"/>
      <c r="D78" s="73"/>
      <c r="E78" s="73"/>
      <c r="F78" s="73"/>
      <c r="G78" s="73"/>
      <c r="H78" s="76">
        <f>+H77</f>
        <v>26</v>
      </c>
      <c r="J78"/>
      <c r="K78"/>
      <c r="L78"/>
      <c r="M78"/>
    </row>
    <row r="79" spans="1:13" ht="12.75" customHeight="1" x14ac:dyDescent="0.25">
      <c r="B79"/>
      <c r="C79"/>
      <c r="D79"/>
      <c r="E79"/>
      <c r="F79"/>
      <c r="G79"/>
      <c r="I79"/>
      <c r="J79"/>
      <c r="K79"/>
      <c r="L79"/>
      <c r="M79"/>
    </row>
    <row r="80" spans="1:13" ht="12.75" customHeight="1" x14ac:dyDescent="0.3">
      <c r="A80" s="94" t="s">
        <v>231</v>
      </c>
      <c r="B80" s="73" t="s">
        <v>92</v>
      </c>
      <c r="C80" s="73"/>
      <c r="D80" s="73"/>
      <c r="E80" s="73"/>
      <c r="F80" s="73"/>
      <c r="G80" s="73"/>
      <c r="H80" s="76">
        <f>+H78+1</f>
        <v>27</v>
      </c>
      <c r="I80"/>
      <c r="J80"/>
      <c r="K80"/>
      <c r="L80"/>
      <c r="M80"/>
    </row>
    <row r="81" spans="2:13" ht="12.75" customHeight="1" x14ac:dyDescent="0.25">
      <c r="C81"/>
      <c r="D81"/>
      <c r="E81"/>
      <c r="F81"/>
      <c r="G81"/>
      <c r="I81" s="68"/>
      <c r="J81"/>
      <c r="K81"/>
      <c r="L81"/>
      <c r="M81"/>
    </row>
    <row r="82" spans="2:13" ht="12.75" customHeight="1" x14ac:dyDescent="0.25">
      <c r="C82"/>
      <c r="D82"/>
      <c r="E82"/>
      <c r="F82"/>
      <c r="G82"/>
      <c r="I82" s="68"/>
      <c r="J82"/>
      <c r="K82"/>
      <c r="L82"/>
      <c r="M82"/>
    </row>
    <row r="83" spans="2:13" ht="12.75" customHeight="1" x14ac:dyDescent="0.25">
      <c r="C83"/>
      <c r="D83"/>
      <c r="E83"/>
      <c r="F83"/>
      <c r="G83"/>
      <c r="I83" s="68"/>
      <c r="J83"/>
      <c r="K83"/>
      <c r="L83"/>
      <c r="M83"/>
    </row>
    <row r="84" spans="2:13" ht="12.75" customHeight="1" x14ac:dyDescent="0.25">
      <c r="C84"/>
      <c r="D84"/>
      <c r="E84"/>
      <c r="F84"/>
      <c r="G84"/>
      <c r="I84" s="68"/>
      <c r="J84"/>
      <c r="K84"/>
      <c r="L84"/>
      <c r="M84"/>
    </row>
    <row r="85" spans="2:13" ht="12.75" customHeight="1" x14ac:dyDescent="0.25">
      <c r="C85"/>
      <c r="D85"/>
      <c r="E85"/>
      <c r="F85"/>
      <c r="G85"/>
      <c r="I85" s="68"/>
      <c r="J85"/>
      <c r="K85"/>
      <c r="L85"/>
      <c r="M85"/>
    </row>
    <row r="86" spans="2:13" ht="12.75" customHeight="1" x14ac:dyDescent="0.25">
      <c r="C86"/>
      <c r="D86"/>
      <c r="E86"/>
      <c r="F86"/>
      <c r="G86"/>
      <c r="I86" s="68"/>
      <c r="J86"/>
      <c r="K86"/>
      <c r="L86"/>
      <c r="M86"/>
    </row>
    <row r="87" spans="2:13" ht="12.75" customHeight="1" x14ac:dyDescent="0.25">
      <c r="C87"/>
      <c r="D87"/>
      <c r="E87"/>
      <c r="F87"/>
      <c r="G87"/>
      <c r="I87" s="68"/>
      <c r="J87"/>
      <c r="K87"/>
      <c r="L87"/>
      <c r="M87"/>
    </row>
    <row r="88" spans="2:13" ht="12.75" customHeight="1" x14ac:dyDescent="0.25">
      <c r="C88"/>
      <c r="D88"/>
      <c r="E88"/>
      <c r="F88"/>
      <c r="G88"/>
      <c r="I88" s="68"/>
      <c r="J88"/>
      <c r="K88"/>
      <c r="L88"/>
      <c r="M88"/>
    </row>
    <row r="89" spans="2:13" ht="12.75" customHeight="1" x14ac:dyDescent="0.25">
      <c r="C89"/>
      <c r="D89"/>
      <c r="E89"/>
      <c r="F89"/>
      <c r="G89"/>
      <c r="I89"/>
      <c r="J89"/>
      <c r="K89"/>
      <c r="L89"/>
      <c r="M89"/>
    </row>
    <row r="90" spans="2:13" ht="12.75" customHeight="1" x14ac:dyDescent="0.25">
      <c r="C90"/>
      <c r="D90"/>
      <c r="E90"/>
      <c r="F90"/>
      <c r="G90"/>
      <c r="I90"/>
      <c r="J90"/>
      <c r="K90"/>
      <c r="L90"/>
      <c r="M90"/>
    </row>
    <row r="91" spans="2:13" ht="12.75" customHeight="1" x14ac:dyDescent="0.3">
      <c r="B91" s="88"/>
      <c r="C91"/>
      <c r="D91"/>
      <c r="E91"/>
      <c r="F91"/>
      <c r="G91"/>
      <c r="I91"/>
      <c r="J91"/>
      <c r="K91"/>
      <c r="L91"/>
      <c r="M91"/>
    </row>
    <row r="92" spans="2:13" ht="12.75" customHeight="1" x14ac:dyDescent="0.25">
      <c r="C92"/>
      <c r="D92"/>
      <c r="E92"/>
      <c r="F92"/>
      <c r="G92"/>
      <c r="I92"/>
      <c r="J92"/>
      <c r="K92"/>
      <c r="L92"/>
      <c r="M92"/>
    </row>
    <row r="93" spans="2:13" ht="12.75" customHeight="1" x14ac:dyDescent="0.25">
      <c r="C93"/>
      <c r="D93"/>
      <c r="E93"/>
      <c r="F93"/>
      <c r="G93"/>
      <c r="I93"/>
      <c r="J93"/>
      <c r="K93"/>
      <c r="L93"/>
      <c r="M93"/>
    </row>
    <row r="94" spans="2:13" ht="12.75" customHeight="1" x14ac:dyDescent="0.25">
      <c r="B94"/>
      <c r="C94"/>
      <c r="D94"/>
      <c r="E94"/>
      <c r="F94"/>
      <c r="G94"/>
      <c r="I94"/>
      <c r="J94"/>
      <c r="K94"/>
      <c r="L94"/>
      <c r="M94"/>
    </row>
    <row r="95" spans="2:13" ht="12.75" customHeight="1" x14ac:dyDescent="0.25">
      <c r="B95"/>
      <c r="C95"/>
      <c r="D95"/>
      <c r="E95"/>
      <c r="F95"/>
      <c r="G95"/>
      <c r="I95"/>
      <c r="J95"/>
      <c r="K95"/>
      <c r="L95"/>
      <c r="M95"/>
    </row>
    <row r="96" spans="2:13" ht="12.75" customHeight="1" x14ac:dyDescent="0.25">
      <c r="C96"/>
      <c r="D96"/>
      <c r="E96"/>
      <c r="F96"/>
      <c r="G96"/>
      <c r="I96"/>
      <c r="J96"/>
      <c r="K96"/>
      <c r="L96"/>
      <c r="M96"/>
    </row>
    <row r="97" spans="2:13" ht="12.75" customHeight="1" x14ac:dyDescent="0.25">
      <c r="C97"/>
      <c r="D97"/>
      <c r="E97"/>
      <c r="F97"/>
      <c r="G97"/>
      <c r="I97"/>
      <c r="J97"/>
      <c r="K97"/>
      <c r="L97"/>
      <c r="M97"/>
    </row>
    <row r="98" spans="2:13" ht="12.75" customHeight="1" x14ac:dyDescent="0.25">
      <c r="B98"/>
      <c r="C98"/>
      <c r="D98"/>
      <c r="E98"/>
      <c r="F98"/>
      <c r="G98"/>
      <c r="I98"/>
      <c r="J98"/>
      <c r="K98"/>
      <c r="L98"/>
      <c r="M98"/>
    </row>
    <row r="99" spans="2:13" ht="12.75" customHeight="1" x14ac:dyDescent="0.25">
      <c r="C99"/>
      <c r="D99"/>
      <c r="E99"/>
      <c r="F99"/>
      <c r="G99"/>
      <c r="I99"/>
      <c r="J99"/>
      <c r="K99"/>
      <c r="L99"/>
      <c r="M99"/>
    </row>
    <row r="100" spans="2:13" ht="12.75" customHeight="1" x14ac:dyDescent="0.25">
      <c r="C100"/>
      <c r="D100"/>
      <c r="E100"/>
      <c r="F100"/>
      <c r="G100"/>
      <c r="I100"/>
      <c r="J100"/>
      <c r="K100"/>
      <c r="L100"/>
      <c r="M100"/>
    </row>
    <row r="101" spans="2:13" ht="12.75" customHeight="1" x14ac:dyDescent="0.25">
      <c r="B101"/>
      <c r="C101"/>
      <c r="D101"/>
      <c r="E101"/>
      <c r="F101"/>
      <c r="G101"/>
      <c r="I101"/>
      <c r="J101"/>
      <c r="K101"/>
      <c r="L101"/>
      <c r="M101"/>
    </row>
    <row r="102" spans="2:13" ht="12.75" customHeight="1" x14ac:dyDescent="0.25">
      <c r="B102"/>
      <c r="C102"/>
      <c r="D102"/>
      <c r="E102"/>
      <c r="F102"/>
      <c r="G102"/>
      <c r="I102"/>
      <c r="J102"/>
      <c r="K102"/>
      <c r="L102"/>
      <c r="M102"/>
    </row>
    <row r="103" spans="2:13" ht="12.75" customHeight="1" x14ac:dyDescent="0.25">
      <c r="B103"/>
      <c r="C103"/>
      <c r="D103"/>
      <c r="E103"/>
      <c r="F103"/>
      <c r="G103"/>
      <c r="I103"/>
      <c r="J103"/>
      <c r="K103"/>
      <c r="L103"/>
      <c r="M103"/>
    </row>
    <row r="104" spans="2:13" ht="12.75" customHeight="1" x14ac:dyDescent="0.25">
      <c r="B104"/>
      <c r="C104"/>
      <c r="D104"/>
      <c r="E104"/>
      <c r="F104"/>
      <c r="G104"/>
      <c r="I104"/>
      <c r="J104"/>
      <c r="K104"/>
      <c r="L104"/>
      <c r="M104"/>
    </row>
    <row r="105" spans="2:13" ht="12.75" customHeight="1" x14ac:dyDescent="0.25">
      <c r="B105"/>
      <c r="C105"/>
      <c r="D105"/>
      <c r="E105"/>
      <c r="F105"/>
      <c r="G105"/>
      <c r="I105"/>
      <c r="J105"/>
      <c r="K105"/>
      <c r="L105"/>
      <c r="M105"/>
    </row>
    <row r="106" spans="2:13" ht="12.75" customHeight="1" x14ac:dyDescent="0.25">
      <c r="B106"/>
      <c r="C106"/>
      <c r="D106"/>
      <c r="E106"/>
      <c r="F106"/>
      <c r="G106"/>
      <c r="I106"/>
      <c r="J106"/>
      <c r="K106"/>
      <c r="L106"/>
      <c r="M106"/>
    </row>
    <row r="107" spans="2:13" ht="12.75" customHeight="1" x14ac:dyDescent="0.25">
      <c r="B107"/>
      <c r="C107"/>
      <c r="D107"/>
      <c r="E107"/>
      <c r="F107"/>
      <c r="G107"/>
      <c r="I107"/>
      <c r="J107"/>
      <c r="K107"/>
      <c r="L107"/>
      <c r="M107"/>
    </row>
    <row r="108" spans="2:13" ht="12.75" customHeight="1" x14ac:dyDescent="0.25">
      <c r="B108"/>
      <c r="C108"/>
      <c r="D108"/>
      <c r="E108"/>
      <c r="F108"/>
      <c r="G108"/>
      <c r="I108"/>
      <c r="J108"/>
      <c r="K108"/>
      <c r="L108"/>
      <c r="M108"/>
    </row>
    <row r="109" spans="2:13" ht="12.75" customHeight="1" x14ac:dyDescent="0.25">
      <c r="B109"/>
      <c r="C109"/>
      <c r="D109"/>
      <c r="E109"/>
      <c r="F109"/>
      <c r="G109"/>
      <c r="I109"/>
      <c r="J109"/>
      <c r="K109"/>
      <c r="L109"/>
      <c r="M109"/>
    </row>
    <row r="110" spans="2:13" ht="12.75" customHeight="1" x14ac:dyDescent="0.25">
      <c r="B110"/>
      <c r="C110"/>
      <c r="D110"/>
      <c r="E110"/>
      <c r="F110"/>
      <c r="G110"/>
      <c r="I110"/>
      <c r="J110"/>
      <c r="K110"/>
      <c r="L110"/>
      <c r="M110"/>
    </row>
    <row r="111" spans="2:13" ht="12.75" customHeight="1" x14ac:dyDescent="0.25">
      <c r="B111"/>
      <c r="C111"/>
      <c r="D111"/>
      <c r="E111"/>
      <c r="F111"/>
      <c r="G111"/>
      <c r="I111"/>
      <c r="J111"/>
      <c r="K111"/>
      <c r="L111"/>
      <c r="M111"/>
    </row>
    <row r="112" spans="2:13" ht="12.75" customHeight="1" x14ac:dyDescent="0.25">
      <c r="B112"/>
      <c r="C112"/>
      <c r="D112"/>
      <c r="E112"/>
      <c r="F112"/>
      <c r="G112"/>
      <c r="I112"/>
      <c r="J112"/>
      <c r="K112"/>
      <c r="L112"/>
      <c r="M112"/>
    </row>
    <row r="113" spans="2:13" ht="12.75" customHeight="1" x14ac:dyDescent="0.25">
      <c r="B113"/>
      <c r="C113"/>
      <c r="D113"/>
      <c r="E113"/>
      <c r="F113"/>
      <c r="G113"/>
      <c r="I113"/>
      <c r="J113"/>
      <c r="K113"/>
      <c r="L113"/>
      <c r="M113"/>
    </row>
    <row r="114" spans="2:13" ht="12.75" customHeight="1" x14ac:dyDescent="0.25">
      <c r="B114"/>
      <c r="C114"/>
      <c r="D114"/>
      <c r="E114"/>
      <c r="F114"/>
      <c r="G114"/>
      <c r="I114"/>
      <c r="J114"/>
      <c r="K114"/>
      <c r="L114"/>
      <c r="M114"/>
    </row>
    <row r="115" spans="2:13" ht="12.75" customHeight="1" x14ac:dyDescent="0.25">
      <c r="B115"/>
      <c r="C115"/>
      <c r="D115"/>
      <c r="E115"/>
      <c r="F115"/>
      <c r="G115"/>
      <c r="L115"/>
    </row>
    <row r="116" spans="2:13" ht="12.75" customHeight="1" x14ac:dyDescent="0.25">
      <c r="B116"/>
      <c r="C116"/>
      <c r="D116"/>
      <c r="E116"/>
      <c r="F116"/>
      <c r="G116"/>
      <c r="L116"/>
    </row>
    <row r="117" spans="2:13" ht="12.75" customHeight="1" x14ac:dyDescent="0.25">
      <c r="B117"/>
      <c r="C117"/>
      <c r="D117"/>
      <c r="E117"/>
      <c r="F117"/>
      <c r="G117"/>
      <c r="I117"/>
      <c r="J117"/>
      <c r="K117"/>
      <c r="L117"/>
    </row>
    <row r="118" spans="2:13" ht="12.75" customHeight="1" x14ac:dyDescent="0.25">
      <c r="B118"/>
      <c r="C118"/>
      <c r="D118"/>
      <c r="E118"/>
      <c r="F118"/>
      <c r="G118"/>
      <c r="I118"/>
      <c r="J118"/>
      <c r="K118"/>
      <c r="L118"/>
    </row>
    <row r="119" spans="2:13" ht="12.75" customHeight="1" x14ac:dyDescent="0.25">
      <c r="B119"/>
      <c r="C119"/>
      <c r="D119"/>
      <c r="E119"/>
      <c r="F119"/>
      <c r="G119"/>
      <c r="I119"/>
      <c r="J119"/>
      <c r="K119"/>
      <c r="L119"/>
    </row>
    <row r="120" spans="2:13" ht="12.75" customHeight="1" x14ac:dyDescent="0.25">
      <c r="B120"/>
      <c r="C120"/>
      <c r="D120"/>
      <c r="E120"/>
      <c r="F120"/>
      <c r="G120"/>
      <c r="I120"/>
      <c r="J120"/>
      <c r="K120"/>
      <c r="L120"/>
    </row>
    <row r="121" spans="2:13" ht="12.75" customHeight="1" x14ac:dyDescent="0.25">
      <c r="B121"/>
      <c r="C121"/>
      <c r="D121"/>
      <c r="E121"/>
      <c r="F121"/>
      <c r="G121"/>
      <c r="I121"/>
      <c r="J121"/>
      <c r="K121"/>
      <c r="L121"/>
    </row>
    <row r="122" spans="2:13" ht="12.75" customHeight="1" x14ac:dyDescent="0.25">
      <c r="B122" s="52"/>
      <c r="C122" s="52"/>
      <c r="D122" s="52"/>
      <c r="E122" s="52"/>
      <c r="F122" s="52"/>
      <c r="G122" s="52"/>
      <c r="H122" s="52"/>
      <c r="I122"/>
      <c r="J122" s="69"/>
      <c r="K122" s="69"/>
      <c r="L122" s="69"/>
    </row>
    <row r="123" spans="2:13" ht="12.75" customHeight="1" x14ac:dyDescent="0.25">
      <c r="B123" s="54" t="str">
        <f>"Finans Norge / Skadestatistikk"</f>
        <v>Finans Norge / Skadestatistikk</v>
      </c>
      <c r="H123" s="194">
        <v>2</v>
      </c>
      <c r="I123"/>
      <c r="J123" s="69"/>
      <c r="K123" s="69"/>
      <c r="L123" s="69"/>
    </row>
    <row r="124" spans="2:13" ht="12.75" customHeight="1" x14ac:dyDescent="0.25">
      <c r="B124" s="54" t="str">
        <f>"Skadestatistikk for landbasert forsikring 2. kvartal 2016"</f>
        <v>Skadestatistikk for landbasert forsikring 2. kvartal 2016</v>
      </c>
      <c r="H124" s="195"/>
      <c r="I124"/>
      <c r="J124"/>
      <c r="K124"/>
      <c r="L124"/>
    </row>
    <row r="125" spans="2:13" ht="12.75" customHeight="1" x14ac:dyDescent="0.25">
      <c r="B125" s="78"/>
      <c r="C125"/>
      <c r="D125"/>
      <c r="E125"/>
      <c r="F125"/>
      <c r="G125"/>
      <c r="I125"/>
      <c r="J125"/>
      <c r="K125"/>
      <c r="L125"/>
    </row>
    <row r="126" spans="2:13" ht="12.75" customHeight="1" x14ac:dyDescent="0.25">
      <c r="B126"/>
      <c r="C126"/>
      <c r="D126"/>
      <c r="E126"/>
      <c r="F126"/>
      <c r="G126"/>
      <c r="I126"/>
      <c r="J126"/>
      <c r="K126"/>
      <c r="L126"/>
    </row>
    <row r="127" spans="2:13" ht="12.75" customHeight="1" x14ac:dyDescent="0.25">
      <c r="B127"/>
      <c r="C127"/>
      <c r="D127"/>
      <c r="E127"/>
      <c r="F127"/>
      <c r="G127"/>
      <c r="L127"/>
    </row>
    <row r="128" spans="2:13" ht="12.75" customHeight="1" x14ac:dyDescent="0.25">
      <c r="B128"/>
      <c r="C128"/>
      <c r="D128"/>
      <c r="E128"/>
      <c r="F128"/>
      <c r="G128"/>
      <c r="L128"/>
    </row>
    <row r="129" spans="2:12" ht="12.75" customHeight="1" x14ac:dyDescent="0.25">
      <c r="B129"/>
      <c r="C129"/>
      <c r="D129"/>
      <c r="E129"/>
      <c r="F129"/>
      <c r="G129"/>
      <c r="I129" s="68"/>
      <c r="J129"/>
      <c r="K129"/>
      <c r="L129"/>
    </row>
    <row r="130" spans="2:12" ht="12.75" customHeight="1" x14ac:dyDescent="0.25">
      <c r="B130"/>
      <c r="C130"/>
      <c r="D130"/>
      <c r="E130"/>
      <c r="F130"/>
      <c r="G130"/>
      <c r="I130"/>
      <c r="J130"/>
      <c r="K130"/>
      <c r="L130"/>
    </row>
    <row r="131" spans="2:12" ht="12.75" customHeight="1" x14ac:dyDescent="0.25">
      <c r="B131"/>
      <c r="C131"/>
      <c r="D131"/>
      <c r="E131"/>
      <c r="F131"/>
      <c r="G131"/>
      <c r="I131"/>
      <c r="J131"/>
      <c r="K131"/>
      <c r="L131"/>
    </row>
    <row r="132" spans="2:12" ht="12.75" customHeight="1" x14ac:dyDescent="0.25">
      <c r="B132"/>
      <c r="C132"/>
      <c r="D132"/>
      <c r="E132"/>
      <c r="F132"/>
      <c r="G132"/>
      <c r="I132"/>
      <c r="J132"/>
      <c r="K132" s="69"/>
      <c r="L132" s="69"/>
    </row>
    <row r="133" spans="2:12" ht="12.75" customHeight="1" x14ac:dyDescent="0.25">
      <c r="B133"/>
      <c r="C133"/>
      <c r="D133"/>
      <c r="E133"/>
      <c r="F133"/>
      <c r="G133"/>
      <c r="I133"/>
      <c r="J133"/>
      <c r="K133" s="69"/>
      <c r="L133" s="69"/>
    </row>
    <row r="134" spans="2:12" ht="12.75" customHeight="1" x14ac:dyDescent="0.25">
      <c r="B134"/>
      <c r="C134"/>
      <c r="D134"/>
      <c r="E134"/>
      <c r="F134"/>
      <c r="G134"/>
      <c r="I134"/>
      <c r="J134"/>
      <c r="K134" s="69"/>
      <c r="L134" s="69"/>
    </row>
    <row r="135" spans="2:12" ht="12.75" customHeight="1" x14ac:dyDescent="0.25">
      <c r="B135"/>
      <c r="C135"/>
      <c r="D135"/>
      <c r="E135"/>
      <c r="F135"/>
      <c r="G135"/>
      <c r="I135"/>
      <c r="J135"/>
      <c r="K135"/>
      <c r="L135"/>
    </row>
    <row r="136" spans="2:12" ht="12.75" customHeight="1" x14ac:dyDescent="0.25">
      <c r="B136"/>
      <c r="C136"/>
      <c r="D136"/>
      <c r="E136"/>
      <c r="F136"/>
      <c r="G136"/>
      <c r="I136"/>
      <c r="J136"/>
      <c r="K136"/>
      <c r="L136"/>
    </row>
    <row r="137" spans="2:12" ht="12.75" customHeight="1" x14ac:dyDescent="0.25">
      <c r="B137"/>
      <c r="C137"/>
      <c r="D137"/>
      <c r="E137"/>
      <c r="F137"/>
      <c r="G137"/>
      <c r="I137"/>
      <c r="J137"/>
      <c r="K137"/>
      <c r="L137"/>
    </row>
    <row r="138" spans="2:12" ht="12.75" customHeight="1" x14ac:dyDescent="0.25">
      <c r="B138"/>
      <c r="C138"/>
      <c r="D138"/>
      <c r="E138"/>
      <c r="F138"/>
      <c r="G138"/>
    </row>
    <row r="139" spans="2:12" ht="12.75" customHeight="1" x14ac:dyDescent="0.25">
      <c r="B139"/>
      <c r="C139"/>
      <c r="D139"/>
      <c r="E139"/>
      <c r="F139"/>
      <c r="G139"/>
    </row>
    <row r="140" spans="2:12" ht="12.75" customHeight="1" x14ac:dyDescent="0.25">
      <c r="B140"/>
      <c r="C140"/>
      <c r="D140"/>
      <c r="E140"/>
      <c r="F140"/>
      <c r="G140"/>
      <c r="I140" s="68"/>
      <c r="J140"/>
      <c r="K140"/>
      <c r="L140"/>
    </row>
    <row r="141" spans="2:12" ht="12.75" customHeight="1" x14ac:dyDescent="0.25">
      <c r="B141"/>
      <c r="C141"/>
      <c r="D141"/>
      <c r="E141"/>
      <c r="F141"/>
      <c r="G141"/>
      <c r="I141"/>
      <c r="J141"/>
      <c r="K141"/>
      <c r="L141"/>
    </row>
    <row r="142" spans="2:12" ht="12.75" customHeight="1" x14ac:dyDescent="0.25">
      <c r="B142"/>
      <c r="C142"/>
      <c r="D142"/>
      <c r="E142"/>
      <c r="F142"/>
      <c r="G142"/>
      <c r="I142"/>
      <c r="J142"/>
      <c r="K142"/>
      <c r="L142"/>
    </row>
    <row r="143" spans="2:12" ht="12.75" customHeight="1" x14ac:dyDescent="0.25">
      <c r="B143"/>
      <c r="C143"/>
      <c r="D143"/>
      <c r="E143"/>
      <c r="F143"/>
      <c r="G143"/>
      <c r="I143"/>
      <c r="J143"/>
      <c r="K143" s="69"/>
      <c r="L143" s="69"/>
    </row>
    <row r="144" spans="2:12" ht="12.75" customHeight="1" x14ac:dyDescent="0.25">
      <c r="B144"/>
      <c r="C144"/>
      <c r="D144"/>
      <c r="E144"/>
      <c r="F144"/>
      <c r="G144"/>
      <c r="I144"/>
      <c r="J144"/>
      <c r="K144" s="69"/>
      <c r="L144" s="69"/>
    </row>
    <row r="145" spans="2:12" ht="12.75" customHeight="1" x14ac:dyDescent="0.25">
      <c r="B145"/>
      <c r="C145"/>
      <c r="D145"/>
      <c r="E145"/>
      <c r="F145"/>
      <c r="G145"/>
      <c r="I145"/>
      <c r="J145"/>
      <c r="K145" s="69"/>
      <c r="L145" s="69"/>
    </row>
    <row r="146" spans="2:12" ht="12.75" customHeight="1" x14ac:dyDescent="0.25">
      <c r="B146"/>
      <c r="C146"/>
      <c r="D146"/>
      <c r="E146"/>
      <c r="F146"/>
      <c r="G146"/>
      <c r="I146"/>
      <c r="J146"/>
      <c r="K146"/>
      <c r="L146"/>
    </row>
    <row r="147" spans="2:12" ht="12.75" customHeight="1" x14ac:dyDescent="0.25">
      <c r="B147"/>
      <c r="C147"/>
      <c r="D147"/>
      <c r="E147"/>
      <c r="F147"/>
      <c r="G147"/>
      <c r="H147"/>
      <c r="I147"/>
      <c r="J147"/>
      <c r="K147"/>
      <c r="L147"/>
    </row>
    <row r="148" spans="2:12" ht="12.75" customHeight="1" x14ac:dyDescent="0.25">
      <c r="B148"/>
      <c r="C148"/>
      <c r="D148"/>
      <c r="E148"/>
      <c r="F148"/>
      <c r="G148"/>
      <c r="H148"/>
      <c r="I148"/>
      <c r="J148"/>
      <c r="K148"/>
      <c r="L148"/>
    </row>
    <row r="149" spans="2:12" ht="12.75" customHeight="1" x14ac:dyDescent="0.25">
      <c r="B149"/>
      <c r="C149"/>
      <c r="D149"/>
      <c r="E149"/>
      <c r="F149"/>
      <c r="G149"/>
      <c r="H149"/>
      <c r="I149"/>
      <c r="J149" s="69"/>
      <c r="K149" s="69"/>
    </row>
    <row r="150" spans="2:12" ht="12.75" customHeight="1" x14ac:dyDescent="0.25">
      <c r="B150"/>
      <c r="C150" s="69"/>
      <c r="D150" s="69"/>
      <c r="E150"/>
      <c r="F150"/>
      <c r="G150"/>
      <c r="H150"/>
      <c r="I150"/>
      <c r="J150" s="69"/>
      <c r="K150" s="69"/>
    </row>
    <row r="151" spans="2:12" ht="12.75" customHeight="1" x14ac:dyDescent="0.25">
      <c r="B151"/>
      <c r="C151"/>
      <c r="D151"/>
      <c r="E151"/>
      <c r="G151"/>
      <c r="H151"/>
      <c r="I151"/>
      <c r="J151"/>
      <c r="K151"/>
    </row>
    <row r="152" spans="2:12" ht="12.75" customHeight="1" x14ac:dyDescent="0.25">
      <c r="B152"/>
      <c r="C152"/>
      <c r="D152"/>
      <c r="E152"/>
      <c r="G152"/>
      <c r="H152"/>
      <c r="I152"/>
      <c r="J152"/>
      <c r="K152"/>
    </row>
    <row r="153" spans="2:12" ht="12.75" customHeight="1" x14ac:dyDescent="0.25">
      <c r="B153"/>
      <c r="C153"/>
      <c r="D153"/>
      <c r="E153"/>
      <c r="G153"/>
      <c r="H153"/>
      <c r="I153"/>
      <c r="J153"/>
      <c r="K153"/>
    </row>
    <row r="154" spans="2:12" ht="12.75" customHeight="1" x14ac:dyDescent="0.25">
      <c r="B154"/>
      <c r="C154" s="69"/>
      <c r="D154" s="69"/>
      <c r="E154"/>
      <c r="G154"/>
      <c r="H154"/>
      <c r="I154"/>
      <c r="J154"/>
      <c r="K154"/>
    </row>
    <row r="155" spans="2:12" ht="12.75" customHeight="1" x14ac:dyDescent="0.25">
      <c r="B155"/>
      <c r="C155" s="69"/>
      <c r="D155" s="69"/>
      <c r="E155"/>
      <c r="G155"/>
      <c r="H155"/>
      <c r="I155"/>
      <c r="J155"/>
      <c r="K155"/>
    </row>
    <row r="156" spans="2:12" ht="12.75" customHeight="1" x14ac:dyDescent="0.25">
      <c r="B156"/>
      <c r="C156" s="69"/>
      <c r="D156" s="69"/>
      <c r="E156"/>
      <c r="G156"/>
    </row>
    <row r="157" spans="2:12" ht="12.75" customHeight="1" x14ac:dyDescent="0.25">
      <c r="B157"/>
      <c r="C157"/>
      <c r="D157"/>
      <c r="E157"/>
      <c r="G157"/>
    </row>
    <row r="158" spans="2:12" ht="12.75" customHeight="1" x14ac:dyDescent="0.25">
      <c r="B158"/>
      <c r="C158" s="69"/>
      <c r="D158" s="69"/>
      <c r="E158"/>
      <c r="G158"/>
    </row>
    <row r="159" spans="2:12" ht="12.75" customHeight="1" x14ac:dyDescent="0.25">
      <c r="B159"/>
      <c r="C159" s="69"/>
      <c r="D159" s="69"/>
      <c r="E159"/>
      <c r="G159"/>
    </row>
    <row r="160" spans="2:12" ht="12.75" customHeight="1" x14ac:dyDescent="0.25">
      <c r="B160"/>
      <c r="C160" s="69"/>
      <c r="D160" s="69"/>
      <c r="E160"/>
      <c r="G160"/>
    </row>
    <row r="161" spans="2:7" ht="12.75" customHeight="1" x14ac:dyDescent="0.25">
      <c r="B161"/>
      <c r="C161"/>
      <c r="D161"/>
      <c r="E161"/>
      <c r="G161"/>
    </row>
    <row r="162" spans="2:7" ht="12.75" customHeight="1" x14ac:dyDescent="0.25">
      <c r="B162"/>
      <c r="C162" s="69"/>
      <c r="D162" s="69"/>
      <c r="E162"/>
      <c r="G162"/>
    </row>
    <row r="163" spans="2:7" ht="12.75" customHeight="1" x14ac:dyDescent="0.25">
      <c r="B163"/>
      <c r="C163" s="69"/>
      <c r="D163" s="69"/>
      <c r="E163"/>
      <c r="G163"/>
    </row>
  </sheetData>
  <mergeCells count="2">
    <mergeCell ref="H61:H62"/>
    <mergeCell ref="H123:H124"/>
  </mergeCells>
  <phoneticPr fontId="0" type="noConversion"/>
  <hyperlinks>
    <hyperlink ref="A8" location="Tab1!A2" display="Tab1"/>
    <hyperlink ref="A11" location="Tab2!A2" display="Tab2"/>
    <hyperlink ref="A23" location="Tab3!A2" display="Tab3"/>
    <hyperlink ref="A24" location="Tab4!A2" display="Tab4"/>
    <hyperlink ref="A26" location="Tab5!A2" display="Tab5"/>
    <hyperlink ref="A28" location="Tab6!A2" display="Tab6"/>
    <hyperlink ref="A31" location="Tab7!A2" display="Tab7"/>
    <hyperlink ref="A33" location="Tab8!A2" display="Tab8"/>
    <hyperlink ref="A35" location="Tab9!A2" display="Tab9"/>
    <hyperlink ref="A37" location="Tab10!A2" display="Tab10"/>
    <hyperlink ref="A40" location="Tab11!A2" display="Tab11"/>
    <hyperlink ref="A43" location="'Tab12'!A2" display="Tab12"/>
    <hyperlink ref="A45" location="'Tab13'!A2" display="Tab13"/>
    <hyperlink ref="A73" location="'Tab18'!A2" display="Tab18"/>
    <hyperlink ref="A75" location="'Tab19'!A2" display="Tab19"/>
    <hyperlink ref="A77" location="'Tab20'!A2" display="Tab20"/>
    <hyperlink ref="A47" location="'Tab14'!A2" display="Tab14"/>
    <hyperlink ref="A80" location="'Tab21'!A2" display="Tab21"/>
    <hyperlink ref="A66" location="'Tab15'!A2" display="Tab15"/>
    <hyperlink ref="A68" location="'Tab16'!A2" display="Tab16"/>
    <hyperlink ref="A70" location="'Tab17'!A2" display="Tab17"/>
  </hyperlinks>
  <pageMargins left="0.78740157480314965" right="0.78740157480314965" top="0.98425196850393704" bottom="0.19685039370078741" header="3.937007874015748E-2" footer="3.937007874015748E-2"/>
  <pageSetup paperSize="9" fitToWidth="0" fitToHeight="0"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5" t="s">
        <v>0</v>
      </c>
      <c r="B2" s="2"/>
      <c r="C2" s="2"/>
      <c r="D2" s="2"/>
      <c r="E2" s="2"/>
      <c r="F2" s="2"/>
      <c r="G2" s="2"/>
    </row>
    <row r="3" spans="1:8" ht="6" customHeight="1" x14ac:dyDescent="0.25">
      <c r="A3" s="3"/>
      <c r="B3" s="2"/>
      <c r="C3" s="2"/>
      <c r="D3" s="2"/>
      <c r="E3" s="2"/>
      <c r="F3" s="2"/>
      <c r="G3" s="2"/>
    </row>
    <row r="4" spans="1:8" ht="16.2" thickBot="1" x14ac:dyDescent="0.35">
      <c r="A4" s="4" t="s">
        <v>155</v>
      </c>
      <c r="B4" s="5"/>
      <c r="C4" s="5"/>
      <c r="D4" s="5"/>
      <c r="E4" s="5"/>
      <c r="F4" s="5"/>
      <c r="G4" s="5"/>
      <c r="H4" s="6"/>
    </row>
    <row r="5" spans="1:8" x14ac:dyDescent="0.25">
      <c r="A5" s="7"/>
      <c r="B5" s="8"/>
      <c r="C5" s="9"/>
      <c r="D5" s="8"/>
      <c r="E5" s="10"/>
      <c r="F5" s="11"/>
      <c r="G5" s="197" t="s">
        <v>1</v>
      </c>
      <c r="H5" s="198"/>
    </row>
    <row r="6" spans="1:8" x14ac:dyDescent="0.25">
      <c r="A6" s="12"/>
      <c r="B6" s="13"/>
      <c r="C6" s="14" t="s">
        <v>236</v>
      </c>
      <c r="D6" s="15" t="s">
        <v>237</v>
      </c>
      <c r="E6" s="15" t="s">
        <v>238</v>
      </c>
      <c r="F6" s="16"/>
      <c r="G6" s="17" t="s">
        <v>239</v>
      </c>
      <c r="H6" s="18" t="s">
        <v>240</v>
      </c>
    </row>
    <row r="7" spans="1:8" x14ac:dyDescent="0.25">
      <c r="A7" s="199" t="s">
        <v>61</v>
      </c>
      <c r="B7" s="19" t="s">
        <v>3</v>
      </c>
      <c r="C7" s="20">
        <v>306308</v>
      </c>
      <c r="D7" s="20">
        <v>320739</v>
      </c>
      <c r="E7" s="79">
        <v>305568.30692879308</v>
      </c>
      <c r="F7" s="22" t="s">
        <v>241</v>
      </c>
      <c r="G7" s="23">
        <v>-0.24148669679111379</v>
      </c>
      <c r="H7" s="24">
        <v>-4.7299184293793104</v>
      </c>
    </row>
    <row r="8" spans="1:8" x14ac:dyDescent="0.25">
      <c r="A8" s="200"/>
      <c r="B8" s="25" t="s">
        <v>242</v>
      </c>
      <c r="C8" s="26">
        <v>146608</v>
      </c>
      <c r="D8" s="26">
        <v>158299</v>
      </c>
      <c r="E8" s="26">
        <v>149261.141025641</v>
      </c>
      <c r="F8" s="27"/>
      <c r="G8" s="28">
        <v>1.8096836636752442</v>
      </c>
      <c r="H8" s="29">
        <v>-5.7093594870207625</v>
      </c>
    </row>
    <row r="9" spans="1:8" x14ac:dyDescent="0.25">
      <c r="A9" s="30" t="s">
        <v>62</v>
      </c>
      <c r="B9" s="31" t="s">
        <v>3</v>
      </c>
      <c r="C9" s="20">
        <v>103092</v>
      </c>
      <c r="D9" s="20">
        <v>102789.95</v>
      </c>
      <c r="E9" s="21">
        <v>98692.586126465176</v>
      </c>
      <c r="F9" s="22" t="s">
        <v>241</v>
      </c>
      <c r="G9" s="32">
        <v>-4.2674638900543442</v>
      </c>
      <c r="H9" s="33">
        <v>-3.9861522196817987</v>
      </c>
    </row>
    <row r="10" spans="1:8" x14ac:dyDescent="0.25">
      <c r="A10" s="34"/>
      <c r="B10" s="25" t="s">
        <v>242</v>
      </c>
      <c r="C10" s="26">
        <v>47221.001881862998</v>
      </c>
      <c r="D10" s="26">
        <v>49887.3</v>
      </c>
      <c r="E10" s="26">
        <v>46966.145833333001</v>
      </c>
      <c r="F10" s="27"/>
      <c r="G10" s="35">
        <v>-0.53970910902651781</v>
      </c>
      <c r="H10" s="29">
        <v>-5.8555066453125306</v>
      </c>
    </row>
    <row r="11" spans="1:8" x14ac:dyDescent="0.25">
      <c r="A11" s="30" t="s">
        <v>47</v>
      </c>
      <c r="B11" s="31" t="s">
        <v>3</v>
      </c>
      <c r="C11" s="20">
        <v>12718</v>
      </c>
      <c r="D11" s="20">
        <v>13876.2</v>
      </c>
      <c r="E11" s="21">
        <v>11258.079931467792</v>
      </c>
      <c r="F11" s="22" t="s">
        <v>241</v>
      </c>
      <c r="G11" s="37">
        <v>-11.479163929330156</v>
      </c>
      <c r="H11" s="33">
        <v>-18.86770202600286</v>
      </c>
    </row>
    <row r="12" spans="1:8" x14ac:dyDescent="0.25">
      <c r="A12" s="34"/>
      <c r="B12" s="25" t="s">
        <v>242</v>
      </c>
      <c r="C12" s="26">
        <v>5486.1922787180001</v>
      </c>
      <c r="D12" s="26">
        <v>8319.5499999999993</v>
      </c>
      <c r="E12" s="26">
        <v>5973.5243055560004</v>
      </c>
      <c r="F12" s="27"/>
      <c r="G12" s="28">
        <v>8.8828827368748051</v>
      </c>
      <c r="H12" s="29">
        <v>-28.198949395628361</v>
      </c>
    </row>
    <row r="13" spans="1:8" x14ac:dyDescent="0.25">
      <c r="A13" s="30" t="s">
        <v>48</v>
      </c>
      <c r="B13" s="31" t="s">
        <v>3</v>
      </c>
      <c r="C13" s="20">
        <v>96531</v>
      </c>
      <c r="D13" s="20">
        <v>97209.7</v>
      </c>
      <c r="E13" s="21">
        <v>95149.020275405594</v>
      </c>
      <c r="F13" s="22" t="s">
        <v>241</v>
      </c>
      <c r="G13" s="23">
        <v>-1.431643435367306</v>
      </c>
      <c r="H13" s="24">
        <v>-2.1198293221709434</v>
      </c>
    </row>
    <row r="14" spans="1:8" x14ac:dyDescent="0.25">
      <c r="A14" s="34"/>
      <c r="B14" s="25" t="s">
        <v>242</v>
      </c>
      <c r="C14" s="26">
        <v>48939.143624618999</v>
      </c>
      <c r="D14" s="26">
        <v>46399.3</v>
      </c>
      <c r="E14" s="26">
        <v>46319.208333333001</v>
      </c>
      <c r="F14" s="27"/>
      <c r="G14" s="38">
        <v>-5.3534555311834993</v>
      </c>
      <c r="H14" s="24">
        <v>-0.17261395466526608</v>
      </c>
    </row>
    <row r="15" spans="1:8" x14ac:dyDescent="0.25">
      <c r="A15" s="30" t="s">
        <v>49</v>
      </c>
      <c r="B15" s="31" t="s">
        <v>3</v>
      </c>
      <c r="C15" s="20">
        <v>63651</v>
      </c>
      <c r="D15" s="20">
        <v>71442.95</v>
      </c>
      <c r="E15" s="21">
        <v>75411.741646645474</v>
      </c>
      <c r="F15" s="22" t="s">
        <v>241</v>
      </c>
      <c r="G15" s="37">
        <v>18.47691575410515</v>
      </c>
      <c r="H15" s="33">
        <v>5.555190045547505</v>
      </c>
    </row>
    <row r="16" spans="1:8" x14ac:dyDescent="0.25">
      <c r="A16" s="34"/>
      <c r="B16" s="25" t="s">
        <v>242</v>
      </c>
      <c r="C16" s="26">
        <v>31269.137251754</v>
      </c>
      <c r="D16" s="26">
        <v>36043.300000000003</v>
      </c>
      <c r="E16" s="26">
        <v>37706.6875</v>
      </c>
      <c r="F16" s="27"/>
      <c r="G16" s="28">
        <v>20.58755314038892</v>
      </c>
      <c r="H16" s="29">
        <v>4.6149700499121877</v>
      </c>
    </row>
    <row r="17" spans="1:9" x14ac:dyDescent="0.25">
      <c r="A17" s="30" t="s">
        <v>50</v>
      </c>
      <c r="B17" s="31" t="s">
        <v>3</v>
      </c>
      <c r="C17" s="20">
        <v>46246</v>
      </c>
      <c r="D17" s="20">
        <v>51482.2</v>
      </c>
      <c r="E17" s="21">
        <v>40690.622445789006</v>
      </c>
      <c r="F17" s="22" t="s">
        <v>241</v>
      </c>
      <c r="G17" s="37">
        <v>-12.012666077522368</v>
      </c>
      <c r="H17" s="33">
        <v>-20.961764559810945</v>
      </c>
    </row>
    <row r="18" spans="1:9" ht="13.8" thickBot="1" x14ac:dyDescent="0.3">
      <c r="A18" s="56"/>
      <c r="B18" s="42" t="s">
        <v>242</v>
      </c>
      <c r="C18" s="43">
        <v>21319.524963045998</v>
      </c>
      <c r="D18" s="43">
        <v>24823.55</v>
      </c>
      <c r="E18" s="43">
        <v>19324.229166666999</v>
      </c>
      <c r="F18" s="44"/>
      <c r="G18" s="57">
        <v>-9.3590068251404546</v>
      </c>
      <c r="H18" s="46">
        <v>-22.153643750926037</v>
      </c>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71</v>
      </c>
      <c r="B32" s="5"/>
      <c r="C32" s="5"/>
      <c r="D32" s="5"/>
      <c r="E32" s="5"/>
      <c r="F32" s="5"/>
      <c r="G32" s="5"/>
      <c r="H32" s="6"/>
    </row>
    <row r="33" spans="1:9" x14ac:dyDescent="0.25">
      <c r="A33" s="7"/>
      <c r="B33" s="8"/>
      <c r="C33" s="203" t="s">
        <v>16</v>
      </c>
      <c r="D33" s="197"/>
      <c r="E33" s="197"/>
      <c r="F33" s="204"/>
      <c r="G33" s="197" t="s">
        <v>1</v>
      </c>
      <c r="H33" s="198"/>
    </row>
    <row r="34" spans="1:9" x14ac:dyDescent="0.25">
      <c r="A34" s="12"/>
      <c r="B34" s="13"/>
      <c r="C34" s="14" t="s">
        <v>236</v>
      </c>
      <c r="D34" s="15" t="s">
        <v>237</v>
      </c>
      <c r="E34" s="15" t="s">
        <v>238</v>
      </c>
      <c r="F34" s="16"/>
      <c r="G34" s="17" t="s">
        <v>239</v>
      </c>
      <c r="H34" s="18" t="s">
        <v>240</v>
      </c>
    </row>
    <row r="35" spans="1:9" ht="12.75" customHeight="1" x14ac:dyDescent="0.25">
      <c r="A35" s="199" t="s">
        <v>61</v>
      </c>
      <c r="B35" s="19" t="s">
        <v>3</v>
      </c>
      <c r="C35" s="80">
        <v>1854.3190241750001</v>
      </c>
      <c r="D35" s="80">
        <v>2002.9648543779999</v>
      </c>
      <c r="E35" s="81">
        <v>2073.4321072669281</v>
      </c>
      <c r="F35" s="22" t="s">
        <v>241</v>
      </c>
      <c r="G35" s="23">
        <v>11.816363863786222</v>
      </c>
      <c r="H35" s="24">
        <v>3.5181472473121005</v>
      </c>
    </row>
    <row r="36" spans="1:9" ht="12.75" customHeight="1" x14ac:dyDescent="0.25">
      <c r="A36" s="200"/>
      <c r="B36" s="25" t="s">
        <v>242</v>
      </c>
      <c r="C36" s="82">
        <v>971.57967528999995</v>
      </c>
      <c r="D36" s="82">
        <v>1003.720588701</v>
      </c>
      <c r="E36" s="82">
        <v>1054.3515800069999</v>
      </c>
      <c r="F36" s="27"/>
      <c r="G36" s="28">
        <v>8.5193120875335353</v>
      </c>
      <c r="H36" s="29">
        <v>5.0443312487517886</v>
      </c>
    </row>
    <row r="37" spans="1:9" x14ac:dyDescent="0.25">
      <c r="A37" s="30" t="s">
        <v>62</v>
      </c>
      <c r="B37" s="31" t="s">
        <v>3</v>
      </c>
      <c r="C37" s="80">
        <v>340.48661844600002</v>
      </c>
      <c r="D37" s="80">
        <v>331.11124431500002</v>
      </c>
      <c r="E37" s="83">
        <v>325.92332395738765</v>
      </c>
      <c r="F37" s="22" t="s">
        <v>241</v>
      </c>
      <c r="G37" s="32">
        <v>-4.2772002480097626</v>
      </c>
      <c r="H37" s="33">
        <v>-1.5668209541917264</v>
      </c>
    </row>
    <row r="38" spans="1:9" x14ac:dyDescent="0.25">
      <c r="A38" s="34"/>
      <c r="B38" s="25" t="s">
        <v>242</v>
      </c>
      <c r="C38" s="82">
        <v>164.26656670099999</v>
      </c>
      <c r="D38" s="82">
        <v>170.42738867599999</v>
      </c>
      <c r="E38" s="82">
        <v>164.098688471</v>
      </c>
      <c r="F38" s="27"/>
      <c r="G38" s="35">
        <v>-0.10219866000215916</v>
      </c>
      <c r="H38" s="29">
        <v>-3.7134290762569293</v>
      </c>
    </row>
    <row r="39" spans="1:9" x14ac:dyDescent="0.25">
      <c r="A39" s="30" t="s">
        <v>47</v>
      </c>
      <c r="B39" s="31" t="s">
        <v>3</v>
      </c>
      <c r="C39" s="80">
        <v>185.55129931499999</v>
      </c>
      <c r="D39" s="80">
        <v>197.56926303700001</v>
      </c>
      <c r="E39" s="83">
        <v>203.40073869117123</v>
      </c>
      <c r="F39" s="22" t="s">
        <v>241</v>
      </c>
      <c r="G39" s="37">
        <v>9.6196790009372251</v>
      </c>
      <c r="H39" s="33">
        <v>2.9516107741309554</v>
      </c>
    </row>
    <row r="40" spans="1:9" x14ac:dyDescent="0.25">
      <c r="A40" s="34"/>
      <c r="B40" s="25" t="s">
        <v>242</v>
      </c>
      <c r="C40" s="82">
        <v>103.005242491</v>
      </c>
      <c r="D40" s="82">
        <v>121.903435055</v>
      </c>
      <c r="E40" s="82">
        <v>121.005045606</v>
      </c>
      <c r="F40" s="27"/>
      <c r="G40" s="28">
        <v>17.474647580750769</v>
      </c>
      <c r="H40" s="29">
        <v>-0.73696811627553416</v>
      </c>
    </row>
    <row r="41" spans="1:9" x14ac:dyDescent="0.25">
      <c r="A41" s="30" t="s">
        <v>48</v>
      </c>
      <c r="B41" s="31" t="s">
        <v>3</v>
      </c>
      <c r="C41" s="80">
        <v>844.96849012899997</v>
      </c>
      <c r="D41" s="80">
        <v>938.769700274</v>
      </c>
      <c r="E41" s="83">
        <v>1052.0554637840758</v>
      </c>
      <c r="F41" s="22" t="s">
        <v>241</v>
      </c>
      <c r="G41" s="23">
        <v>24.50824806774277</v>
      </c>
      <c r="H41" s="24">
        <v>12.067471231443761</v>
      </c>
    </row>
    <row r="42" spans="1:9" x14ac:dyDescent="0.25">
      <c r="A42" s="34"/>
      <c r="B42" s="25" t="s">
        <v>242</v>
      </c>
      <c r="C42" s="82">
        <v>447.56517011400001</v>
      </c>
      <c r="D42" s="82">
        <v>425.71004619899998</v>
      </c>
      <c r="E42" s="82">
        <v>501.11447703699997</v>
      </c>
      <c r="F42" s="27"/>
      <c r="G42" s="38">
        <v>11.964583148720067</v>
      </c>
      <c r="H42" s="24">
        <v>17.712626589683978</v>
      </c>
    </row>
    <row r="43" spans="1:9" x14ac:dyDescent="0.25">
      <c r="A43" s="30" t="s">
        <v>49</v>
      </c>
      <c r="B43" s="31" t="s">
        <v>3</v>
      </c>
      <c r="C43" s="80">
        <v>332.83289911999998</v>
      </c>
      <c r="D43" s="80">
        <v>383.68736754000003</v>
      </c>
      <c r="E43" s="83">
        <v>409.17787156967211</v>
      </c>
      <c r="F43" s="22" t="s">
        <v>241</v>
      </c>
      <c r="G43" s="37">
        <v>22.937928507526124</v>
      </c>
      <c r="H43" s="33">
        <v>6.6435609264656534</v>
      </c>
    </row>
    <row r="44" spans="1:9" x14ac:dyDescent="0.25">
      <c r="A44" s="34"/>
      <c r="B44" s="25" t="s">
        <v>242</v>
      </c>
      <c r="C44" s="82">
        <v>171.53880273199999</v>
      </c>
      <c r="D44" s="82">
        <v>192.77290721200001</v>
      </c>
      <c r="E44" s="82">
        <v>207.318756748</v>
      </c>
      <c r="F44" s="27"/>
      <c r="G44" s="28">
        <v>20.85822766986432</v>
      </c>
      <c r="H44" s="29">
        <v>7.545588094494704</v>
      </c>
    </row>
    <row r="45" spans="1:9" x14ac:dyDescent="0.25">
      <c r="A45" s="30" t="s">
        <v>50</v>
      </c>
      <c r="B45" s="31" t="s">
        <v>3</v>
      </c>
      <c r="C45" s="80">
        <v>150.47971716500001</v>
      </c>
      <c r="D45" s="80">
        <v>151.82727921200001</v>
      </c>
      <c r="E45" s="83">
        <v>102.05687127174801</v>
      </c>
      <c r="F45" s="22" t="s">
        <v>241</v>
      </c>
      <c r="G45" s="37">
        <v>-32.178985185197192</v>
      </c>
      <c r="H45" s="33">
        <v>-32.780939103016138</v>
      </c>
    </row>
    <row r="46" spans="1:9" ht="13.8" thickBot="1" x14ac:dyDescent="0.3">
      <c r="A46" s="56"/>
      <c r="B46" s="42" t="s">
        <v>242</v>
      </c>
      <c r="C46" s="86">
        <v>85.203893250999997</v>
      </c>
      <c r="D46" s="86">
        <v>92.906811559000005</v>
      </c>
      <c r="E46" s="86">
        <v>60.814612144999998</v>
      </c>
      <c r="F46" s="44"/>
      <c r="G46" s="57">
        <v>-28.624608777150868</v>
      </c>
      <c r="H46" s="46">
        <v>-34.542353650377962</v>
      </c>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121"/>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243</v>
      </c>
      <c r="G61" s="53"/>
      <c r="H61" s="202">
        <v>24</v>
      </c>
    </row>
    <row r="62" spans="1:9" ht="12.75" customHeight="1" x14ac:dyDescent="0.25">
      <c r="A62" s="54" t="s">
        <v>244</v>
      </c>
      <c r="G62" s="53"/>
      <c r="H62" s="195"/>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5" t="s">
        <v>0</v>
      </c>
      <c r="B2" s="2"/>
      <c r="C2" s="2"/>
      <c r="D2" s="2"/>
      <c r="E2" s="2"/>
      <c r="F2" s="2"/>
      <c r="G2" s="2"/>
    </row>
    <row r="3" spans="1:8" ht="6" customHeight="1" x14ac:dyDescent="0.25">
      <c r="A3" s="3"/>
      <c r="B3" s="2"/>
      <c r="C3" s="2"/>
      <c r="D3" s="2"/>
      <c r="E3" s="2"/>
      <c r="F3" s="2"/>
      <c r="G3" s="2"/>
    </row>
    <row r="4" spans="1:8" ht="16.2" thickBot="1" x14ac:dyDescent="0.35">
      <c r="A4" s="4" t="s">
        <v>156</v>
      </c>
      <c r="B4" s="5"/>
      <c r="C4" s="5"/>
      <c r="D4" s="5"/>
      <c r="E4" s="5"/>
      <c r="F4" s="5"/>
      <c r="G4" s="5"/>
      <c r="H4" s="6"/>
    </row>
    <row r="5" spans="1:8" x14ac:dyDescent="0.25">
      <c r="A5" s="7"/>
      <c r="B5" s="8"/>
      <c r="C5" s="9"/>
      <c r="D5" s="8"/>
      <c r="E5" s="10"/>
      <c r="F5" s="11"/>
      <c r="G5" s="197" t="s">
        <v>1</v>
      </c>
      <c r="H5" s="198"/>
    </row>
    <row r="6" spans="1:8" x14ac:dyDescent="0.25">
      <c r="A6" s="12"/>
      <c r="B6" s="13"/>
      <c r="C6" s="14" t="s">
        <v>236</v>
      </c>
      <c r="D6" s="15" t="s">
        <v>237</v>
      </c>
      <c r="E6" s="15" t="s">
        <v>238</v>
      </c>
      <c r="F6" s="16"/>
      <c r="G6" s="17" t="s">
        <v>239</v>
      </c>
      <c r="H6" s="18" t="s">
        <v>240</v>
      </c>
    </row>
    <row r="7" spans="1:8" x14ac:dyDescent="0.25">
      <c r="A7" s="199" t="s">
        <v>51</v>
      </c>
      <c r="B7" s="19" t="s">
        <v>3</v>
      </c>
      <c r="C7" s="20">
        <v>10634</v>
      </c>
      <c r="D7" s="20">
        <v>10720.65475</v>
      </c>
      <c r="E7" s="79">
        <v>9310.4088834790837</v>
      </c>
      <c r="F7" s="22" t="s">
        <v>241</v>
      </c>
      <c r="G7" s="23">
        <v>-12.446784996435184</v>
      </c>
      <c r="H7" s="24">
        <v>-13.154475164130403</v>
      </c>
    </row>
    <row r="8" spans="1:8" x14ac:dyDescent="0.25">
      <c r="A8" s="200"/>
      <c r="B8" s="25" t="s">
        <v>242</v>
      </c>
      <c r="C8" s="26">
        <v>4229</v>
      </c>
      <c r="D8" s="26">
        <v>4932.3952618450003</v>
      </c>
      <c r="E8" s="26">
        <v>4070.6695760600001</v>
      </c>
      <c r="F8" s="27"/>
      <c r="G8" s="28">
        <v>-3.7439211146843263</v>
      </c>
      <c r="H8" s="29">
        <v>-17.470734603346955</v>
      </c>
    </row>
    <row r="9" spans="1:8" x14ac:dyDescent="0.25">
      <c r="A9" s="30" t="s">
        <v>12</v>
      </c>
      <c r="B9" s="31" t="s">
        <v>3</v>
      </c>
      <c r="C9" s="20">
        <v>238</v>
      </c>
      <c r="D9" s="20">
        <v>306.61500000000001</v>
      </c>
      <c r="E9" s="21">
        <v>258.00398883050747</v>
      </c>
      <c r="F9" s="22" t="s">
        <v>241</v>
      </c>
      <c r="G9" s="32">
        <v>8.4050373237426186</v>
      </c>
      <c r="H9" s="33">
        <v>-15.854087754836698</v>
      </c>
    </row>
    <row r="10" spans="1:8" x14ac:dyDescent="0.25">
      <c r="A10" s="34"/>
      <c r="B10" s="25" t="s">
        <v>242</v>
      </c>
      <c r="C10" s="26">
        <v>67</v>
      </c>
      <c r="D10" s="26">
        <v>122.37675</v>
      </c>
      <c r="E10" s="26">
        <v>90.387749999999997</v>
      </c>
      <c r="F10" s="27"/>
      <c r="G10" s="35">
        <v>34.907089552238801</v>
      </c>
      <c r="H10" s="29">
        <v>-26.139769196354706</v>
      </c>
    </row>
    <row r="11" spans="1:8" x14ac:dyDescent="0.25">
      <c r="A11" s="30" t="s">
        <v>18</v>
      </c>
      <c r="B11" s="31" t="s">
        <v>3</v>
      </c>
      <c r="C11" s="20">
        <v>343</v>
      </c>
      <c r="D11" s="20">
        <v>338.64600000000002</v>
      </c>
      <c r="E11" s="21">
        <v>248.23145959459976</v>
      </c>
      <c r="F11" s="22" t="s">
        <v>241</v>
      </c>
      <c r="G11" s="37">
        <v>-27.629312071545257</v>
      </c>
      <c r="H11" s="33">
        <v>-26.698836072299756</v>
      </c>
    </row>
    <row r="12" spans="1:8" x14ac:dyDescent="0.25">
      <c r="A12" s="34"/>
      <c r="B12" s="25" t="s">
        <v>242</v>
      </c>
      <c r="C12" s="26">
        <v>122</v>
      </c>
      <c r="D12" s="26">
        <v>188.1507</v>
      </c>
      <c r="E12" s="26">
        <v>116.1551</v>
      </c>
      <c r="F12" s="27"/>
      <c r="G12" s="28">
        <v>-4.7909016393442556</v>
      </c>
      <c r="H12" s="29">
        <v>-38.264858966775037</v>
      </c>
    </row>
    <row r="13" spans="1:8" x14ac:dyDescent="0.25">
      <c r="A13" s="30" t="s">
        <v>63</v>
      </c>
      <c r="B13" s="31" t="s">
        <v>3</v>
      </c>
      <c r="C13" s="20">
        <v>1667</v>
      </c>
      <c r="D13" s="20">
        <v>1565.0562500000001</v>
      </c>
      <c r="E13" s="21">
        <v>1340.5249262648638</v>
      </c>
      <c r="F13" s="22" t="s">
        <v>241</v>
      </c>
      <c r="G13" s="23">
        <v>-19.584587506606852</v>
      </c>
      <c r="H13" s="24">
        <v>-14.346533789768657</v>
      </c>
    </row>
    <row r="14" spans="1:8" x14ac:dyDescent="0.25">
      <c r="A14" s="34"/>
      <c r="B14" s="25" t="s">
        <v>242</v>
      </c>
      <c r="C14" s="26">
        <v>697</v>
      </c>
      <c r="D14" s="26">
        <v>668.41281249999997</v>
      </c>
      <c r="E14" s="26">
        <v>568.45406249999996</v>
      </c>
      <c r="F14" s="27"/>
      <c r="G14" s="38">
        <v>-18.442745695839307</v>
      </c>
      <c r="H14" s="24">
        <v>-14.95464301860612</v>
      </c>
    </row>
    <row r="15" spans="1:8" x14ac:dyDescent="0.25">
      <c r="A15" s="30" t="s">
        <v>52</v>
      </c>
      <c r="B15" s="31" t="s">
        <v>3</v>
      </c>
      <c r="C15" s="20">
        <v>5252</v>
      </c>
      <c r="D15" s="20">
        <v>5084.2624999999998</v>
      </c>
      <c r="E15" s="21">
        <v>4685.644593727613</v>
      </c>
      <c r="F15" s="22" t="s">
        <v>241</v>
      </c>
      <c r="G15" s="37">
        <v>-10.783613980814678</v>
      </c>
      <c r="H15" s="33">
        <v>-7.8402306386105636</v>
      </c>
    </row>
    <row r="16" spans="1:8" x14ac:dyDescent="0.25">
      <c r="A16" s="34"/>
      <c r="B16" s="25" t="s">
        <v>242</v>
      </c>
      <c r="C16" s="26">
        <v>1862</v>
      </c>
      <c r="D16" s="26">
        <v>2330.5931249999999</v>
      </c>
      <c r="E16" s="26">
        <v>1956.785625</v>
      </c>
      <c r="F16" s="27"/>
      <c r="G16" s="28">
        <v>5.0905276584317818</v>
      </c>
      <c r="H16" s="29">
        <v>-16.039157414059559</v>
      </c>
    </row>
    <row r="17" spans="1:9" x14ac:dyDescent="0.25">
      <c r="A17" s="30" t="s">
        <v>50</v>
      </c>
      <c r="B17" s="31" t="s">
        <v>3</v>
      </c>
      <c r="C17" s="20">
        <v>3985</v>
      </c>
      <c r="D17" s="20">
        <v>4204.0749999999998</v>
      </c>
      <c r="E17" s="21">
        <v>3482.424936138475</v>
      </c>
      <c r="F17" s="22" t="s">
        <v>241</v>
      </c>
      <c r="G17" s="37">
        <v>-12.611670360389581</v>
      </c>
      <c r="H17" s="33">
        <v>-17.165489765561375</v>
      </c>
    </row>
    <row r="18" spans="1:9" ht="13.8" thickBot="1" x14ac:dyDescent="0.3">
      <c r="A18" s="56"/>
      <c r="B18" s="42" t="s">
        <v>242</v>
      </c>
      <c r="C18" s="43">
        <v>1735</v>
      </c>
      <c r="D18" s="43">
        <v>1860.88375</v>
      </c>
      <c r="E18" s="43">
        <v>1532.93875</v>
      </c>
      <c r="F18" s="44"/>
      <c r="G18" s="57">
        <v>-11.64618155619597</v>
      </c>
      <c r="H18" s="46">
        <v>-17.623078282025944</v>
      </c>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70</v>
      </c>
      <c r="B32" s="5"/>
      <c r="C32" s="5"/>
      <c r="D32" s="5"/>
      <c r="E32" s="5"/>
      <c r="F32" s="5"/>
      <c r="G32" s="5"/>
      <c r="H32" s="6"/>
    </row>
    <row r="33" spans="1:9" x14ac:dyDescent="0.25">
      <c r="A33" s="7"/>
      <c r="B33" s="8"/>
      <c r="C33" s="203" t="s">
        <v>16</v>
      </c>
      <c r="D33" s="197"/>
      <c r="E33" s="197"/>
      <c r="F33" s="204"/>
      <c r="G33" s="197" t="s">
        <v>1</v>
      </c>
      <c r="H33" s="198"/>
    </row>
    <row r="34" spans="1:9" x14ac:dyDescent="0.25">
      <c r="A34" s="12"/>
      <c r="B34" s="13"/>
      <c r="C34" s="14" t="s">
        <v>236</v>
      </c>
      <c r="D34" s="15" t="s">
        <v>237</v>
      </c>
      <c r="E34" s="15" t="s">
        <v>238</v>
      </c>
      <c r="F34" s="16"/>
      <c r="G34" s="17" t="s">
        <v>239</v>
      </c>
      <c r="H34" s="18" t="s">
        <v>240</v>
      </c>
    </row>
    <row r="35" spans="1:9" ht="12.75" customHeight="1" x14ac:dyDescent="0.25">
      <c r="A35" s="199" t="s">
        <v>51</v>
      </c>
      <c r="B35" s="19" t="s">
        <v>3</v>
      </c>
      <c r="C35" s="80">
        <v>477.56383193200003</v>
      </c>
      <c r="D35" s="80">
        <v>470.83394949500001</v>
      </c>
      <c r="E35" s="81">
        <v>400.59822075801435</v>
      </c>
      <c r="F35" s="22" t="s">
        <v>241</v>
      </c>
      <c r="G35" s="23">
        <v>-16.116298184185922</v>
      </c>
      <c r="H35" s="24">
        <v>-14.91730339588257</v>
      </c>
    </row>
    <row r="36" spans="1:9" ht="12.75" customHeight="1" x14ac:dyDescent="0.25">
      <c r="A36" s="200"/>
      <c r="B36" s="25" t="s">
        <v>242</v>
      </c>
      <c r="C36" s="82">
        <v>187.188588004</v>
      </c>
      <c r="D36" s="82">
        <v>233.82959979200001</v>
      </c>
      <c r="E36" s="82">
        <v>182.68802268300001</v>
      </c>
      <c r="F36" s="27"/>
      <c r="G36" s="28">
        <v>-2.4042947110129376</v>
      </c>
      <c r="H36" s="29">
        <v>-21.871301646366547</v>
      </c>
    </row>
    <row r="37" spans="1:9" x14ac:dyDescent="0.25">
      <c r="A37" s="30" t="s">
        <v>12</v>
      </c>
      <c r="B37" s="31" t="s">
        <v>3</v>
      </c>
      <c r="C37" s="80">
        <v>2.4255834279999999</v>
      </c>
      <c r="D37" s="80">
        <v>4.2717729960000002</v>
      </c>
      <c r="E37" s="83">
        <v>3.8530340801746421</v>
      </c>
      <c r="F37" s="22" t="s">
        <v>241</v>
      </c>
      <c r="G37" s="32">
        <v>58.849785816340187</v>
      </c>
      <c r="H37" s="33">
        <v>-9.8024617932052251</v>
      </c>
    </row>
    <row r="38" spans="1:9" x14ac:dyDescent="0.25">
      <c r="A38" s="34"/>
      <c r="B38" s="25" t="s">
        <v>242</v>
      </c>
      <c r="C38" s="82">
        <v>0.83254449699999999</v>
      </c>
      <c r="D38" s="82">
        <v>1.0686604790000001</v>
      </c>
      <c r="E38" s="82">
        <v>1.059681713</v>
      </c>
      <c r="F38" s="27"/>
      <c r="G38" s="35">
        <v>27.282291435288911</v>
      </c>
      <c r="H38" s="29">
        <v>-0.84018883232229769</v>
      </c>
    </row>
    <row r="39" spans="1:9" x14ac:dyDescent="0.25">
      <c r="A39" s="30" t="s">
        <v>18</v>
      </c>
      <c r="B39" s="31" t="s">
        <v>3</v>
      </c>
      <c r="C39" s="80">
        <v>40.554687244999997</v>
      </c>
      <c r="D39" s="80">
        <v>40.623181451999997</v>
      </c>
      <c r="E39" s="83">
        <v>31.598428669049294</v>
      </c>
      <c r="F39" s="22" t="s">
        <v>241</v>
      </c>
      <c r="G39" s="37">
        <v>-22.08439809150525</v>
      </c>
      <c r="H39" s="33">
        <v>-22.215770553604415</v>
      </c>
    </row>
    <row r="40" spans="1:9" x14ac:dyDescent="0.25">
      <c r="A40" s="34"/>
      <c r="B40" s="25" t="s">
        <v>242</v>
      </c>
      <c r="C40" s="82">
        <v>18.910603167000001</v>
      </c>
      <c r="D40" s="82">
        <v>20.135998600000001</v>
      </c>
      <c r="E40" s="82">
        <v>15.340461014000001</v>
      </c>
      <c r="F40" s="27"/>
      <c r="G40" s="28">
        <v>-18.879049607630108</v>
      </c>
      <c r="H40" s="29">
        <v>-23.815742547777091</v>
      </c>
    </row>
    <row r="41" spans="1:9" x14ac:dyDescent="0.25">
      <c r="A41" s="30" t="s">
        <v>63</v>
      </c>
      <c r="B41" s="31" t="s">
        <v>3</v>
      </c>
      <c r="C41" s="80">
        <v>72.536989778000006</v>
      </c>
      <c r="D41" s="80">
        <v>66.485574937999999</v>
      </c>
      <c r="E41" s="83">
        <v>54.530239285917311</v>
      </c>
      <c r="F41" s="22" t="s">
        <v>241</v>
      </c>
      <c r="G41" s="23">
        <v>-24.82423181220021</v>
      </c>
      <c r="H41" s="24">
        <v>-17.981848939760894</v>
      </c>
    </row>
    <row r="42" spans="1:9" x14ac:dyDescent="0.25">
      <c r="A42" s="34"/>
      <c r="B42" s="25" t="s">
        <v>242</v>
      </c>
      <c r="C42" s="82">
        <v>32.089878652000003</v>
      </c>
      <c r="D42" s="82">
        <v>33.226286588000001</v>
      </c>
      <c r="E42" s="82">
        <v>26.122610181999999</v>
      </c>
      <c r="F42" s="27"/>
      <c r="G42" s="38">
        <v>-18.595484684477285</v>
      </c>
      <c r="H42" s="24">
        <v>-21.379687998494433</v>
      </c>
    </row>
    <row r="43" spans="1:9" x14ac:dyDescent="0.25">
      <c r="A43" s="30" t="s">
        <v>52</v>
      </c>
      <c r="B43" s="31" t="s">
        <v>3</v>
      </c>
      <c r="C43" s="80">
        <v>241.55026013400001</v>
      </c>
      <c r="D43" s="80">
        <v>229.37284227699999</v>
      </c>
      <c r="E43" s="83">
        <v>206.24158899320039</v>
      </c>
      <c r="F43" s="22" t="s">
        <v>241</v>
      </c>
      <c r="G43" s="37">
        <v>-14.617525611941858</v>
      </c>
      <c r="H43" s="33">
        <v>-10.084564961646748</v>
      </c>
    </row>
    <row r="44" spans="1:9" x14ac:dyDescent="0.25">
      <c r="A44" s="34"/>
      <c r="B44" s="25" t="s">
        <v>242</v>
      </c>
      <c r="C44" s="82">
        <v>84.432122285000005</v>
      </c>
      <c r="D44" s="82">
        <v>111.376226839</v>
      </c>
      <c r="E44" s="82">
        <v>88.645508840999995</v>
      </c>
      <c r="F44" s="27"/>
      <c r="G44" s="28">
        <v>4.9902648920486996</v>
      </c>
      <c r="H44" s="29">
        <v>-20.408949596450611</v>
      </c>
    </row>
    <row r="45" spans="1:9" x14ac:dyDescent="0.25">
      <c r="A45" s="30" t="s">
        <v>50</v>
      </c>
      <c r="B45" s="31" t="s">
        <v>3</v>
      </c>
      <c r="C45" s="80">
        <v>120.496311346</v>
      </c>
      <c r="D45" s="80">
        <v>130.080577831</v>
      </c>
      <c r="E45" s="83">
        <v>106.31725805049217</v>
      </c>
      <c r="F45" s="22" t="s">
        <v>241</v>
      </c>
      <c r="G45" s="37">
        <v>-11.767209416720874</v>
      </c>
      <c r="H45" s="33">
        <v>-18.268153614278219</v>
      </c>
    </row>
    <row r="46" spans="1:9" ht="13.8" thickBot="1" x14ac:dyDescent="0.3">
      <c r="A46" s="56"/>
      <c r="B46" s="42" t="s">
        <v>242</v>
      </c>
      <c r="C46" s="86">
        <v>50.923439404</v>
      </c>
      <c r="D46" s="86">
        <v>68.022427285000006</v>
      </c>
      <c r="E46" s="86">
        <v>51.519760933000001</v>
      </c>
      <c r="F46" s="44"/>
      <c r="G46" s="57">
        <v>1.1710158150730905</v>
      </c>
      <c r="H46" s="46">
        <v>-24.260625518194487</v>
      </c>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121"/>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243</v>
      </c>
      <c r="H61" s="194">
        <v>25</v>
      </c>
    </row>
    <row r="62" spans="1:9" ht="12.75" customHeight="1" x14ac:dyDescent="0.25">
      <c r="A62" s="54" t="s">
        <v>244</v>
      </c>
      <c r="H62" s="195"/>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5" t="s">
        <v>0</v>
      </c>
      <c r="B2" s="2"/>
      <c r="C2" s="2"/>
      <c r="D2" s="2"/>
      <c r="E2" s="2"/>
      <c r="F2" s="2"/>
      <c r="G2" s="2"/>
    </row>
    <row r="3" spans="1:8" ht="6" customHeight="1" x14ac:dyDescent="0.25">
      <c r="A3" s="3"/>
      <c r="B3" s="2"/>
      <c r="C3" s="2"/>
      <c r="D3" s="2"/>
      <c r="E3" s="2"/>
      <c r="F3" s="2"/>
      <c r="G3" s="2"/>
    </row>
    <row r="4" spans="1:8" ht="16.2" thickBot="1" x14ac:dyDescent="0.35">
      <c r="A4" s="4" t="s">
        <v>157</v>
      </c>
      <c r="B4" s="5"/>
      <c r="C4" s="5"/>
      <c r="D4" s="5"/>
      <c r="E4" s="5"/>
      <c r="F4" s="5"/>
      <c r="G4" s="5"/>
      <c r="H4" s="6"/>
    </row>
    <row r="5" spans="1:8" x14ac:dyDescent="0.25">
      <c r="A5" s="7"/>
      <c r="B5" s="8"/>
      <c r="C5" s="9"/>
      <c r="D5" s="8"/>
      <c r="E5" s="10"/>
      <c r="F5" s="11"/>
      <c r="G5" s="197" t="s">
        <v>1</v>
      </c>
      <c r="H5" s="198"/>
    </row>
    <row r="6" spans="1:8" x14ac:dyDescent="0.25">
      <c r="A6" s="12"/>
      <c r="B6" s="13"/>
      <c r="C6" s="14" t="s">
        <v>236</v>
      </c>
      <c r="D6" s="15" t="s">
        <v>237</v>
      </c>
      <c r="E6" s="15" t="s">
        <v>238</v>
      </c>
      <c r="F6" s="16"/>
      <c r="G6" s="17" t="s">
        <v>239</v>
      </c>
      <c r="H6" s="18" t="s">
        <v>240</v>
      </c>
    </row>
    <row r="7" spans="1:8" ht="12.75" customHeight="1" x14ac:dyDescent="0.25">
      <c r="A7" s="199" t="s">
        <v>64</v>
      </c>
      <c r="B7" s="19" t="s">
        <v>3</v>
      </c>
      <c r="C7" s="20">
        <v>8890</v>
      </c>
      <c r="D7" s="20">
        <v>9026</v>
      </c>
      <c r="E7" s="79">
        <v>8747.65546631299</v>
      </c>
      <c r="F7" s="22" t="s">
        <v>241</v>
      </c>
      <c r="G7" s="23">
        <v>-1.6011758569967327</v>
      </c>
      <c r="H7" s="24">
        <v>-3.0838082615445472</v>
      </c>
    </row>
    <row r="8" spans="1:8" ht="12.75" customHeight="1" x14ac:dyDescent="0.25">
      <c r="A8" s="200"/>
      <c r="B8" s="25" t="s">
        <v>242</v>
      </c>
      <c r="C8" s="26">
        <v>4395</v>
      </c>
      <c r="D8" s="26">
        <v>5188.4620000000004</v>
      </c>
      <c r="E8" s="26">
        <v>4769.7039999999997</v>
      </c>
      <c r="F8" s="27"/>
      <c r="G8" s="28">
        <v>8.5256882821387734</v>
      </c>
      <c r="H8" s="29">
        <v>-8.0709466504717682</v>
      </c>
    </row>
    <row r="9" spans="1:8" x14ac:dyDescent="0.25">
      <c r="A9" s="30" t="s">
        <v>53</v>
      </c>
      <c r="B9" s="31" t="s">
        <v>3</v>
      </c>
      <c r="C9" s="20">
        <v>3</v>
      </c>
      <c r="D9" s="20">
        <v>1.22</v>
      </c>
      <c r="E9" s="21">
        <v>5.9544565766179725</v>
      </c>
      <c r="F9" s="22" t="s">
        <v>241</v>
      </c>
      <c r="G9" s="32">
        <v>98.481885887265747</v>
      </c>
      <c r="H9" s="33">
        <v>388.0702111981945</v>
      </c>
    </row>
    <row r="10" spans="1:8" x14ac:dyDescent="0.25">
      <c r="A10" s="34"/>
      <c r="B10" s="25" t="s">
        <v>242</v>
      </c>
      <c r="C10" s="26">
        <v>2</v>
      </c>
      <c r="D10" s="26">
        <v>1.0446200000000001</v>
      </c>
      <c r="E10" s="26">
        <v>4.6570400000000003</v>
      </c>
      <c r="F10" s="27"/>
      <c r="G10" s="35">
        <v>132.852</v>
      </c>
      <c r="H10" s="29">
        <v>345.81187417434086</v>
      </c>
    </row>
    <row r="11" spans="1:8" x14ac:dyDescent="0.25">
      <c r="A11" s="30" t="s">
        <v>54</v>
      </c>
      <c r="B11" s="31" t="s">
        <v>3</v>
      </c>
      <c r="C11" s="20">
        <v>805</v>
      </c>
      <c r="D11" s="20">
        <v>841.1</v>
      </c>
      <c r="E11" s="21">
        <v>841.5187901200004</v>
      </c>
      <c r="F11" s="22" t="s">
        <v>241</v>
      </c>
      <c r="G11" s="37">
        <v>4.5364956670807857</v>
      </c>
      <c r="H11" s="33">
        <v>4.9790764475133642E-2</v>
      </c>
    </row>
    <row r="12" spans="1:8" x14ac:dyDescent="0.25">
      <c r="A12" s="34"/>
      <c r="B12" s="25" t="s">
        <v>242</v>
      </c>
      <c r="C12" s="26">
        <v>348</v>
      </c>
      <c r="D12" s="26">
        <v>426.22309999999999</v>
      </c>
      <c r="E12" s="26">
        <v>403.28519999999997</v>
      </c>
      <c r="F12" s="27"/>
      <c r="G12" s="28">
        <v>15.886551724137931</v>
      </c>
      <c r="H12" s="29">
        <v>-5.3816651420347767</v>
      </c>
    </row>
    <row r="13" spans="1:8" x14ac:dyDescent="0.25">
      <c r="A13" s="30" t="s">
        <v>66</v>
      </c>
      <c r="B13" s="31" t="s">
        <v>3</v>
      </c>
      <c r="C13" s="20">
        <v>65</v>
      </c>
      <c r="D13" s="20">
        <v>82.44</v>
      </c>
      <c r="E13" s="21">
        <v>106.39938602313168</v>
      </c>
      <c r="F13" s="22" t="s">
        <v>241</v>
      </c>
      <c r="G13" s="23">
        <v>63.691363112510288</v>
      </c>
      <c r="H13" s="24">
        <v>29.062816621945274</v>
      </c>
    </row>
    <row r="14" spans="1:8" x14ac:dyDescent="0.25">
      <c r="A14" s="34"/>
      <c r="B14" s="25" t="s">
        <v>242</v>
      </c>
      <c r="C14" s="26">
        <v>23</v>
      </c>
      <c r="D14" s="26">
        <v>39.089239999999997</v>
      </c>
      <c r="E14" s="26">
        <v>45.314079999999997</v>
      </c>
      <c r="F14" s="27"/>
      <c r="G14" s="38">
        <v>97.017739130434762</v>
      </c>
      <c r="H14" s="24">
        <v>15.924689249522373</v>
      </c>
    </row>
    <row r="15" spans="1:8" x14ac:dyDescent="0.25">
      <c r="A15" s="30" t="s">
        <v>55</v>
      </c>
      <c r="B15" s="31" t="s">
        <v>3</v>
      </c>
      <c r="C15" s="20">
        <v>6204</v>
      </c>
      <c r="D15" s="20">
        <v>5947.6</v>
      </c>
      <c r="E15" s="21">
        <v>6267.6497586092937</v>
      </c>
      <c r="F15" s="22" t="s">
        <v>241</v>
      </c>
      <c r="G15" s="37">
        <v>1.0259471084670224</v>
      </c>
      <c r="H15" s="33">
        <v>5.3811580908146794</v>
      </c>
    </row>
    <row r="16" spans="1:8" x14ac:dyDescent="0.25">
      <c r="A16" s="34"/>
      <c r="B16" s="25" t="s">
        <v>242</v>
      </c>
      <c r="C16" s="26">
        <v>3106</v>
      </c>
      <c r="D16" s="26">
        <v>3400.5695999999998</v>
      </c>
      <c r="E16" s="26">
        <v>3421.5632000000001</v>
      </c>
      <c r="F16" s="27"/>
      <c r="G16" s="28">
        <v>10.159793947198963</v>
      </c>
      <c r="H16" s="29">
        <v>0.61735539834269559</v>
      </c>
    </row>
    <row r="17" spans="1:9" x14ac:dyDescent="0.25">
      <c r="A17" s="30" t="s">
        <v>67</v>
      </c>
      <c r="B17" s="31" t="s">
        <v>3</v>
      </c>
      <c r="C17" s="20">
        <v>884</v>
      </c>
      <c r="D17" s="20">
        <v>956.1</v>
      </c>
      <c r="E17" s="21">
        <v>394.76240886972812</v>
      </c>
      <c r="F17" s="22" t="s">
        <v>241</v>
      </c>
      <c r="G17" s="37">
        <v>-55.343618906139355</v>
      </c>
      <c r="H17" s="33">
        <v>-58.711179911125605</v>
      </c>
    </row>
    <row r="18" spans="1:9" x14ac:dyDescent="0.25">
      <c r="A18" s="30"/>
      <c r="B18" s="25" t="s">
        <v>242</v>
      </c>
      <c r="C18" s="26">
        <v>435</v>
      </c>
      <c r="D18" s="26">
        <v>754.22310000000004</v>
      </c>
      <c r="E18" s="26">
        <v>259.28519999999997</v>
      </c>
      <c r="F18" s="27"/>
      <c r="G18" s="28">
        <v>-40.394206896551729</v>
      </c>
      <c r="H18" s="29">
        <v>-65.622214434959631</v>
      </c>
    </row>
    <row r="19" spans="1:9" x14ac:dyDescent="0.25">
      <c r="A19" s="39" t="s">
        <v>56</v>
      </c>
      <c r="B19" s="31" t="s">
        <v>3</v>
      </c>
      <c r="C19" s="20">
        <v>24</v>
      </c>
      <c r="D19" s="20">
        <v>13.22</v>
      </c>
      <c r="E19" s="21">
        <v>23.366387179975483</v>
      </c>
      <c r="F19" s="22" t="s">
        <v>241</v>
      </c>
      <c r="G19" s="23">
        <v>-2.6400534167688221</v>
      </c>
      <c r="H19" s="24">
        <v>76.750281240359158</v>
      </c>
    </row>
    <row r="20" spans="1:9" x14ac:dyDescent="0.25">
      <c r="A20" s="34"/>
      <c r="B20" s="25" t="s">
        <v>242</v>
      </c>
      <c r="C20" s="26">
        <v>13</v>
      </c>
      <c r="D20" s="26">
        <v>8.0446200000000001</v>
      </c>
      <c r="E20" s="26">
        <v>13.65704</v>
      </c>
      <c r="F20" s="27"/>
      <c r="G20" s="38">
        <v>5.054153846153838</v>
      </c>
      <c r="H20" s="24">
        <v>69.766129413197888</v>
      </c>
    </row>
    <row r="21" spans="1:9" x14ac:dyDescent="0.25">
      <c r="A21" s="39" t="s">
        <v>68</v>
      </c>
      <c r="B21" s="31" t="s">
        <v>3</v>
      </c>
      <c r="C21" s="20">
        <v>44</v>
      </c>
      <c r="D21" s="20">
        <v>60.22</v>
      </c>
      <c r="E21" s="21">
        <v>72.174329709938803</v>
      </c>
      <c r="F21" s="22" t="s">
        <v>241</v>
      </c>
      <c r="G21" s="37">
        <v>64.032567522588181</v>
      </c>
      <c r="H21" s="33">
        <v>19.851095499732324</v>
      </c>
    </row>
    <row r="22" spans="1:9" x14ac:dyDescent="0.25">
      <c r="A22" s="34"/>
      <c r="B22" s="25" t="s">
        <v>242</v>
      </c>
      <c r="C22" s="26">
        <v>25</v>
      </c>
      <c r="D22" s="26">
        <v>29.044619999999998</v>
      </c>
      <c r="E22" s="26">
        <v>36.657040000000002</v>
      </c>
      <c r="F22" s="27"/>
      <c r="G22" s="28">
        <v>46.628160000000008</v>
      </c>
      <c r="H22" s="29">
        <v>26.209397816187646</v>
      </c>
    </row>
    <row r="23" spans="1:9" x14ac:dyDescent="0.25">
      <c r="A23" s="30" t="s">
        <v>69</v>
      </c>
      <c r="B23" s="31" t="s">
        <v>3</v>
      </c>
      <c r="C23" s="20">
        <v>906</v>
      </c>
      <c r="D23" s="20">
        <v>1173.0999999999999</v>
      </c>
      <c r="E23" s="21">
        <v>1239.7728946291322</v>
      </c>
      <c r="F23" s="22" t="s">
        <v>241</v>
      </c>
      <c r="G23" s="23">
        <v>36.840275345378842</v>
      </c>
      <c r="H23" s="24">
        <v>5.6834792114169659</v>
      </c>
    </row>
    <row r="24" spans="1:9" ht="13.8" thickBot="1" x14ac:dyDescent="0.3">
      <c r="A24" s="56"/>
      <c r="B24" s="42" t="s">
        <v>242</v>
      </c>
      <c r="C24" s="43">
        <v>461</v>
      </c>
      <c r="D24" s="43">
        <v>553.22310000000004</v>
      </c>
      <c r="E24" s="43">
        <v>599.28520000000003</v>
      </c>
      <c r="F24" s="44"/>
      <c r="G24" s="57">
        <v>29.996789587852504</v>
      </c>
      <c r="H24" s="46">
        <v>8.3261346100696159</v>
      </c>
    </row>
    <row r="25" spans="1:9" x14ac:dyDescent="0.25">
      <c r="A25" s="58"/>
      <c r="B25" s="58"/>
      <c r="C25" s="64"/>
      <c r="D25" s="64"/>
      <c r="E25" s="21"/>
      <c r="F25" s="59"/>
      <c r="G25" s="38"/>
      <c r="H25" s="60"/>
      <c r="I25" s="61"/>
    </row>
    <row r="26" spans="1:9" x14ac:dyDescent="0.25">
      <c r="A26" s="58"/>
      <c r="B26" s="58"/>
      <c r="C26" s="64"/>
      <c r="D26" s="64"/>
      <c r="E26" s="21"/>
      <c r="F26" s="59"/>
      <c r="G26" s="38"/>
      <c r="H26" s="60"/>
      <c r="I26" s="61"/>
    </row>
    <row r="27" spans="1:9" x14ac:dyDescent="0.25">
      <c r="A27" s="58"/>
      <c r="B27" s="58"/>
      <c r="C27" s="64"/>
      <c r="D27" s="64"/>
      <c r="E27" s="21"/>
      <c r="F27" s="59"/>
      <c r="G27" s="38"/>
      <c r="H27" s="60"/>
      <c r="I27" s="61"/>
    </row>
    <row r="28" spans="1:9" x14ac:dyDescent="0.25">
      <c r="A28" s="58"/>
      <c r="B28" s="58"/>
      <c r="C28" s="64"/>
      <c r="D28" s="64"/>
      <c r="E28" s="21"/>
      <c r="F28" s="59"/>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65</v>
      </c>
      <c r="B32" s="5"/>
      <c r="C32" s="5"/>
      <c r="D32" s="5"/>
      <c r="E32" s="5"/>
      <c r="F32" s="5"/>
      <c r="G32" s="5"/>
      <c r="H32" s="6"/>
    </row>
    <row r="33" spans="1:8" x14ac:dyDescent="0.25">
      <c r="A33" s="7"/>
      <c r="B33" s="8"/>
      <c r="C33" s="203" t="s">
        <v>16</v>
      </c>
      <c r="D33" s="197"/>
      <c r="E33" s="197"/>
      <c r="F33" s="204"/>
      <c r="G33" s="197" t="s">
        <v>1</v>
      </c>
      <c r="H33" s="198"/>
    </row>
    <row r="34" spans="1:8" x14ac:dyDescent="0.25">
      <c r="A34" s="12"/>
      <c r="B34" s="13"/>
      <c r="C34" s="14" t="s">
        <v>236</v>
      </c>
      <c r="D34" s="15" t="s">
        <v>237</v>
      </c>
      <c r="E34" s="15" t="s">
        <v>238</v>
      </c>
      <c r="F34" s="16"/>
      <c r="G34" s="17" t="s">
        <v>239</v>
      </c>
      <c r="H34" s="18" t="s">
        <v>240</v>
      </c>
    </row>
    <row r="35" spans="1:8" ht="12.75" customHeight="1" x14ac:dyDescent="0.25">
      <c r="A35" s="199" t="s">
        <v>64</v>
      </c>
      <c r="B35" s="19" t="s">
        <v>3</v>
      </c>
      <c r="C35" s="80">
        <v>1175.4142453750001</v>
      </c>
      <c r="D35" s="80">
        <v>1175.9397378880001</v>
      </c>
      <c r="E35" s="81">
        <v>868.94560376578636</v>
      </c>
      <c r="F35" s="22" t="s">
        <v>241</v>
      </c>
      <c r="G35" s="23">
        <v>-26.073245480484957</v>
      </c>
      <c r="H35" s="24">
        <v>-26.106281149540735</v>
      </c>
    </row>
    <row r="36" spans="1:8" ht="12.75" customHeight="1" x14ac:dyDescent="0.25">
      <c r="A36" s="200"/>
      <c r="B36" s="25" t="s">
        <v>242</v>
      </c>
      <c r="C36" s="82">
        <v>699.334525461</v>
      </c>
      <c r="D36" s="82">
        <v>713.79925433300002</v>
      </c>
      <c r="E36" s="82">
        <v>523.92029056199999</v>
      </c>
      <c r="F36" s="27"/>
      <c r="G36" s="28">
        <v>-25.083022289421123</v>
      </c>
      <c r="H36" s="29">
        <v>-26.601171494418253</v>
      </c>
    </row>
    <row r="37" spans="1:8" x14ac:dyDescent="0.25">
      <c r="A37" s="30" t="s">
        <v>53</v>
      </c>
      <c r="B37" s="31" t="s">
        <v>3</v>
      </c>
      <c r="C37" s="80">
        <v>0.46925536499999998</v>
      </c>
      <c r="D37" s="80">
        <v>0.33735193099999999</v>
      </c>
      <c r="E37" s="83">
        <v>0.45220967751555669</v>
      </c>
      <c r="F37" s="22" t="s">
        <v>241</v>
      </c>
      <c r="G37" s="32">
        <v>-3.6324970913104551</v>
      </c>
      <c r="H37" s="33">
        <v>34.046862033689308</v>
      </c>
    </row>
    <row r="38" spans="1:8" x14ac:dyDescent="0.25">
      <c r="A38" s="34"/>
      <c r="B38" s="25" t="s">
        <v>242</v>
      </c>
      <c r="C38" s="82">
        <v>0.28380432500000002</v>
      </c>
      <c r="D38" s="82">
        <v>0.20546247500000001</v>
      </c>
      <c r="E38" s="82">
        <v>0.274772723</v>
      </c>
      <c r="F38" s="27"/>
      <c r="G38" s="35">
        <v>-3.1823341663309748</v>
      </c>
      <c r="H38" s="29">
        <v>33.733774500672183</v>
      </c>
    </row>
    <row r="39" spans="1:8" x14ac:dyDescent="0.25">
      <c r="A39" s="30" t="s">
        <v>54</v>
      </c>
      <c r="B39" s="31" t="s">
        <v>3</v>
      </c>
      <c r="C39" s="80">
        <v>48.248863612999997</v>
      </c>
      <c r="D39" s="80">
        <v>59.222880240999999</v>
      </c>
      <c r="E39" s="83">
        <v>53.15433825443229</v>
      </c>
      <c r="F39" s="22" t="s">
        <v>241</v>
      </c>
      <c r="G39" s="37">
        <v>10.167026276056319</v>
      </c>
      <c r="H39" s="33">
        <v>-10.246955166436607</v>
      </c>
    </row>
    <row r="40" spans="1:8" x14ac:dyDescent="0.25">
      <c r="A40" s="34"/>
      <c r="B40" s="25" t="s">
        <v>242</v>
      </c>
      <c r="C40" s="82">
        <v>16.005898936000001</v>
      </c>
      <c r="D40" s="82">
        <v>32.674068104</v>
      </c>
      <c r="E40" s="82">
        <v>24.017279835</v>
      </c>
      <c r="F40" s="27"/>
      <c r="G40" s="28">
        <v>50.052677022600932</v>
      </c>
      <c r="H40" s="29">
        <v>-26.494369300589852</v>
      </c>
    </row>
    <row r="41" spans="1:8" x14ac:dyDescent="0.25">
      <c r="A41" s="30" t="s">
        <v>66</v>
      </c>
      <c r="B41" s="31" t="s">
        <v>3</v>
      </c>
      <c r="C41" s="80">
        <v>21.665793470000001</v>
      </c>
      <c r="D41" s="80">
        <v>14.584549574</v>
      </c>
      <c r="E41" s="83">
        <v>9.2360936661391939</v>
      </c>
      <c r="F41" s="22" t="s">
        <v>241</v>
      </c>
      <c r="G41" s="23">
        <v>-57.370157345364959</v>
      </c>
      <c r="H41" s="24">
        <v>-36.672067798346987</v>
      </c>
    </row>
    <row r="42" spans="1:8" x14ac:dyDescent="0.25">
      <c r="A42" s="34"/>
      <c r="B42" s="25" t="s">
        <v>242</v>
      </c>
      <c r="C42" s="82">
        <v>12.548994702</v>
      </c>
      <c r="D42" s="82">
        <v>9.2301975570000003</v>
      </c>
      <c r="E42" s="82">
        <v>5.6701673689999996</v>
      </c>
      <c r="F42" s="27"/>
      <c r="G42" s="38">
        <v>-54.815764101834269</v>
      </c>
      <c r="H42" s="24">
        <v>-38.569382356287093</v>
      </c>
    </row>
    <row r="43" spans="1:8" x14ac:dyDescent="0.25">
      <c r="A43" s="30" t="s">
        <v>55</v>
      </c>
      <c r="B43" s="31" t="s">
        <v>3</v>
      </c>
      <c r="C43" s="80">
        <v>680.03790342100001</v>
      </c>
      <c r="D43" s="80">
        <v>690.11834206499998</v>
      </c>
      <c r="E43" s="83">
        <v>615.95336226066706</v>
      </c>
      <c r="F43" s="22" t="s">
        <v>241</v>
      </c>
      <c r="G43" s="37">
        <v>-9.4236719509234774</v>
      </c>
      <c r="H43" s="33">
        <v>-10.746704627848828</v>
      </c>
    </row>
    <row r="44" spans="1:8" x14ac:dyDescent="0.25">
      <c r="A44" s="34"/>
      <c r="B44" s="25" t="s">
        <v>242</v>
      </c>
      <c r="C44" s="82">
        <v>299.00132685400001</v>
      </c>
      <c r="D44" s="82">
        <v>408.28978194600001</v>
      </c>
      <c r="E44" s="82">
        <v>326.77170786200003</v>
      </c>
      <c r="F44" s="27"/>
      <c r="G44" s="28">
        <v>9.2877116299755045</v>
      </c>
      <c r="H44" s="29">
        <v>-19.965739454822184</v>
      </c>
    </row>
    <row r="45" spans="1:8" x14ac:dyDescent="0.25">
      <c r="A45" s="30" t="s">
        <v>67</v>
      </c>
      <c r="B45" s="31" t="s">
        <v>3</v>
      </c>
      <c r="C45" s="80">
        <v>264.16744988300002</v>
      </c>
      <c r="D45" s="80">
        <v>286.13702647999997</v>
      </c>
      <c r="E45" s="83">
        <v>142.84490525035474</v>
      </c>
      <c r="F45" s="22" t="s">
        <v>241</v>
      </c>
      <c r="G45" s="37">
        <v>-45.926379153214803</v>
      </c>
      <c r="H45" s="33">
        <v>-50.078147170394551</v>
      </c>
    </row>
    <row r="46" spans="1:8" x14ac:dyDescent="0.25">
      <c r="A46" s="30"/>
      <c r="B46" s="25" t="s">
        <v>242</v>
      </c>
      <c r="C46" s="82">
        <v>156.86040145800001</v>
      </c>
      <c r="D46" s="82">
        <v>204.58161253599999</v>
      </c>
      <c r="E46" s="82">
        <v>95.625562527</v>
      </c>
      <c r="F46" s="27"/>
      <c r="G46" s="28">
        <v>-39.037793070672386</v>
      </c>
      <c r="H46" s="29">
        <v>-53.257987684414758</v>
      </c>
    </row>
    <row r="47" spans="1:8" x14ac:dyDescent="0.25">
      <c r="A47" s="39" t="s">
        <v>56</v>
      </c>
      <c r="B47" s="31" t="s">
        <v>3</v>
      </c>
      <c r="C47" s="80">
        <v>75.035461150000003</v>
      </c>
      <c r="D47" s="80">
        <v>2.0047760829999999</v>
      </c>
      <c r="E47" s="83">
        <v>3.0692141785208293</v>
      </c>
      <c r="F47" s="22" t="s">
        <v>241</v>
      </c>
      <c r="G47" s="23">
        <v>-95.909648409589565</v>
      </c>
      <c r="H47" s="24">
        <v>53.095111446460209</v>
      </c>
    </row>
    <row r="48" spans="1:8" x14ac:dyDescent="0.25">
      <c r="A48" s="34"/>
      <c r="B48" s="25" t="s">
        <v>242</v>
      </c>
      <c r="C48" s="82">
        <v>169.38814783399999</v>
      </c>
      <c r="D48" s="82">
        <v>5.2827516340000003</v>
      </c>
      <c r="E48" s="82">
        <v>7.6604675279999999</v>
      </c>
      <c r="F48" s="27"/>
      <c r="G48" s="38">
        <v>-95.477565800231048</v>
      </c>
      <c r="H48" s="24">
        <v>45.009041854190627</v>
      </c>
    </row>
    <row r="49" spans="1:9" x14ac:dyDescent="0.25">
      <c r="A49" s="39" t="s">
        <v>68</v>
      </c>
      <c r="B49" s="31" t="s">
        <v>3</v>
      </c>
      <c r="C49" s="80">
        <v>6.3143628200000004</v>
      </c>
      <c r="D49" s="80">
        <v>16.149329355999999</v>
      </c>
      <c r="E49" s="83">
        <v>9.8252025151230864</v>
      </c>
      <c r="F49" s="22" t="s">
        <v>241</v>
      </c>
      <c r="G49" s="37">
        <v>55.600854673775075</v>
      </c>
      <c r="H49" s="33">
        <v>-39.160306297965832</v>
      </c>
    </row>
    <row r="50" spans="1:9" x14ac:dyDescent="0.25">
      <c r="A50" s="34"/>
      <c r="B50" s="25" t="s">
        <v>242</v>
      </c>
      <c r="C50" s="82">
        <v>3.4495704639999998</v>
      </c>
      <c r="D50" s="82">
        <v>8.4786090129999998</v>
      </c>
      <c r="E50" s="82">
        <v>5.2262577720000003</v>
      </c>
      <c r="F50" s="27"/>
      <c r="G50" s="28">
        <v>51.504595326915478</v>
      </c>
      <c r="H50" s="29">
        <v>-38.359490760964043</v>
      </c>
    </row>
    <row r="51" spans="1:9" x14ac:dyDescent="0.25">
      <c r="A51" s="30" t="s">
        <v>69</v>
      </c>
      <c r="B51" s="31" t="s">
        <v>3</v>
      </c>
      <c r="C51" s="80">
        <v>79.475155653000002</v>
      </c>
      <c r="D51" s="80">
        <v>107.38548215900001</v>
      </c>
      <c r="E51" s="83">
        <v>130.41601453614115</v>
      </c>
      <c r="F51" s="22" t="s">
        <v>241</v>
      </c>
      <c r="G51" s="23">
        <v>64.096582717693906</v>
      </c>
      <c r="H51" s="24">
        <v>21.446597728211586</v>
      </c>
    </row>
    <row r="52" spans="1:9" ht="13.8" thickBot="1" x14ac:dyDescent="0.3">
      <c r="A52" s="56"/>
      <c r="B52" s="42" t="s">
        <v>242</v>
      </c>
      <c r="C52" s="86">
        <v>41.796380888000002</v>
      </c>
      <c r="D52" s="86">
        <v>45.056771068000003</v>
      </c>
      <c r="E52" s="86">
        <v>58.674074947000001</v>
      </c>
      <c r="F52" s="44"/>
      <c r="G52" s="57">
        <v>40.380754745791137</v>
      </c>
      <c r="H52" s="46">
        <v>30.222547147128381</v>
      </c>
    </row>
    <row r="53" spans="1:9" x14ac:dyDescent="0.25">
      <c r="A53" s="65"/>
      <c r="B53" s="62"/>
      <c r="C53" s="21"/>
      <c r="D53" s="21"/>
      <c r="E53" s="21"/>
      <c r="F53" s="63"/>
      <c r="G53" s="38"/>
      <c r="H53" s="60"/>
      <c r="I53" s="61"/>
    </row>
    <row r="54" spans="1:9" x14ac:dyDescent="0.25">
      <c r="A54" s="65"/>
      <c r="B54" s="62"/>
      <c r="C54" s="21"/>
      <c r="D54" s="21"/>
      <c r="E54" s="21"/>
      <c r="F54" s="63"/>
      <c r="G54" s="38"/>
      <c r="H54" s="60"/>
      <c r="I54" s="61"/>
    </row>
    <row r="55" spans="1:9" x14ac:dyDescent="0.25">
      <c r="A55" s="65"/>
      <c r="B55" s="62"/>
      <c r="C55" s="21"/>
      <c r="D55" s="21"/>
      <c r="E55" s="21"/>
      <c r="F55" s="63"/>
      <c r="G55" s="38"/>
      <c r="H55" s="60"/>
      <c r="I55" s="61"/>
    </row>
    <row r="56" spans="1:9" x14ac:dyDescent="0.25">
      <c r="A56" s="65"/>
      <c r="B56" s="62"/>
      <c r="C56" s="21"/>
      <c r="D56" s="21"/>
      <c r="E56" s="21"/>
      <c r="F56" s="63"/>
      <c r="G56" s="38"/>
      <c r="H56" s="60"/>
      <c r="I56" s="61"/>
    </row>
    <row r="57" spans="1:9" x14ac:dyDescent="0.25">
      <c r="A57" s="65"/>
      <c r="B57" s="62"/>
      <c r="C57" s="21"/>
      <c r="D57" s="21"/>
      <c r="E57" s="21"/>
      <c r="F57" s="63"/>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c r="I59" s="61"/>
    </row>
    <row r="60" spans="1:9" x14ac:dyDescent="0.25">
      <c r="A60" s="52"/>
      <c r="B60" s="52"/>
      <c r="C60" s="52"/>
      <c r="D60" s="52"/>
      <c r="E60" s="52"/>
      <c r="F60" s="52"/>
      <c r="G60" s="52"/>
      <c r="H60" s="52"/>
    </row>
    <row r="61" spans="1:9" ht="12.75" customHeight="1" x14ac:dyDescent="0.25">
      <c r="A61" s="54" t="s">
        <v>243</v>
      </c>
      <c r="G61" s="53"/>
      <c r="H61" s="202">
        <v>26</v>
      </c>
    </row>
    <row r="62" spans="1:9" ht="12.75" customHeight="1" x14ac:dyDescent="0.25">
      <c r="A62" s="54" t="s">
        <v>244</v>
      </c>
      <c r="G62" s="53"/>
      <c r="H62" s="195"/>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8"/>
  <sheetViews>
    <sheetView showGridLines="0" showRowColHeaders="0" topLeftCell="A2" zoomScale="80" zoomScaleNormal="80" workbookViewId="0"/>
  </sheetViews>
  <sheetFormatPr defaultColWidth="11.44140625" defaultRowHeight="13.2" x14ac:dyDescent="0.25"/>
  <cols>
    <col min="1" max="1" width="27.109375" style="1" customWidth="1"/>
    <col min="2" max="4" width="10.6640625" style="1" customWidth="1"/>
    <col min="5" max="6" width="7.6640625" style="1" customWidth="1"/>
    <col min="7" max="7" width="8.109375" style="1" customWidth="1"/>
    <col min="8" max="16384" width="11.44140625" style="1"/>
  </cols>
  <sheetData>
    <row r="1" spans="1:7" ht="5.25" customHeight="1" x14ac:dyDescent="0.25"/>
    <row r="2" spans="1:7" x14ac:dyDescent="0.25">
      <c r="A2" s="95" t="s">
        <v>0</v>
      </c>
      <c r="B2" s="2"/>
      <c r="C2" s="2"/>
      <c r="D2" s="2"/>
      <c r="E2" s="2"/>
      <c r="F2" s="2"/>
    </row>
    <row r="3" spans="1:7" ht="6" customHeight="1" x14ac:dyDescent="0.25">
      <c r="A3" s="2"/>
      <c r="B3" s="2"/>
      <c r="C3" s="2"/>
      <c r="D3" s="2"/>
      <c r="E3" s="2"/>
      <c r="F3" s="2"/>
    </row>
    <row r="4" spans="1:7" ht="15.75" customHeight="1" x14ac:dyDescent="0.3">
      <c r="A4" s="88" t="s">
        <v>109</v>
      </c>
      <c r="B4" s="74"/>
      <c r="C4" s="74"/>
      <c r="D4" s="74"/>
      <c r="E4" s="74"/>
      <c r="F4" s="74"/>
      <c r="G4" s="74"/>
    </row>
    <row r="5" spans="1:7" ht="15.75" customHeight="1" x14ac:dyDescent="0.3">
      <c r="A5" s="75"/>
      <c r="B5" s="74"/>
      <c r="C5" s="74"/>
      <c r="D5" s="74"/>
      <c r="E5" s="74"/>
      <c r="F5" s="74"/>
      <c r="G5" s="74"/>
    </row>
    <row r="6" spans="1:7" ht="15.75" customHeight="1" x14ac:dyDescent="0.3">
      <c r="A6" s="73"/>
      <c r="B6" s="73"/>
      <c r="C6" s="73"/>
      <c r="D6" s="73"/>
      <c r="E6" s="73"/>
      <c r="F6" s="73"/>
      <c r="G6" s="73"/>
    </row>
    <row r="7" spans="1:7" ht="15.75" customHeight="1" x14ac:dyDescent="0.3">
      <c r="A7" s="73"/>
      <c r="B7" s="73"/>
      <c r="C7" s="73"/>
      <c r="D7" s="73"/>
      <c r="E7" s="73"/>
      <c r="F7" s="73"/>
      <c r="G7" s="73"/>
    </row>
    <row r="8" spans="1:7" ht="15.75" customHeight="1" x14ac:dyDescent="0.3">
      <c r="A8" s="73"/>
      <c r="B8" s="73"/>
      <c r="C8" s="73"/>
      <c r="D8" s="73"/>
      <c r="E8" s="73"/>
      <c r="F8" s="73"/>
      <c r="G8" s="73"/>
    </row>
    <row r="9" spans="1:7" ht="15.75" customHeight="1" x14ac:dyDescent="0.3">
      <c r="A9" s="73"/>
      <c r="B9" s="73"/>
      <c r="C9" s="73"/>
      <c r="D9" s="73"/>
      <c r="E9" s="73"/>
      <c r="F9" s="73"/>
      <c r="G9" s="73"/>
    </row>
    <row r="10" spans="1:7" ht="15.75" customHeight="1" x14ac:dyDescent="0.3">
      <c r="A10" s="73"/>
      <c r="B10" s="73"/>
      <c r="C10" s="73"/>
      <c r="D10" s="73"/>
      <c r="E10" s="73"/>
      <c r="F10" s="73"/>
      <c r="G10" s="73"/>
    </row>
    <row r="11" spans="1:7" ht="15.75" customHeight="1" x14ac:dyDescent="0.3">
      <c r="A11" s="73"/>
      <c r="B11" s="73"/>
      <c r="C11" s="73"/>
      <c r="D11" s="73"/>
      <c r="E11" s="73"/>
      <c r="F11" s="73"/>
      <c r="G11" s="73"/>
    </row>
    <row r="12" spans="1:7" ht="15.75" customHeight="1" x14ac:dyDescent="0.3">
      <c r="A12" s="73"/>
      <c r="B12" s="73"/>
      <c r="C12" s="73"/>
      <c r="D12" s="73"/>
      <c r="E12" s="73"/>
      <c r="F12" s="73"/>
      <c r="G12" s="73"/>
    </row>
    <row r="13" spans="1:7" ht="15.75" customHeight="1" x14ac:dyDescent="0.3">
      <c r="A13" s="73"/>
      <c r="B13" s="73"/>
      <c r="C13" s="73"/>
      <c r="D13" s="73"/>
      <c r="E13" s="73"/>
      <c r="F13" s="73"/>
      <c r="G13" s="73"/>
    </row>
    <row r="14" spans="1:7" ht="15.75" customHeight="1" x14ac:dyDescent="0.3">
      <c r="A14" s="73"/>
      <c r="B14" s="73"/>
      <c r="C14" s="73"/>
      <c r="D14" s="73"/>
      <c r="E14" s="73"/>
      <c r="F14" s="73"/>
      <c r="G14" s="73"/>
    </row>
    <row r="15" spans="1:7" ht="15.75" customHeight="1" x14ac:dyDescent="0.3">
      <c r="A15" s="73"/>
      <c r="B15" s="73"/>
      <c r="C15" s="73"/>
      <c r="D15" s="73"/>
      <c r="E15" s="73"/>
      <c r="F15" s="73"/>
      <c r="G15" s="73"/>
    </row>
    <row r="16" spans="1:7" ht="15.75" customHeight="1" x14ac:dyDescent="0.3">
      <c r="A16" s="73"/>
      <c r="B16" s="73"/>
      <c r="C16" s="73"/>
      <c r="D16" s="73"/>
      <c r="E16" s="73"/>
      <c r="F16" s="73"/>
      <c r="G16" s="73"/>
    </row>
    <row r="17" spans="1:13" ht="15.75" customHeight="1" x14ac:dyDescent="0.3">
      <c r="A17" s="73"/>
      <c r="B17" s="73"/>
      <c r="C17" s="73"/>
      <c r="D17" s="73"/>
      <c r="E17" s="73"/>
      <c r="F17" s="73"/>
      <c r="G17" s="73"/>
    </row>
    <row r="18" spans="1:13" ht="15.75" customHeight="1" x14ac:dyDescent="0.3">
      <c r="A18" s="73"/>
      <c r="B18" s="73"/>
      <c r="C18" s="73"/>
      <c r="D18" s="73"/>
      <c r="E18" s="73"/>
      <c r="F18" s="73"/>
      <c r="G18" s="73"/>
    </row>
    <row r="19" spans="1:13" ht="15.75" customHeight="1" x14ac:dyDescent="0.3">
      <c r="A19" s="73"/>
      <c r="B19" s="73"/>
      <c r="C19" s="73"/>
      <c r="D19" s="73"/>
      <c r="E19" s="73"/>
      <c r="F19" s="73"/>
      <c r="G19" s="73"/>
    </row>
    <row r="20" spans="1:13" ht="15.75" customHeight="1" x14ac:dyDescent="0.3">
      <c r="A20" s="73"/>
      <c r="B20" s="73"/>
      <c r="C20" s="73"/>
      <c r="D20" s="73"/>
      <c r="E20" s="73"/>
      <c r="F20" s="73"/>
      <c r="G20" s="73"/>
    </row>
    <row r="21" spans="1:13" ht="15.75" customHeight="1" x14ac:dyDescent="0.3">
      <c r="A21" s="73"/>
      <c r="B21" s="73"/>
      <c r="C21" s="73"/>
      <c r="D21" s="73"/>
      <c r="E21" s="73"/>
      <c r="F21" s="73"/>
      <c r="G21" s="73"/>
    </row>
    <row r="22" spans="1:13" ht="15.75" customHeight="1" x14ac:dyDescent="0.3">
      <c r="A22" s="73"/>
      <c r="B22" s="73"/>
      <c r="C22" s="73"/>
      <c r="D22" s="73"/>
      <c r="E22" s="73"/>
      <c r="F22" s="73"/>
      <c r="G22" s="73"/>
    </row>
    <row r="23" spans="1:13" ht="15.75" customHeight="1" x14ac:dyDescent="0.3">
      <c r="A23" s="73"/>
      <c r="B23" s="73"/>
      <c r="C23" s="73"/>
      <c r="D23" s="73"/>
      <c r="E23" s="73"/>
      <c r="F23" s="73"/>
      <c r="G23" s="73"/>
    </row>
    <row r="24" spans="1:13" ht="15.75" customHeight="1" x14ac:dyDescent="0.3">
      <c r="A24" s="73"/>
      <c r="B24" s="73"/>
      <c r="C24" s="73"/>
      <c r="D24" s="73"/>
      <c r="E24" s="73"/>
      <c r="F24" s="73"/>
      <c r="G24" s="73"/>
    </row>
    <row r="25" spans="1:13" ht="15.75" customHeight="1" x14ac:dyDescent="0.3">
      <c r="A25" s="73"/>
      <c r="B25" s="73"/>
      <c r="C25" s="73"/>
      <c r="D25" s="73"/>
      <c r="E25" s="73"/>
      <c r="F25" s="73"/>
      <c r="G25" s="73"/>
    </row>
    <row r="26" spans="1:13" ht="15.75" customHeight="1" x14ac:dyDescent="0.3">
      <c r="A26" s="73"/>
      <c r="B26" s="73"/>
      <c r="C26" s="73"/>
      <c r="D26" s="73"/>
      <c r="E26" s="73"/>
      <c r="F26" s="73"/>
      <c r="G26" s="73"/>
    </row>
    <row r="27" spans="1:13" ht="15.75" customHeight="1" x14ac:dyDescent="0.3">
      <c r="A27" s="73"/>
      <c r="B27" s="73"/>
      <c r="C27" s="73"/>
      <c r="D27" s="73"/>
      <c r="E27" s="73"/>
      <c r="F27" s="73"/>
      <c r="G27" s="73"/>
      <c r="M27" s="77"/>
    </row>
    <row r="28" spans="1:13" ht="15.75" customHeight="1" x14ac:dyDescent="0.3">
      <c r="A28" s="73"/>
      <c r="B28" s="73"/>
      <c r="C28" s="73"/>
      <c r="D28" s="73"/>
      <c r="E28" s="73"/>
      <c r="F28" s="73"/>
      <c r="G28" s="73"/>
      <c r="M28" s="77"/>
    </row>
    <row r="29" spans="1:13" ht="15.75" customHeight="1" x14ac:dyDescent="0.3">
      <c r="A29" s="73"/>
      <c r="B29" s="73"/>
      <c r="C29" s="73"/>
      <c r="D29" s="73"/>
      <c r="E29" s="73"/>
      <c r="F29" s="73"/>
      <c r="G29" s="73"/>
      <c r="M29" s="77"/>
    </row>
    <row r="30" spans="1:13" ht="15.75" customHeight="1" x14ac:dyDescent="0.3">
      <c r="A30" s="73"/>
      <c r="B30" s="73"/>
      <c r="C30" s="73"/>
      <c r="D30" s="73"/>
      <c r="E30" s="73"/>
      <c r="F30" s="73"/>
      <c r="G30" s="73"/>
      <c r="M30" s="77"/>
    </row>
    <row r="31" spans="1:13" ht="15.75" customHeight="1" x14ac:dyDescent="0.3">
      <c r="A31" s="73"/>
      <c r="B31" s="73"/>
      <c r="C31" s="73"/>
      <c r="D31" s="73"/>
      <c r="E31" s="73"/>
      <c r="F31" s="73"/>
      <c r="G31" s="73"/>
      <c r="M31" s="77"/>
    </row>
    <row r="32" spans="1:13" ht="15.75" customHeight="1" x14ac:dyDescent="0.3">
      <c r="A32" s="73"/>
      <c r="B32" s="73"/>
      <c r="C32" s="73"/>
      <c r="D32" s="73"/>
      <c r="E32" s="73"/>
      <c r="F32" s="73"/>
      <c r="G32" s="73"/>
      <c r="M32" s="77"/>
    </row>
    <row r="33" spans="1:13" ht="15.75" customHeight="1" x14ac:dyDescent="0.3">
      <c r="A33" s="73"/>
      <c r="B33" s="73"/>
      <c r="C33" s="73"/>
      <c r="D33" s="73"/>
      <c r="E33" s="73"/>
      <c r="F33" s="73"/>
      <c r="G33" s="73"/>
      <c r="M33" s="77"/>
    </row>
    <row r="34" spans="1:13" ht="15.75" customHeight="1" x14ac:dyDescent="0.3">
      <c r="A34" s="73"/>
      <c r="B34" s="73"/>
      <c r="C34" s="73"/>
      <c r="D34" s="73"/>
      <c r="E34" s="73"/>
      <c r="F34" s="73"/>
      <c r="G34" s="73"/>
      <c r="M34" s="77"/>
    </row>
    <row r="35" spans="1:13" ht="15.75" customHeight="1" x14ac:dyDescent="0.3">
      <c r="A35" s="73"/>
      <c r="B35" s="73"/>
      <c r="C35" s="73"/>
      <c r="D35" s="73"/>
      <c r="E35" s="73"/>
      <c r="F35" s="73"/>
      <c r="G35" s="73"/>
      <c r="M35" s="77"/>
    </row>
    <row r="36" spans="1:13" ht="15.75" customHeight="1" x14ac:dyDescent="0.3">
      <c r="A36" s="73"/>
      <c r="B36" s="73"/>
      <c r="C36" s="73"/>
      <c r="D36" s="73"/>
      <c r="E36" s="73"/>
      <c r="F36" s="73"/>
      <c r="G36" s="73"/>
      <c r="M36" s="77"/>
    </row>
    <row r="37" spans="1:13" ht="15.75" customHeight="1" x14ac:dyDescent="0.3">
      <c r="A37" s="73"/>
      <c r="B37" s="73"/>
      <c r="C37" s="73"/>
      <c r="D37" s="73"/>
      <c r="E37" s="73"/>
      <c r="F37" s="73"/>
      <c r="G37" s="73"/>
      <c r="M37" s="77"/>
    </row>
    <row r="38" spans="1:13" ht="15.75" customHeight="1" x14ac:dyDescent="0.3">
      <c r="A38" s="73"/>
      <c r="B38" s="73"/>
      <c r="C38" s="73"/>
      <c r="D38" s="73"/>
      <c r="E38" s="73"/>
      <c r="F38" s="73"/>
      <c r="G38" s="73"/>
      <c r="M38" s="77"/>
    </row>
    <row r="39" spans="1:13" ht="15.75" customHeight="1" x14ac:dyDescent="0.3">
      <c r="A39" s="73"/>
      <c r="B39" s="73"/>
      <c r="C39" s="73"/>
      <c r="D39" s="73"/>
      <c r="E39" s="73"/>
      <c r="F39" s="73"/>
      <c r="G39" s="73"/>
      <c r="M39" s="77"/>
    </row>
    <row r="40" spans="1:13" ht="15.75" customHeight="1" x14ac:dyDescent="0.3">
      <c r="A40" s="73"/>
      <c r="B40" s="73"/>
      <c r="C40" s="73"/>
      <c r="D40" s="73"/>
      <c r="E40" s="73"/>
      <c r="F40" s="73"/>
      <c r="G40" s="73"/>
      <c r="M40" s="77"/>
    </row>
    <row r="41" spans="1:13" ht="15.75" customHeight="1" x14ac:dyDescent="0.3">
      <c r="A41" s="73"/>
      <c r="B41" s="73"/>
      <c r="C41" s="73"/>
      <c r="D41" s="73"/>
      <c r="E41" s="73"/>
      <c r="F41" s="73"/>
      <c r="G41" s="73"/>
      <c r="M41" s="77"/>
    </row>
    <row r="42" spans="1:13" ht="15.75" customHeight="1" x14ac:dyDescent="0.3">
      <c r="A42" s="73"/>
      <c r="B42" s="73"/>
      <c r="C42" s="73"/>
      <c r="D42" s="73"/>
      <c r="E42" s="73"/>
      <c r="F42" s="73"/>
      <c r="G42" s="73"/>
      <c r="M42" s="77"/>
    </row>
    <row r="43" spans="1:13" ht="15.75" customHeight="1" x14ac:dyDescent="0.3">
      <c r="A43" s="73"/>
      <c r="B43" s="73"/>
      <c r="C43" s="73"/>
      <c r="D43" s="73"/>
      <c r="E43" s="73"/>
      <c r="F43" s="73"/>
      <c r="G43" s="73"/>
      <c r="M43" s="77"/>
    </row>
    <row r="44" spans="1:13" ht="15.75" customHeight="1" x14ac:dyDescent="0.3">
      <c r="A44" s="73"/>
      <c r="B44" s="73"/>
      <c r="C44" s="73"/>
      <c r="D44" s="73"/>
      <c r="E44" s="73"/>
      <c r="F44" s="73"/>
      <c r="G44" s="73"/>
      <c r="M44" s="77"/>
    </row>
    <row r="45" spans="1:13" ht="15.75" customHeight="1" x14ac:dyDescent="0.3">
      <c r="A45" s="73"/>
      <c r="B45" s="73"/>
      <c r="C45" s="73"/>
      <c r="D45" s="73"/>
      <c r="E45" s="73"/>
      <c r="F45" s="73"/>
      <c r="G45" s="73"/>
      <c r="M45" s="77"/>
    </row>
    <row r="46" spans="1:13" ht="15.75" customHeight="1" x14ac:dyDescent="0.3">
      <c r="A46" s="73"/>
      <c r="B46" s="73"/>
      <c r="C46" s="73"/>
      <c r="D46" s="73"/>
      <c r="E46" s="73"/>
      <c r="F46" s="73"/>
      <c r="G46" s="73"/>
      <c r="M46" s="77"/>
    </row>
    <row r="47" spans="1:13" ht="15.75" customHeight="1" x14ac:dyDescent="0.3">
      <c r="A47" s="73"/>
      <c r="B47" s="73"/>
      <c r="C47" s="73"/>
      <c r="D47" s="73"/>
      <c r="E47" s="73"/>
      <c r="F47" s="73"/>
      <c r="G47" s="73"/>
      <c r="M47" s="77"/>
    </row>
    <row r="48" spans="1:13" ht="15.75" customHeight="1" x14ac:dyDescent="0.3">
      <c r="A48" s="73"/>
      <c r="B48" s="73"/>
      <c r="C48" s="73"/>
      <c r="D48" s="73"/>
      <c r="E48" s="73"/>
      <c r="F48" s="73"/>
      <c r="G48" s="73"/>
      <c r="M48" s="77"/>
    </row>
    <row r="49" spans="1:14" ht="15.75" customHeight="1" x14ac:dyDescent="0.3">
      <c r="A49" s="73"/>
      <c r="B49" s="73"/>
      <c r="C49" s="73"/>
      <c r="D49" s="73"/>
      <c r="E49" s="120"/>
      <c r="F49" s="73"/>
      <c r="G49" s="73"/>
      <c r="M49" s="77"/>
    </row>
    <row r="50" spans="1:14" ht="15.75" customHeight="1" x14ac:dyDescent="0.3">
      <c r="A50" s="73"/>
      <c r="B50" s="73"/>
      <c r="C50" s="73"/>
      <c r="D50" s="73"/>
      <c r="E50" s="73"/>
      <c r="F50" s="73"/>
      <c r="G50" s="73"/>
      <c r="M50" s="77"/>
    </row>
    <row r="51" spans="1:14" ht="12.75" customHeight="1" x14ac:dyDescent="0.25">
      <c r="A51" s="52"/>
      <c r="B51" s="52"/>
      <c r="C51" s="52"/>
      <c r="D51" s="52"/>
      <c r="E51" s="52"/>
      <c r="F51" s="52"/>
      <c r="G51" s="52"/>
      <c r="H51" s="52"/>
      <c r="I51" s="52"/>
      <c r="J51" s="52"/>
      <c r="K51" s="52"/>
      <c r="L51" s="52"/>
      <c r="M51" s="52"/>
      <c r="N51" s="52"/>
    </row>
    <row r="52" spans="1:14" ht="12.75" customHeight="1" x14ac:dyDescent="0.25">
      <c r="A52" s="54" t="str">
        <f>+Innhold!B123</f>
        <v>Finans Norge / Skadestatistikk</v>
      </c>
      <c r="G52" s="194">
        <v>27</v>
      </c>
      <c r="H52" s="54" t="str">
        <f>+Innhold!B123</f>
        <v>Finans Norge / Skadestatistikk</v>
      </c>
      <c r="N52" s="194">
        <v>28</v>
      </c>
    </row>
    <row r="53" spans="1:14" ht="12.75" customHeight="1" x14ac:dyDescent="0.25">
      <c r="A53" s="54" t="str">
        <f>+Innhold!B124</f>
        <v>Skadestatistikk for landbasert forsikring 2. kvartal 2016</v>
      </c>
      <c r="G53" s="195"/>
      <c r="H53" s="54" t="str">
        <f>+Innhold!B124</f>
        <v>Skadestatistikk for landbasert forsikring 2. kvartal 2016</v>
      </c>
      <c r="N53" s="195"/>
    </row>
    <row r="54" spans="1:14" ht="15.75" customHeight="1" x14ac:dyDescent="0.25"/>
    <row r="55" spans="1:14" ht="15.75" customHeight="1" x14ac:dyDescent="0.25"/>
    <row r="56" spans="1:14" ht="15.75" customHeight="1" x14ac:dyDescent="0.25"/>
    <row r="57" spans="1:14" ht="15.75" customHeight="1" x14ac:dyDescent="0.25"/>
    <row r="58" spans="1:14" ht="15.75" customHeight="1" x14ac:dyDescent="0.25"/>
    <row r="59" spans="1:14" ht="15.75" customHeight="1" x14ac:dyDescent="0.25"/>
    <row r="60" spans="1:14" ht="15.75" customHeight="1" x14ac:dyDescent="0.25">
      <c r="J60"/>
      <c r="K60"/>
      <c r="L60"/>
    </row>
    <row r="61" spans="1:14" ht="15.75" customHeight="1" x14ac:dyDescent="0.25">
      <c r="J61" s="71"/>
      <c r="K61" s="72"/>
      <c r="L61" s="72"/>
    </row>
    <row r="62" spans="1:14" ht="15.75" customHeight="1" x14ac:dyDescent="0.25">
      <c r="J62" s="70"/>
      <c r="K62"/>
      <c r="L62"/>
    </row>
    <row r="63" spans="1:14" ht="15.75" customHeight="1" x14ac:dyDescent="0.25">
      <c r="J63" s="69"/>
      <c r="K63" s="69"/>
      <c r="L63" s="69"/>
    </row>
    <row r="64" spans="1:14" ht="15.75" customHeight="1" x14ac:dyDescent="0.25">
      <c r="J64" s="69"/>
      <c r="K64" s="69"/>
      <c r="L64" s="69"/>
    </row>
    <row r="65" spans="1:12" ht="15.75" customHeight="1" x14ac:dyDescent="0.25">
      <c r="J65" s="69"/>
      <c r="K65" s="69"/>
      <c r="L65" s="69"/>
    </row>
    <row r="66" spans="1:12" ht="15.75" customHeight="1" x14ac:dyDescent="0.25">
      <c r="J66" s="69"/>
      <c r="K66" s="69"/>
      <c r="L66" s="69"/>
    </row>
    <row r="67" spans="1:12" ht="15.75" customHeight="1" x14ac:dyDescent="0.25">
      <c r="J67" s="69"/>
      <c r="K67" s="69"/>
      <c r="L67" s="69"/>
    </row>
    <row r="68" spans="1:12" ht="15.75" customHeight="1" x14ac:dyDescent="0.25">
      <c r="J68" s="69"/>
      <c r="K68" s="69"/>
      <c r="L68" s="69"/>
    </row>
    <row r="69" spans="1:12" ht="15.75" customHeight="1" x14ac:dyDescent="0.25">
      <c r="J69" s="69"/>
      <c r="K69" s="69"/>
      <c r="L69" s="69"/>
    </row>
    <row r="70" spans="1:12" ht="15.75" customHeight="1" x14ac:dyDescent="0.25">
      <c r="J70"/>
      <c r="K70"/>
      <c r="L70"/>
    </row>
    <row r="71" spans="1:12" x14ac:dyDescent="0.25">
      <c r="J71"/>
      <c r="K71"/>
      <c r="L71"/>
    </row>
    <row r="72" spans="1:12" x14ac:dyDescent="0.25">
      <c r="J72"/>
      <c r="K72"/>
      <c r="L72"/>
    </row>
    <row r="73" spans="1:12" x14ac:dyDescent="0.25">
      <c r="A73"/>
      <c r="B73"/>
      <c r="C73"/>
      <c r="D73"/>
      <c r="E73"/>
      <c r="F73"/>
      <c r="H73"/>
      <c r="I73"/>
      <c r="J73"/>
      <c r="K73"/>
      <c r="L73"/>
    </row>
    <row r="74" spans="1:12" x14ac:dyDescent="0.25">
      <c r="A74"/>
      <c r="B74"/>
      <c r="C74"/>
      <c r="D74"/>
      <c r="E74"/>
      <c r="F74"/>
      <c r="H74"/>
      <c r="I74"/>
      <c r="J74"/>
      <c r="K74"/>
      <c r="L74"/>
    </row>
    <row r="75" spans="1:12" x14ac:dyDescent="0.25">
      <c r="A75"/>
      <c r="B75"/>
      <c r="C75"/>
      <c r="D75"/>
      <c r="E75"/>
      <c r="F75"/>
      <c r="H75"/>
      <c r="I75"/>
      <c r="J75"/>
      <c r="K75"/>
      <c r="L75"/>
    </row>
    <row r="76" spans="1:12" x14ac:dyDescent="0.25">
      <c r="A76"/>
      <c r="B76"/>
      <c r="C76"/>
      <c r="D76"/>
      <c r="E76"/>
      <c r="F76"/>
      <c r="H76"/>
      <c r="I76"/>
      <c r="J76"/>
      <c r="K76"/>
      <c r="L76"/>
    </row>
    <row r="77" spans="1:12" x14ac:dyDescent="0.25">
      <c r="A77"/>
      <c r="B77"/>
      <c r="C77"/>
      <c r="D77"/>
      <c r="E77"/>
      <c r="F77"/>
      <c r="H77"/>
      <c r="I77"/>
      <c r="J77"/>
      <c r="K77"/>
      <c r="L77"/>
    </row>
    <row r="78" spans="1:12" x14ac:dyDescent="0.25">
      <c r="A78"/>
      <c r="B78"/>
      <c r="C78"/>
      <c r="D78"/>
      <c r="E78"/>
      <c r="F78"/>
      <c r="H78"/>
      <c r="I78"/>
      <c r="J78"/>
      <c r="K78"/>
      <c r="L78"/>
    </row>
    <row r="79" spans="1:12" x14ac:dyDescent="0.25">
      <c r="A79"/>
      <c r="B79"/>
      <c r="C79"/>
      <c r="D79"/>
      <c r="E79"/>
      <c r="F79"/>
      <c r="H79"/>
      <c r="I79"/>
      <c r="J79"/>
      <c r="K79"/>
      <c r="L79"/>
    </row>
    <row r="80" spans="1:12" x14ac:dyDescent="0.25">
      <c r="A80"/>
      <c r="B80"/>
      <c r="C80"/>
      <c r="D80"/>
      <c r="E80"/>
      <c r="F80"/>
      <c r="H80"/>
      <c r="I80"/>
      <c r="J80"/>
      <c r="K80"/>
      <c r="L80"/>
    </row>
    <row r="81" spans="1:12" x14ac:dyDescent="0.25">
      <c r="A81"/>
      <c r="B81"/>
      <c r="C81"/>
      <c r="D81"/>
      <c r="E81"/>
      <c r="F81"/>
      <c r="H81"/>
      <c r="I81"/>
      <c r="J81"/>
      <c r="K81"/>
      <c r="L81"/>
    </row>
    <row r="82" spans="1:12" x14ac:dyDescent="0.25">
      <c r="A82"/>
      <c r="B82"/>
      <c r="C82"/>
      <c r="D82"/>
      <c r="E82"/>
      <c r="F82"/>
      <c r="H82"/>
      <c r="I82"/>
      <c r="J82"/>
      <c r="K82"/>
      <c r="L82"/>
    </row>
    <row r="83" spans="1:12" x14ac:dyDescent="0.25">
      <c r="A83"/>
      <c r="B83"/>
      <c r="C83"/>
      <c r="D83"/>
      <c r="E83"/>
      <c r="F83"/>
      <c r="H83"/>
      <c r="I83"/>
      <c r="J83"/>
      <c r="K83"/>
      <c r="L83"/>
    </row>
    <row r="84" spans="1:12" x14ac:dyDescent="0.25">
      <c r="A84"/>
      <c r="B84"/>
      <c r="C84"/>
      <c r="D84"/>
      <c r="E84"/>
      <c r="F84"/>
      <c r="H84"/>
      <c r="I84"/>
      <c r="J84"/>
      <c r="K84"/>
      <c r="L84"/>
    </row>
    <row r="85" spans="1:12" x14ac:dyDescent="0.25">
      <c r="A85"/>
      <c r="B85"/>
      <c r="C85"/>
      <c r="D85"/>
      <c r="E85"/>
      <c r="F85"/>
      <c r="H85"/>
      <c r="I85"/>
      <c r="J85"/>
      <c r="K85"/>
      <c r="L85"/>
    </row>
    <row r="86" spans="1:12" x14ac:dyDescent="0.25">
      <c r="A86"/>
      <c r="B86"/>
      <c r="C86"/>
      <c r="D86"/>
      <c r="E86"/>
      <c r="F86"/>
      <c r="H86"/>
      <c r="I86"/>
      <c r="J86"/>
      <c r="K86"/>
      <c r="L86"/>
    </row>
    <row r="87" spans="1:12" x14ac:dyDescent="0.25">
      <c r="A87"/>
      <c r="B87"/>
      <c r="C87"/>
      <c r="D87"/>
      <c r="E87"/>
      <c r="F87"/>
      <c r="H87"/>
      <c r="I87"/>
      <c r="J87"/>
      <c r="K87"/>
      <c r="L87"/>
    </row>
    <row r="88" spans="1:12" x14ac:dyDescent="0.25">
      <c r="A88"/>
      <c r="B88"/>
      <c r="C88"/>
      <c r="D88"/>
      <c r="E88"/>
      <c r="F88"/>
      <c r="H88"/>
      <c r="I88"/>
      <c r="J88"/>
      <c r="K88"/>
      <c r="L88"/>
    </row>
    <row r="89" spans="1:12" x14ac:dyDescent="0.25">
      <c r="A89"/>
      <c r="B89"/>
      <c r="C89"/>
      <c r="D89"/>
      <c r="E89"/>
      <c r="F89"/>
      <c r="H89"/>
      <c r="I89"/>
      <c r="J89"/>
      <c r="K89"/>
      <c r="L89"/>
    </row>
    <row r="90" spans="1:12" x14ac:dyDescent="0.25">
      <c r="A90"/>
      <c r="B90"/>
      <c r="C90"/>
      <c r="D90"/>
      <c r="E90"/>
      <c r="F90"/>
      <c r="H90"/>
      <c r="I90"/>
      <c r="J90"/>
      <c r="K90"/>
      <c r="L90"/>
    </row>
    <row r="91" spans="1:12" x14ac:dyDescent="0.25">
      <c r="A91"/>
      <c r="B91"/>
      <c r="C91"/>
      <c r="D91"/>
      <c r="E91"/>
      <c r="F91"/>
      <c r="H91"/>
      <c r="I91"/>
      <c r="J91"/>
      <c r="K91"/>
      <c r="L91"/>
    </row>
    <row r="92" spans="1:12" x14ac:dyDescent="0.25">
      <c r="A92"/>
      <c r="B92"/>
      <c r="C92"/>
      <c r="D92"/>
      <c r="E92"/>
      <c r="F92"/>
      <c r="H92"/>
      <c r="I92"/>
      <c r="J92"/>
      <c r="K92"/>
      <c r="L92"/>
    </row>
    <row r="93" spans="1:12" x14ac:dyDescent="0.25">
      <c r="A93"/>
      <c r="B93"/>
      <c r="C93"/>
      <c r="D93"/>
      <c r="E93"/>
      <c r="F93"/>
      <c r="H93"/>
      <c r="I93"/>
      <c r="J93"/>
      <c r="K93"/>
      <c r="L93"/>
    </row>
    <row r="94" spans="1:12" x14ac:dyDescent="0.25">
      <c r="A94"/>
      <c r="B94"/>
      <c r="C94"/>
      <c r="D94"/>
      <c r="E94"/>
      <c r="F94"/>
      <c r="H94"/>
      <c r="I94"/>
      <c r="J94"/>
      <c r="K94"/>
      <c r="L94"/>
    </row>
    <row r="95" spans="1:12" x14ac:dyDescent="0.25">
      <c r="A95"/>
      <c r="B95"/>
      <c r="C95"/>
      <c r="D95"/>
      <c r="E95"/>
      <c r="F95"/>
      <c r="H95"/>
      <c r="I95"/>
      <c r="J95"/>
      <c r="K95"/>
      <c r="L95"/>
    </row>
    <row r="96" spans="1:12" x14ac:dyDescent="0.25">
      <c r="A96"/>
      <c r="B96"/>
      <c r="C96"/>
      <c r="D96"/>
      <c r="E96"/>
      <c r="F96"/>
      <c r="H96"/>
      <c r="I96"/>
      <c r="J96"/>
      <c r="K96"/>
      <c r="L96"/>
    </row>
    <row r="97" spans="1:12" x14ac:dyDescent="0.25">
      <c r="A97"/>
      <c r="B97"/>
      <c r="C97"/>
      <c r="D97"/>
      <c r="E97"/>
      <c r="F97"/>
      <c r="H97"/>
      <c r="I97"/>
      <c r="J97"/>
      <c r="K97"/>
      <c r="L97"/>
    </row>
    <row r="98" spans="1:12" x14ac:dyDescent="0.25">
      <c r="A98"/>
      <c r="B98"/>
      <c r="C98"/>
      <c r="D98"/>
      <c r="E98"/>
      <c r="F98"/>
      <c r="H98"/>
      <c r="I98"/>
      <c r="J98"/>
      <c r="K98"/>
      <c r="L98"/>
    </row>
    <row r="99" spans="1:12" x14ac:dyDescent="0.25">
      <c r="A99"/>
      <c r="B99"/>
      <c r="C99"/>
      <c r="D99"/>
      <c r="E99"/>
      <c r="F99"/>
      <c r="K99"/>
    </row>
    <row r="100" spans="1:12" x14ac:dyDescent="0.25">
      <c r="A100"/>
      <c r="B100"/>
      <c r="C100"/>
      <c r="D100"/>
      <c r="E100"/>
      <c r="F100"/>
      <c r="K100"/>
    </row>
    <row r="101" spans="1:12" x14ac:dyDescent="0.25">
      <c r="A101"/>
      <c r="B101"/>
      <c r="C101"/>
      <c r="D101"/>
      <c r="E101"/>
      <c r="F101"/>
      <c r="H101" s="68"/>
      <c r="I101"/>
      <c r="J101"/>
      <c r="K101"/>
    </row>
    <row r="102" spans="1:12" x14ac:dyDescent="0.25">
      <c r="A102"/>
      <c r="B102"/>
      <c r="C102"/>
      <c r="D102"/>
      <c r="E102"/>
      <c r="F102"/>
      <c r="H102"/>
      <c r="I102"/>
      <c r="J102"/>
      <c r="K102"/>
    </row>
    <row r="103" spans="1:12" x14ac:dyDescent="0.25">
      <c r="A103"/>
      <c r="B103"/>
      <c r="C103"/>
      <c r="D103"/>
      <c r="E103"/>
      <c r="F103"/>
      <c r="H103"/>
      <c r="I103"/>
      <c r="J103"/>
      <c r="K103"/>
    </row>
    <row r="104" spans="1:12" x14ac:dyDescent="0.25">
      <c r="A104"/>
      <c r="B104"/>
      <c r="C104"/>
      <c r="D104"/>
      <c r="E104"/>
      <c r="F104"/>
      <c r="H104"/>
      <c r="I104"/>
      <c r="J104"/>
      <c r="K104"/>
    </row>
    <row r="105" spans="1:12" x14ac:dyDescent="0.25">
      <c r="A105"/>
      <c r="B105"/>
      <c r="C105"/>
      <c r="D105"/>
      <c r="E105"/>
      <c r="F105"/>
      <c r="H105"/>
      <c r="I105" s="69"/>
      <c r="J105" s="69"/>
      <c r="K105" s="69"/>
    </row>
    <row r="106" spans="1:12" x14ac:dyDescent="0.25">
      <c r="A106"/>
      <c r="B106"/>
      <c r="C106"/>
      <c r="D106"/>
      <c r="E106"/>
      <c r="F106"/>
      <c r="H106"/>
      <c r="I106" s="69"/>
      <c r="J106" s="69"/>
      <c r="K106" s="69"/>
    </row>
    <row r="107" spans="1:12" x14ac:dyDescent="0.25">
      <c r="D107"/>
      <c r="E107"/>
      <c r="F107"/>
      <c r="H107"/>
      <c r="I107" s="69"/>
      <c r="J107" s="69"/>
      <c r="K107" s="69"/>
    </row>
    <row r="108" spans="1:12" x14ac:dyDescent="0.25">
      <c r="D108"/>
      <c r="E108"/>
      <c r="F108"/>
      <c r="H108"/>
      <c r="I108"/>
      <c r="J108"/>
      <c r="K108"/>
    </row>
    <row r="109" spans="1:12" x14ac:dyDescent="0.25">
      <c r="A109" s="78"/>
      <c r="B109"/>
      <c r="C109"/>
      <c r="D109"/>
      <c r="E109"/>
      <c r="F109"/>
      <c r="H109"/>
      <c r="I109"/>
      <c r="J109"/>
      <c r="K109"/>
    </row>
    <row r="110" spans="1:12" x14ac:dyDescent="0.25">
      <c r="A110"/>
      <c r="B110"/>
      <c r="C110"/>
      <c r="D110"/>
      <c r="E110"/>
      <c r="F110"/>
      <c r="H110"/>
      <c r="I110"/>
      <c r="J110"/>
      <c r="K110"/>
    </row>
    <row r="111" spans="1:12" x14ac:dyDescent="0.25">
      <c r="A111"/>
      <c r="B111"/>
      <c r="C111"/>
      <c r="D111"/>
      <c r="E111"/>
      <c r="F111"/>
      <c r="H111"/>
      <c r="I111"/>
      <c r="J111"/>
      <c r="K111"/>
    </row>
    <row r="112" spans="1:12" x14ac:dyDescent="0.25">
      <c r="A112"/>
      <c r="B112"/>
      <c r="C112"/>
      <c r="D112"/>
      <c r="E112"/>
      <c r="F112"/>
      <c r="H112"/>
      <c r="I112"/>
      <c r="J112"/>
      <c r="K112"/>
    </row>
    <row r="113" spans="1:11" x14ac:dyDescent="0.25">
      <c r="A113"/>
      <c r="B113"/>
      <c r="C113"/>
      <c r="D113"/>
      <c r="E113"/>
      <c r="F113"/>
    </row>
    <row r="114" spans="1:11" x14ac:dyDescent="0.25">
      <c r="A114"/>
      <c r="B114"/>
      <c r="C114"/>
      <c r="D114"/>
      <c r="E114"/>
      <c r="F114"/>
    </row>
    <row r="115" spans="1:11" x14ac:dyDescent="0.25">
      <c r="A115"/>
      <c r="B115"/>
      <c r="C115"/>
      <c r="D115"/>
      <c r="E115"/>
      <c r="F115"/>
      <c r="H115" s="68"/>
      <c r="I115"/>
      <c r="J115"/>
      <c r="K115"/>
    </row>
    <row r="116" spans="1:11" x14ac:dyDescent="0.25">
      <c r="A116"/>
      <c r="B116"/>
      <c r="C116"/>
      <c r="D116"/>
      <c r="E116"/>
      <c r="F116"/>
      <c r="H116"/>
      <c r="I116"/>
      <c r="J116"/>
      <c r="K116"/>
    </row>
    <row r="117" spans="1:11" x14ac:dyDescent="0.25">
      <c r="A117"/>
      <c r="B117"/>
      <c r="C117"/>
      <c r="D117"/>
      <c r="E117"/>
      <c r="F117"/>
      <c r="H117"/>
      <c r="I117"/>
      <c r="J117"/>
      <c r="K117"/>
    </row>
    <row r="118" spans="1:11" x14ac:dyDescent="0.25">
      <c r="A118"/>
      <c r="B118"/>
      <c r="C118"/>
      <c r="D118"/>
      <c r="E118"/>
      <c r="F118"/>
      <c r="H118"/>
      <c r="I118"/>
      <c r="J118" s="69"/>
      <c r="K118" s="69"/>
    </row>
    <row r="119" spans="1:11" x14ac:dyDescent="0.25">
      <c r="A119"/>
      <c r="B119"/>
      <c r="C119"/>
      <c r="D119"/>
      <c r="E119"/>
      <c r="F119"/>
      <c r="H119"/>
      <c r="I119"/>
      <c r="J119" s="69"/>
      <c r="K119" s="69"/>
    </row>
    <row r="120" spans="1:11" x14ac:dyDescent="0.25">
      <c r="A120"/>
      <c r="B120"/>
      <c r="C120"/>
      <c r="D120"/>
      <c r="E120"/>
      <c r="F120"/>
      <c r="H120"/>
      <c r="I120"/>
      <c r="J120" s="69"/>
      <c r="K120" s="69"/>
    </row>
    <row r="121" spans="1:11" x14ac:dyDescent="0.25">
      <c r="A121"/>
      <c r="B121"/>
      <c r="C121"/>
      <c r="D121"/>
      <c r="E121"/>
      <c r="F121"/>
      <c r="H121"/>
      <c r="I121"/>
      <c r="J121"/>
      <c r="K121"/>
    </row>
    <row r="122" spans="1:11" x14ac:dyDescent="0.25">
      <c r="A122"/>
      <c r="B122"/>
      <c r="C122"/>
      <c r="D122"/>
      <c r="E122"/>
      <c r="F122"/>
      <c r="G122"/>
      <c r="H122"/>
      <c r="I122"/>
      <c r="J122"/>
      <c r="K122"/>
    </row>
    <row r="123" spans="1:11" x14ac:dyDescent="0.25">
      <c r="A123"/>
      <c r="B123"/>
      <c r="C123"/>
      <c r="D123"/>
      <c r="E123"/>
      <c r="F123"/>
      <c r="G123"/>
      <c r="H123"/>
      <c r="I123"/>
      <c r="J123"/>
      <c r="K123"/>
    </row>
    <row r="124" spans="1:11" x14ac:dyDescent="0.25">
      <c r="A124"/>
      <c r="B124"/>
      <c r="C124"/>
      <c r="D124"/>
      <c r="E124"/>
      <c r="F124"/>
      <c r="G124"/>
      <c r="H124"/>
      <c r="I124" s="69"/>
      <c r="J124" s="69"/>
    </row>
    <row r="125" spans="1:11" x14ac:dyDescent="0.25">
      <c r="A125"/>
      <c r="B125" s="69"/>
      <c r="C125" s="69"/>
      <c r="D125"/>
      <c r="E125"/>
      <c r="F125"/>
      <c r="G125"/>
      <c r="H125"/>
      <c r="I125" s="69"/>
      <c r="J125" s="69"/>
    </row>
    <row r="126" spans="1:11" x14ac:dyDescent="0.25">
      <c r="A126"/>
      <c r="B126"/>
      <c r="C126"/>
      <c r="D126"/>
      <c r="F126"/>
      <c r="G126"/>
      <c r="H126"/>
      <c r="I126"/>
      <c r="J126"/>
    </row>
    <row r="127" spans="1:11" x14ac:dyDescent="0.25">
      <c r="A127"/>
      <c r="B127"/>
      <c r="C127"/>
      <c r="D127"/>
      <c r="F127"/>
      <c r="G127"/>
      <c r="H127"/>
      <c r="I127"/>
      <c r="J127"/>
    </row>
    <row r="128" spans="1:11" x14ac:dyDescent="0.25">
      <c r="A128"/>
      <c r="B128"/>
      <c r="C128"/>
      <c r="D128"/>
      <c r="F128"/>
      <c r="G128"/>
      <c r="H128"/>
      <c r="I128"/>
      <c r="J128"/>
    </row>
    <row r="129" spans="1:10" x14ac:dyDescent="0.25">
      <c r="A129"/>
      <c r="B129" s="69"/>
      <c r="C129" s="69"/>
      <c r="D129"/>
      <c r="F129"/>
      <c r="G129"/>
      <c r="H129"/>
      <c r="I129"/>
      <c r="J129"/>
    </row>
    <row r="130" spans="1:10" x14ac:dyDescent="0.25">
      <c r="A130"/>
      <c r="B130" s="69"/>
      <c r="C130" s="69"/>
      <c r="D130"/>
      <c r="F130"/>
      <c r="G130"/>
      <c r="H130"/>
      <c r="I130"/>
      <c r="J130"/>
    </row>
    <row r="131" spans="1:10" x14ac:dyDescent="0.25">
      <c r="A131"/>
      <c r="B131" s="69"/>
      <c r="C131" s="69"/>
      <c r="D131"/>
      <c r="F131"/>
    </row>
    <row r="132" spans="1:10" x14ac:dyDescent="0.25">
      <c r="A132"/>
      <c r="B132"/>
      <c r="C132"/>
      <c r="D132"/>
      <c r="F132"/>
    </row>
    <row r="133" spans="1:10" x14ac:dyDescent="0.25">
      <c r="A133"/>
      <c r="B133" s="69"/>
      <c r="C133" s="69"/>
      <c r="D133"/>
      <c r="F133"/>
    </row>
    <row r="134" spans="1:10" x14ac:dyDescent="0.25">
      <c r="A134"/>
      <c r="B134" s="69"/>
      <c r="C134" s="69"/>
      <c r="D134"/>
      <c r="F134"/>
    </row>
    <row r="135" spans="1:10" x14ac:dyDescent="0.25">
      <c r="A135"/>
      <c r="B135" s="69"/>
      <c r="C135" s="69"/>
      <c r="D135"/>
      <c r="F135"/>
    </row>
    <row r="136" spans="1:10" x14ac:dyDescent="0.25">
      <c r="A136"/>
      <c r="B136"/>
      <c r="C136"/>
      <c r="D136"/>
      <c r="F136"/>
    </row>
    <row r="137" spans="1:10" x14ac:dyDescent="0.25">
      <c r="A137"/>
      <c r="B137" s="69"/>
      <c r="C137" s="69"/>
      <c r="D137"/>
      <c r="F137"/>
    </row>
    <row r="138" spans="1:10" x14ac:dyDescent="0.25">
      <c r="A138"/>
      <c r="B138" s="69"/>
      <c r="C138" s="69"/>
      <c r="D138"/>
      <c r="F138"/>
    </row>
  </sheetData>
  <mergeCells count="2">
    <mergeCell ref="N52:N53"/>
    <mergeCell ref="G52:G53"/>
  </mergeCells>
  <phoneticPr fontId="0" type="noConversion"/>
  <hyperlinks>
    <hyperlink ref="A2" location="Innhold!A80" display="Tilbake til innholdsfortegnelsen"/>
  </hyperlinks>
  <pageMargins left="0.78740157480314965" right="0.70866141732283472" top="0.78740157480314965" bottom="0.19685039370078741" header="3.937007874015748E-2" footer="3.937007874015748E-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showGridLines="0" showRowColHeaders="0" topLeftCell="A2" zoomScale="80" zoomScaleNormal="80" workbookViewId="0"/>
  </sheetViews>
  <sheetFormatPr defaultColWidth="11.44140625" defaultRowHeight="15.6" customHeight="1" x14ac:dyDescent="0.25"/>
  <cols>
    <col min="1" max="1" width="27.109375" style="1" customWidth="1"/>
    <col min="2" max="4" width="10.6640625" style="1" customWidth="1"/>
    <col min="5" max="7" width="7.6640625" style="1" customWidth="1"/>
    <col min="8" max="16384" width="11.44140625" style="1"/>
  </cols>
  <sheetData>
    <row r="1" spans="1:7" ht="6" customHeight="1" x14ac:dyDescent="0.25"/>
    <row r="2" spans="1:7" ht="15.6" customHeight="1" x14ac:dyDescent="0.25">
      <c r="A2" s="95" t="s">
        <v>0</v>
      </c>
      <c r="B2" s="2"/>
      <c r="C2" s="2"/>
      <c r="D2" s="2"/>
      <c r="E2" s="2"/>
      <c r="F2" s="2"/>
    </row>
    <row r="3" spans="1:7" ht="6" customHeight="1" x14ac:dyDescent="0.25"/>
    <row r="4" spans="1:7" ht="15.6" customHeight="1" x14ac:dyDescent="0.25">
      <c r="A4" s="2"/>
      <c r="B4" s="2"/>
      <c r="C4" s="2"/>
      <c r="D4" s="2"/>
      <c r="E4" s="2"/>
      <c r="F4" s="2"/>
    </row>
    <row r="5" spans="1:7" ht="15.6" customHeight="1" x14ac:dyDescent="0.3">
      <c r="A5" s="88"/>
      <c r="B5" s="74"/>
      <c r="C5" s="74"/>
      <c r="D5" s="74"/>
      <c r="E5" s="74"/>
      <c r="F5" s="74"/>
      <c r="G5" s="74"/>
    </row>
    <row r="6" spans="1:7" ht="15.6" customHeight="1" x14ac:dyDescent="0.3">
      <c r="A6" s="88"/>
      <c r="B6" s="74"/>
      <c r="C6" s="74"/>
      <c r="D6" s="74"/>
      <c r="E6" s="74"/>
      <c r="F6" s="74"/>
      <c r="G6" s="74"/>
    </row>
    <row r="7" spans="1:7" ht="15.6" customHeight="1" x14ac:dyDescent="0.3">
      <c r="A7" s="73"/>
      <c r="B7" s="73"/>
      <c r="C7" s="73"/>
      <c r="D7" s="73"/>
      <c r="E7" s="73"/>
      <c r="F7" s="73"/>
      <c r="G7" s="73"/>
    </row>
    <row r="8" spans="1:7" ht="15.6" customHeight="1" x14ac:dyDescent="0.3">
      <c r="A8" s="73"/>
      <c r="B8" s="73"/>
      <c r="C8" s="73"/>
      <c r="D8" s="73"/>
      <c r="E8" s="73"/>
      <c r="F8" s="73"/>
      <c r="G8" s="73"/>
    </row>
    <row r="9" spans="1:7" ht="15.6" customHeight="1" x14ac:dyDescent="0.3">
      <c r="A9" s="73"/>
      <c r="B9" s="73"/>
      <c r="C9" s="73"/>
      <c r="D9" s="73"/>
      <c r="E9" s="73"/>
      <c r="F9" s="73"/>
      <c r="G9" s="73"/>
    </row>
    <row r="10" spans="1:7" ht="15.6" customHeight="1" x14ac:dyDescent="0.3">
      <c r="A10" s="73"/>
      <c r="B10" s="73"/>
      <c r="C10" s="73"/>
      <c r="D10" s="73"/>
      <c r="E10" s="73"/>
      <c r="F10" s="73"/>
      <c r="G10" s="73"/>
    </row>
    <row r="11" spans="1:7" ht="15.6" customHeight="1" x14ac:dyDescent="0.3">
      <c r="A11" s="73"/>
      <c r="B11" s="73"/>
      <c r="C11" s="73"/>
      <c r="D11" s="73"/>
      <c r="E11" s="73"/>
      <c r="F11" s="73"/>
      <c r="G11" s="73"/>
    </row>
    <row r="12" spans="1:7" ht="15.6" customHeight="1" x14ac:dyDescent="0.3">
      <c r="A12" s="73"/>
      <c r="B12" s="73"/>
      <c r="C12" s="73"/>
      <c r="D12" s="73"/>
      <c r="E12" s="73"/>
      <c r="F12" s="73"/>
      <c r="G12" s="73"/>
    </row>
    <row r="13" spans="1:7" ht="15.6" customHeight="1" x14ac:dyDescent="0.3">
      <c r="A13" s="73"/>
      <c r="B13" s="73"/>
      <c r="C13" s="73"/>
      <c r="D13" s="73"/>
      <c r="E13" s="73"/>
      <c r="F13" s="73"/>
      <c r="G13" s="73"/>
    </row>
    <row r="14" spans="1:7" ht="15.6" customHeight="1" x14ac:dyDescent="0.3">
      <c r="A14" s="73"/>
      <c r="B14" s="73"/>
      <c r="C14" s="73"/>
      <c r="D14" s="73"/>
      <c r="E14" s="73"/>
      <c r="F14" s="73"/>
      <c r="G14" s="73"/>
    </row>
    <row r="15" spans="1:7" ht="15.6" customHeight="1" x14ac:dyDescent="0.3">
      <c r="A15" s="73"/>
      <c r="B15" s="73"/>
      <c r="C15" s="73"/>
      <c r="D15" s="73"/>
      <c r="E15" s="73"/>
      <c r="F15" s="73"/>
      <c r="G15" s="73"/>
    </row>
    <row r="16" spans="1:7" ht="15.6" customHeight="1" x14ac:dyDescent="0.3">
      <c r="A16" s="73"/>
      <c r="B16" s="73"/>
      <c r="C16" s="73"/>
      <c r="D16" s="73"/>
      <c r="E16" s="73"/>
      <c r="F16" s="73"/>
      <c r="G16" s="73"/>
    </row>
    <row r="17" spans="1:13" ht="15.6" customHeight="1" x14ac:dyDescent="0.3">
      <c r="A17" s="73"/>
      <c r="B17" s="73"/>
      <c r="C17" s="73"/>
      <c r="D17" s="73"/>
      <c r="E17" s="73"/>
      <c r="F17" s="73"/>
      <c r="G17" s="73"/>
    </row>
    <row r="18" spans="1:13" ht="15.6" customHeight="1" x14ac:dyDescent="0.3">
      <c r="A18" s="73"/>
      <c r="B18" s="73"/>
      <c r="C18" s="73"/>
      <c r="D18" s="73"/>
      <c r="E18" s="73"/>
      <c r="F18" s="73"/>
      <c r="G18" s="73"/>
    </row>
    <row r="19" spans="1:13" ht="15.6" customHeight="1" x14ac:dyDescent="0.3">
      <c r="A19" s="73"/>
      <c r="B19" s="73"/>
      <c r="C19" s="73"/>
      <c r="D19" s="73"/>
      <c r="E19" s="73"/>
      <c r="F19" s="73"/>
      <c r="G19" s="73"/>
    </row>
    <row r="20" spans="1:13" ht="15.6" customHeight="1" x14ac:dyDescent="0.3">
      <c r="A20" s="73"/>
      <c r="B20" s="73"/>
      <c r="C20" s="73"/>
      <c r="D20" s="73"/>
      <c r="E20" s="73"/>
      <c r="F20" s="73"/>
      <c r="G20" s="73"/>
    </row>
    <row r="21" spans="1:13" ht="15.6" customHeight="1" x14ac:dyDescent="0.3">
      <c r="A21" s="73"/>
      <c r="B21" s="73"/>
      <c r="C21" s="73"/>
      <c r="D21" s="73"/>
      <c r="E21" s="73"/>
      <c r="F21" s="73"/>
      <c r="G21" s="73"/>
    </row>
    <row r="22" spans="1:13" ht="15.6" customHeight="1" x14ac:dyDescent="0.3">
      <c r="A22" s="73"/>
      <c r="B22" s="73"/>
      <c r="C22" s="73"/>
      <c r="D22" s="73"/>
      <c r="E22" s="73"/>
      <c r="F22" s="73"/>
      <c r="G22" s="73"/>
    </row>
    <row r="23" spans="1:13" ht="15.6" customHeight="1" x14ac:dyDescent="0.3">
      <c r="A23" s="73"/>
      <c r="B23" s="73"/>
      <c r="C23" s="73"/>
      <c r="D23" s="73"/>
      <c r="E23" s="73"/>
      <c r="F23" s="73"/>
      <c r="G23" s="73"/>
    </row>
    <row r="24" spans="1:13" ht="15.6" customHeight="1" x14ac:dyDescent="0.3">
      <c r="A24" s="73"/>
      <c r="B24" s="73"/>
      <c r="C24" s="73"/>
      <c r="D24" s="73"/>
      <c r="E24" s="73"/>
      <c r="F24" s="73"/>
      <c r="G24" s="73"/>
    </row>
    <row r="25" spans="1:13" ht="15.6" customHeight="1" x14ac:dyDescent="0.3">
      <c r="A25" s="73"/>
      <c r="B25" s="73"/>
      <c r="C25" s="73"/>
      <c r="D25" s="73"/>
      <c r="E25" s="73"/>
      <c r="F25" s="73"/>
      <c r="G25" s="73"/>
    </row>
    <row r="26" spans="1:13" ht="15.6" customHeight="1" x14ac:dyDescent="0.3">
      <c r="A26" s="73"/>
      <c r="B26" s="73"/>
      <c r="C26" s="73"/>
      <c r="D26" s="73"/>
      <c r="E26" s="73"/>
      <c r="F26" s="73"/>
      <c r="G26" s="73"/>
    </row>
    <row r="27" spans="1:13" ht="15.6" customHeight="1" x14ac:dyDescent="0.3">
      <c r="A27" s="73"/>
      <c r="B27" s="73"/>
      <c r="C27" s="73"/>
      <c r="D27" s="73"/>
      <c r="E27" s="73"/>
      <c r="F27" s="73"/>
      <c r="G27" s="73"/>
    </row>
    <row r="28" spans="1:13" ht="15.6" customHeight="1" x14ac:dyDescent="0.3">
      <c r="A28" s="73"/>
      <c r="B28" s="73"/>
      <c r="C28" s="73"/>
      <c r="D28" s="73"/>
      <c r="E28" s="73"/>
      <c r="F28" s="73"/>
      <c r="G28" s="73"/>
      <c r="M28" s="77"/>
    </row>
    <row r="29" spans="1:13" ht="15.6" customHeight="1" x14ac:dyDescent="0.3">
      <c r="A29" s="73"/>
      <c r="B29" s="73"/>
      <c r="C29" s="73"/>
      <c r="D29" s="73"/>
      <c r="E29" s="73"/>
      <c r="F29" s="73"/>
      <c r="G29" s="73"/>
      <c r="M29" s="77"/>
    </row>
    <row r="30" spans="1:13" ht="15.6" customHeight="1" x14ac:dyDescent="0.3">
      <c r="A30" s="73"/>
      <c r="B30" s="73"/>
      <c r="C30" s="73"/>
      <c r="D30" s="73"/>
      <c r="E30" s="73"/>
      <c r="F30" s="73"/>
      <c r="G30" s="73"/>
      <c r="M30" s="77"/>
    </row>
    <row r="31" spans="1:13" ht="15.6" customHeight="1" x14ac:dyDescent="0.3">
      <c r="A31" s="73"/>
      <c r="B31" s="73"/>
      <c r="C31" s="73"/>
      <c r="D31" s="73"/>
      <c r="E31" s="73"/>
      <c r="F31" s="73"/>
      <c r="G31" s="73"/>
      <c r="M31" s="77"/>
    </row>
    <row r="32" spans="1:13" ht="15.6" customHeight="1" x14ac:dyDescent="0.3">
      <c r="A32" s="73"/>
      <c r="B32" s="73"/>
      <c r="C32" s="73"/>
      <c r="D32" s="73"/>
      <c r="E32" s="73"/>
      <c r="F32" s="73"/>
      <c r="G32" s="73"/>
      <c r="M32" s="77"/>
    </row>
    <row r="33" spans="1:13" ht="15.6" customHeight="1" x14ac:dyDescent="0.3">
      <c r="A33" s="73"/>
      <c r="B33" s="73"/>
      <c r="C33" s="73"/>
      <c r="D33" s="73"/>
      <c r="E33" s="73"/>
      <c r="F33" s="73"/>
      <c r="G33" s="73"/>
      <c r="M33" s="77"/>
    </row>
    <row r="34" spans="1:13" ht="15.6" customHeight="1" x14ac:dyDescent="0.3">
      <c r="A34" s="73"/>
      <c r="B34" s="73"/>
      <c r="C34" s="73"/>
      <c r="D34" s="73"/>
      <c r="E34" s="73"/>
      <c r="F34" s="73"/>
      <c r="G34" s="73"/>
      <c r="M34" s="77"/>
    </row>
    <row r="35" spans="1:13" ht="15.6" customHeight="1" x14ac:dyDescent="0.3">
      <c r="A35" s="73"/>
      <c r="B35" s="73"/>
      <c r="C35" s="73"/>
      <c r="D35" s="73"/>
      <c r="E35" s="73"/>
      <c r="F35" s="73"/>
      <c r="G35" s="73"/>
      <c r="M35" s="77"/>
    </row>
    <row r="36" spans="1:13" ht="15.6" customHeight="1" x14ac:dyDescent="0.3">
      <c r="A36" s="73"/>
      <c r="B36" s="73"/>
      <c r="C36" s="73"/>
      <c r="D36" s="73"/>
      <c r="E36" s="73"/>
      <c r="F36" s="73"/>
      <c r="G36" s="73"/>
      <c r="M36" s="77"/>
    </row>
    <row r="37" spans="1:13" ht="15.6" customHeight="1" x14ac:dyDescent="0.3">
      <c r="A37" s="73"/>
      <c r="B37" s="73"/>
      <c r="C37" s="73"/>
      <c r="D37" s="73"/>
      <c r="E37" s="73"/>
      <c r="F37" s="73"/>
      <c r="G37" s="73"/>
      <c r="M37" s="77"/>
    </row>
    <row r="38" spans="1:13" ht="15.6" customHeight="1" x14ac:dyDescent="0.3">
      <c r="A38" s="73"/>
      <c r="B38" s="73"/>
      <c r="C38" s="73"/>
      <c r="D38" s="73"/>
      <c r="E38" s="73"/>
      <c r="F38" s="73"/>
      <c r="G38" s="73"/>
      <c r="M38" s="77"/>
    </row>
    <row r="39" spans="1:13" ht="15.6" customHeight="1" x14ac:dyDescent="0.3">
      <c r="A39" s="73"/>
      <c r="B39" s="73"/>
      <c r="C39" s="73"/>
      <c r="D39" s="73"/>
      <c r="E39" s="73"/>
      <c r="F39" s="73"/>
      <c r="G39" s="73"/>
      <c r="M39" s="77"/>
    </row>
    <row r="40" spans="1:13" ht="15.6" customHeight="1" x14ac:dyDescent="0.3">
      <c r="A40" s="73"/>
      <c r="B40" s="73"/>
      <c r="C40" s="73"/>
      <c r="D40" s="73"/>
      <c r="E40" s="73"/>
      <c r="F40" s="73"/>
      <c r="G40" s="73"/>
      <c r="M40" s="77"/>
    </row>
    <row r="41" spans="1:13" ht="15.6" customHeight="1" x14ac:dyDescent="0.3">
      <c r="A41" s="73"/>
      <c r="B41" s="73"/>
      <c r="C41" s="73"/>
      <c r="D41" s="73"/>
      <c r="E41" s="73"/>
      <c r="F41" s="73"/>
      <c r="G41" s="73"/>
      <c r="M41" s="77"/>
    </row>
    <row r="42" spans="1:13" ht="15.6" customHeight="1" x14ac:dyDescent="0.3">
      <c r="A42" s="73"/>
      <c r="B42" s="73"/>
      <c r="C42" s="73"/>
      <c r="D42" s="73"/>
      <c r="E42" s="73"/>
      <c r="F42" s="73"/>
      <c r="G42" s="73"/>
      <c r="M42" s="77"/>
    </row>
    <row r="43" spans="1:13" ht="15.6" customHeight="1" x14ac:dyDescent="0.3">
      <c r="A43" s="73"/>
      <c r="B43" s="73"/>
      <c r="C43" s="73"/>
      <c r="D43" s="73"/>
      <c r="E43" s="73"/>
      <c r="F43" s="73"/>
      <c r="G43" s="73"/>
      <c r="M43" s="77"/>
    </row>
    <row r="44" spans="1:13" ht="15.6" customHeight="1" x14ac:dyDescent="0.3">
      <c r="A44" s="73"/>
      <c r="B44" s="73"/>
      <c r="C44" s="73"/>
      <c r="D44" s="73"/>
      <c r="E44" s="73"/>
      <c r="F44" s="73"/>
      <c r="G44" s="73"/>
      <c r="M44" s="77"/>
    </row>
    <row r="45" spans="1:13" ht="15.6" customHeight="1" x14ac:dyDescent="0.3">
      <c r="A45" s="73"/>
      <c r="B45" s="73"/>
      <c r="C45" s="73"/>
      <c r="D45" s="73"/>
      <c r="E45" s="73"/>
      <c r="F45" s="73"/>
      <c r="G45" s="73"/>
      <c r="M45" s="77"/>
    </row>
    <row r="46" spans="1:13" ht="15.6" customHeight="1" x14ac:dyDescent="0.3">
      <c r="A46" s="96" t="s">
        <v>192</v>
      </c>
      <c r="B46" s="73"/>
      <c r="C46" s="73"/>
      <c r="D46" s="73"/>
      <c r="E46" s="73"/>
      <c r="F46" s="73"/>
      <c r="G46" s="73"/>
      <c r="M46" s="77"/>
    </row>
    <row r="47" spans="1:13" ht="15.6" customHeight="1" x14ac:dyDescent="0.3">
      <c r="A47" s="96" t="s">
        <v>193</v>
      </c>
      <c r="B47" s="73"/>
      <c r="C47" s="73"/>
      <c r="D47" s="73"/>
      <c r="E47" s="73"/>
      <c r="F47" s="73"/>
      <c r="G47" s="73"/>
      <c r="M47" s="77"/>
    </row>
    <row r="48" spans="1:13" ht="15.6" customHeight="1" x14ac:dyDescent="0.3">
      <c r="A48" s="96" t="s">
        <v>131</v>
      </c>
      <c r="B48" s="73"/>
      <c r="C48" s="73"/>
      <c r="D48" s="73"/>
      <c r="E48" s="73"/>
      <c r="F48" s="73"/>
      <c r="G48" s="73"/>
      <c r="M48" s="77"/>
    </row>
    <row r="49" spans="1:13" ht="15.6" customHeight="1" x14ac:dyDescent="0.3">
      <c r="A49" s="96" t="s">
        <v>191</v>
      </c>
      <c r="B49" s="73"/>
      <c r="C49" s="73"/>
      <c r="D49" s="73"/>
      <c r="E49" s="73"/>
      <c r="F49" s="73"/>
      <c r="G49" s="73"/>
      <c r="M49" s="77"/>
    </row>
    <row r="50" spans="1:13" ht="15.6" customHeight="1" x14ac:dyDescent="0.25">
      <c r="A50" s="52"/>
      <c r="B50" s="52"/>
      <c r="C50" s="52"/>
      <c r="D50" s="52"/>
      <c r="E50" s="52"/>
      <c r="F50" s="52"/>
      <c r="G50" s="52"/>
      <c r="H50" s="77"/>
    </row>
    <row r="51" spans="1:13" ht="15.6" customHeight="1" x14ac:dyDescent="0.25">
      <c r="A51" s="54" t="str">
        <f>+Innhold!B123</f>
        <v>Finans Norge / Skadestatistikk</v>
      </c>
      <c r="G51" s="194">
        <v>3</v>
      </c>
      <c r="H51" s="77"/>
    </row>
    <row r="52" spans="1:13" ht="15.6" customHeight="1" x14ac:dyDescent="0.25">
      <c r="A52" s="54" t="str">
        <f>+Innhold!B124</f>
        <v>Skadestatistikk for landbasert forsikring 2. kvartal 2016</v>
      </c>
      <c r="G52" s="195"/>
      <c r="H52" s="77"/>
    </row>
    <row r="53" spans="1:13" ht="15.6" customHeight="1" x14ac:dyDescent="0.25">
      <c r="H53" s="77"/>
    </row>
    <row r="59" spans="1:13" ht="15.6" customHeight="1" x14ac:dyDescent="0.25">
      <c r="J59"/>
      <c r="K59"/>
      <c r="L59"/>
    </row>
    <row r="60" spans="1:13" ht="15.6" customHeight="1" x14ac:dyDescent="0.25">
      <c r="J60" s="71"/>
      <c r="K60" s="72"/>
      <c r="L60" s="72"/>
    </row>
    <row r="61" spans="1:13" ht="15.6" customHeight="1" x14ac:dyDescent="0.25">
      <c r="J61" s="70"/>
      <c r="K61"/>
      <c r="L61"/>
    </row>
    <row r="62" spans="1:13" ht="15.6" customHeight="1" x14ac:dyDescent="0.25">
      <c r="J62" s="69"/>
      <c r="K62" s="69"/>
      <c r="L62" s="69"/>
    </row>
    <row r="63" spans="1:13" ht="15.6" customHeight="1" x14ac:dyDescent="0.25">
      <c r="J63" s="69"/>
      <c r="K63" s="69"/>
      <c r="L63" s="69"/>
    </row>
    <row r="64" spans="1:13" ht="15.6" customHeight="1" x14ac:dyDescent="0.25">
      <c r="J64" s="69"/>
      <c r="K64" s="69"/>
      <c r="L64" s="69"/>
    </row>
    <row r="65" spans="1:12" ht="15.6" customHeight="1" x14ac:dyDescent="0.25">
      <c r="J65" s="69"/>
      <c r="K65" s="69"/>
      <c r="L65" s="69"/>
    </row>
    <row r="66" spans="1:12" ht="15.6" customHeight="1" x14ac:dyDescent="0.25">
      <c r="J66" s="69"/>
      <c r="K66" s="69"/>
      <c r="L66" s="69"/>
    </row>
    <row r="67" spans="1:12" ht="15.6" customHeight="1" x14ac:dyDescent="0.25">
      <c r="J67" s="69"/>
      <c r="K67" s="69"/>
      <c r="L67" s="69"/>
    </row>
    <row r="68" spans="1:12" ht="15.6" customHeight="1" x14ac:dyDescent="0.25">
      <c r="J68" s="69"/>
      <c r="K68" s="69"/>
      <c r="L68" s="69"/>
    </row>
    <row r="69" spans="1:12" ht="15.6" customHeight="1" x14ac:dyDescent="0.25">
      <c r="J69"/>
      <c r="K69"/>
      <c r="L69"/>
    </row>
    <row r="70" spans="1:12" ht="15.6" customHeight="1" x14ac:dyDescent="0.25">
      <c r="J70"/>
      <c r="K70"/>
      <c r="L70"/>
    </row>
    <row r="71" spans="1:12" ht="15.6" customHeight="1" x14ac:dyDescent="0.25">
      <c r="J71"/>
      <c r="K71"/>
      <c r="L71"/>
    </row>
    <row r="72" spans="1:12" ht="15.6" customHeight="1" x14ac:dyDescent="0.25">
      <c r="A72"/>
      <c r="B72"/>
      <c r="C72"/>
      <c r="D72"/>
      <c r="E72"/>
      <c r="F72"/>
      <c r="H72"/>
      <c r="I72"/>
      <c r="J72"/>
      <c r="K72"/>
      <c r="L72"/>
    </row>
    <row r="73" spans="1:12" ht="15.6" customHeight="1" x14ac:dyDescent="0.25">
      <c r="A73"/>
      <c r="B73"/>
      <c r="C73"/>
      <c r="D73"/>
      <c r="E73"/>
      <c r="F73"/>
      <c r="H73"/>
      <c r="I73"/>
      <c r="J73"/>
      <c r="K73"/>
      <c r="L73"/>
    </row>
    <row r="74" spans="1:12" ht="15.6" customHeight="1" x14ac:dyDescent="0.25">
      <c r="A74"/>
      <c r="B74"/>
      <c r="C74"/>
      <c r="D74"/>
      <c r="E74"/>
      <c r="F74"/>
      <c r="H74"/>
      <c r="I74"/>
      <c r="J74"/>
      <c r="K74"/>
      <c r="L74"/>
    </row>
    <row r="75" spans="1:12" ht="15.6" customHeight="1" x14ac:dyDescent="0.25">
      <c r="A75"/>
      <c r="B75"/>
      <c r="C75"/>
      <c r="D75"/>
      <c r="E75"/>
      <c r="F75"/>
      <c r="H75"/>
      <c r="I75"/>
      <c r="J75"/>
      <c r="K75"/>
      <c r="L75"/>
    </row>
    <row r="76" spans="1:12" ht="15.6" customHeight="1" x14ac:dyDescent="0.25">
      <c r="A76"/>
      <c r="B76"/>
      <c r="C76"/>
      <c r="D76"/>
      <c r="E76"/>
      <c r="F76"/>
      <c r="H76"/>
      <c r="I76"/>
      <c r="J76"/>
      <c r="K76"/>
      <c r="L76"/>
    </row>
    <row r="77" spans="1:12" ht="15.6" customHeight="1" x14ac:dyDescent="0.25">
      <c r="A77"/>
      <c r="B77"/>
      <c r="C77"/>
      <c r="D77"/>
      <c r="E77"/>
      <c r="F77"/>
      <c r="H77"/>
      <c r="I77"/>
      <c r="J77"/>
      <c r="K77"/>
      <c r="L77"/>
    </row>
    <row r="78" spans="1:12" ht="15.6" customHeight="1" x14ac:dyDescent="0.25">
      <c r="A78"/>
      <c r="B78"/>
      <c r="C78"/>
      <c r="D78"/>
      <c r="E78"/>
      <c r="F78"/>
      <c r="H78"/>
      <c r="I78"/>
      <c r="J78"/>
      <c r="K78"/>
      <c r="L78"/>
    </row>
    <row r="79" spans="1:12" ht="15.6" customHeight="1" x14ac:dyDescent="0.25">
      <c r="A79"/>
      <c r="B79"/>
      <c r="C79"/>
      <c r="D79"/>
      <c r="E79"/>
      <c r="F79"/>
      <c r="H79"/>
      <c r="I79"/>
      <c r="J79"/>
      <c r="K79"/>
      <c r="L79"/>
    </row>
    <row r="80" spans="1:12" ht="15.6" customHeight="1" x14ac:dyDescent="0.25">
      <c r="A80"/>
      <c r="B80"/>
      <c r="C80"/>
      <c r="D80"/>
      <c r="E80"/>
      <c r="F80"/>
      <c r="H80"/>
      <c r="I80"/>
      <c r="J80"/>
      <c r="K80"/>
      <c r="L80"/>
    </row>
    <row r="81" spans="1:12" ht="15.6" customHeight="1" x14ac:dyDescent="0.25">
      <c r="A81"/>
      <c r="B81"/>
      <c r="C81"/>
      <c r="D81"/>
      <c r="E81"/>
      <c r="F81"/>
      <c r="H81"/>
      <c r="I81"/>
      <c r="J81"/>
      <c r="K81"/>
      <c r="L81"/>
    </row>
    <row r="82" spans="1:12" ht="15.6" customHeight="1" x14ac:dyDescent="0.25">
      <c r="A82"/>
      <c r="B82"/>
      <c r="C82"/>
      <c r="D82"/>
      <c r="E82"/>
      <c r="F82"/>
      <c r="H82"/>
      <c r="I82"/>
      <c r="J82"/>
      <c r="K82"/>
      <c r="L82"/>
    </row>
    <row r="83" spans="1:12" ht="15.6" customHeight="1" x14ac:dyDescent="0.25">
      <c r="A83"/>
      <c r="B83"/>
      <c r="C83"/>
      <c r="D83"/>
      <c r="E83"/>
      <c r="F83"/>
      <c r="H83"/>
      <c r="I83"/>
      <c r="J83"/>
      <c r="K83"/>
      <c r="L83"/>
    </row>
    <row r="84" spans="1:12" ht="15.6" customHeight="1" x14ac:dyDescent="0.25">
      <c r="A84"/>
      <c r="B84"/>
      <c r="C84"/>
      <c r="D84"/>
      <c r="E84"/>
      <c r="F84"/>
      <c r="H84"/>
      <c r="I84"/>
      <c r="J84"/>
      <c r="K84"/>
      <c r="L84"/>
    </row>
    <row r="85" spans="1:12" ht="15.6" customHeight="1" x14ac:dyDescent="0.25">
      <c r="A85"/>
      <c r="B85"/>
      <c r="C85"/>
      <c r="D85"/>
      <c r="E85"/>
      <c r="F85"/>
      <c r="H85"/>
      <c r="I85"/>
      <c r="J85"/>
      <c r="K85"/>
      <c r="L85"/>
    </row>
    <row r="86" spans="1:12" ht="15.6" customHeight="1" x14ac:dyDescent="0.25">
      <c r="A86"/>
      <c r="B86"/>
      <c r="C86"/>
      <c r="D86"/>
      <c r="E86"/>
      <c r="F86"/>
      <c r="H86"/>
      <c r="I86"/>
      <c r="J86"/>
      <c r="K86"/>
      <c r="L86"/>
    </row>
    <row r="87" spans="1:12" ht="15.6" customHeight="1" x14ac:dyDescent="0.25">
      <c r="A87"/>
      <c r="B87"/>
      <c r="C87"/>
      <c r="D87"/>
      <c r="E87"/>
      <c r="F87"/>
      <c r="H87"/>
      <c r="I87"/>
      <c r="J87"/>
      <c r="K87"/>
      <c r="L87"/>
    </row>
    <row r="88" spans="1:12" ht="15.6" customHeight="1" x14ac:dyDescent="0.25">
      <c r="A88"/>
      <c r="B88"/>
      <c r="C88"/>
      <c r="D88"/>
      <c r="E88"/>
      <c r="F88"/>
      <c r="H88"/>
      <c r="I88"/>
      <c r="J88"/>
      <c r="K88"/>
      <c r="L88"/>
    </row>
    <row r="89" spans="1:12" ht="15.6" customHeight="1" x14ac:dyDescent="0.25">
      <c r="A89"/>
      <c r="B89"/>
      <c r="C89"/>
      <c r="D89"/>
      <c r="E89"/>
      <c r="F89"/>
      <c r="H89"/>
      <c r="I89"/>
      <c r="J89"/>
      <c r="K89"/>
      <c r="L89"/>
    </row>
    <row r="90" spans="1:12" ht="15.6" customHeight="1" x14ac:dyDescent="0.25">
      <c r="A90"/>
      <c r="B90"/>
      <c r="C90"/>
      <c r="D90"/>
      <c r="E90"/>
      <c r="F90"/>
      <c r="H90"/>
      <c r="I90"/>
      <c r="J90"/>
      <c r="K90"/>
      <c r="L90"/>
    </row>
    <row r="91" spans="1:12" ht="15.6" customHeight="1" x14ac:dyDescent="0.25">
      <c r="A91"/>
      <c r="B91"/>
      <c r="C91"/>
      <c r="D91"/>
      <c r="E91"/>
      <c r="F91"/>
      <c r="H91"/>
      <c r="I91"/>
      <c r="J91"/>
      <c r="K91"/>
      <c r="L91"/>
    </row>
    <row r="92" spans="1:12" ht="15.6" customHeight="1" x14ac:dyDescent="0.25">
      <c r="A92"/>
      <c r="B92"/>
      <c r="C92"/>
      <c r="D92"/>
      <c r="E92"/>
      <c r="F92"/>
      <c r="H92"/>
      <c r="I92"/>
      <c r="J92"/>
      <c r="K92"/>
      <c r="L92"/>
    </row>
    <row r="93" spans="1:12" ht="15.6" customHeight="1" x14ac:dyDescent="0.25">
      <c r="A93"/>
      <c r="B93"/>
      <c r="C93"/>
      <c r="D93"/>
      <c r="E93"/>
      <c r="F93"/>
      <c r="H93"/>
      <c r="I93"/>
      <c r="J93"/>
      <c r="K93"/>
      <c r="L93"/>
    </row>
    <row r="94" spans="1:12" ht="15.6" customHeight="1" x14ac:dyDescent="0.25">
      <c r="A94"/>
      <c r="B94"/>
      <c r="C94"/>
      <c r="D94"/>
      <c r="E94"/>
      <c r="F94"/>
      <c r="H94"/>
      <c r="I94"/>
      <c r="J94"/>
      <c r="K94"/>
      <c r="L94"/>
    </row>
    <row r="95" spans="1:12" ht="15.6" customHeight="1" x14ac:dyDescent="0.25">
      <c r="A95"/>
      <c r="B95"/>
      <c r="C95"/>
      <c r="D95"/>
      <c r="E95"/>
      <c r="F95"/>
      <c r="H95"/>
      <c r="I95"/>
      <c r="J95"/>
      <c r="K95"/>
      <c r="L95"/>
    </row>
    <row r="96" spans="1:12" ht="15.6" customHeight="1" x14ac:dyDescent="0.25">
      <c r="A96"/>
      <c r="B96"/>
      <c r="C96"/>
      <c r="D96"/>
      <c r="E96"/>
      <c r="F96"/>
      <c r="H96"/>
      <c r="I96"/>
      <c r="J96"/>
      <c r="K96"/>
      <c r="L96"/>
    </row>
    <row r="97" spans="1:12" ht="15.6" customHeight="1" x14ac:dyDescent="0.25">
      <c r="A97"/>
      <c r="B97"/>
      <c r="C97"/>
      <c r="D97"/>
      <c r="E97"/>
      <c r="F97"/>
      <c r="H97"/>
      <c r="I97"/>
      <c r="J97"/>
      <c r="K97"/>
      <c r="L97"/>
    </row>
    <row r="98" spans="1:12" ht="15.6" customHeight="1" x14ac:dyDescent="0.25">
      <c r="A98"/>
      <c r="B98"/>
      <c r="C98"/>
      <c r="D98"/>
      <c r="E98"/>
      <c r="F98"/>
      <c r="K98"/>
    </row>
    <row r="99" spans="1:12" ht="15.6" customHeight="1" x14ac:dyDescent="0.25">
      <c r="A99"/>
      <c r="B99"/>
      <c r="C99"/>
      <c r="D99"/>
      <c r="E99"/>
      <c r="F99"/>
      <c r="K99"/>
    </row>
    <row r="100" spans="1:12" ht="15.6" customHeight="1" x14ac:dyDescent="0.25">
      <c r="A100"/>
      <c r="B100"/>
      <c r="C100"/>
      <c r="D100"/>
      <c r="E100"/>
      <c r="F100"/>
      <c r="H100" s="68"/>
      <c r="I100"/>
      <c r="J100"/>
      <c r="K100"/>
    </row>
    <row r="101" spans="1:12" ht="15.6" customHeight="1" x14ac:dyDescent="0.25">
      <c r="A101"/>
      <c r="B101"/>
      <c r="C101"/>
      <c r="D101"/>
      <c r="E101"/>
      <c r="F101"/>
      <c r="H101"/>
      <c r="I101"/>
      <c r="J101"/>
      <c r="K101"/>
    </row>
    <row r="102" spans="1:12" ht="15.6" customHeight="1" x14ac:dyDescent="0.25">
      <c r="A102"/>
      <c r="B102"/>
      <c r="C102"/>
      <c r="D102"/>
      <c r="E102"/>
      <c r="F102"/>
      <c r="H102"/>
      <c r="I102"/>
      <c r="J102"/>
      <c r="K102"/>
    </row>
    <row r="103" spans="1:12" ht="15.6" customHeight="1" x14ac:dyDescent="0.25">
      <c r="A103"/>
      <c r="B103"/>
      <c r="C103"/>
      <c r="D103"/>
      <c r="E103"/>
      <c r="F103"/>
      <c r="H103"/>
      <c r="I103"/>
      <c r="J103"/>
      <c r="K103"/>
    </row>
    <row r="104" spans="1:12" ht="15.6" customHeight="1" x14ac:dyDescent="0.25">
      <c r="A104"/>
      <c r="B104"/>
      <c r="C104"/>
      <c r="D104"/>
      <c r="E104"/>
      <c r="F104"/>
      <c r="H104"/>
      <c r="I104" s="69"/>
      <c r="J104" s="69"/>
      <c r="K104" s="69"/>
    </row>
    <row r="105" spans="1:12" ht="15.6" customHeight="1" x14ac:dyDescent="0.25">
      <c r="A105"/>
      <c r="B105"/>
      <c r="C105"/>
      <c r="D105"/>
      <c r="E105"/>
      <c r="F105"/>
      <c r="H105"/>
      <c r="I105" s="69"/>
      <c r="J105" s="69"/>
      <c r="K105" s="69"/>
    </row>
    <row r="106" spans="1:12" ht="15.6" customHeight="1" x14ac:dyDescent="0.25">
      <c r="D106"/>
      <c r="E106"/>
      <c r="F106"/>
      <c r="H106"/>
      <c r="I106" s="69"/>
      <c r="J106" s="69"/>
      <c r="K106" s="69"/>
    </row>
    <row r="107" spans="1:12" ht="15.6" customHeight="1" x14ac:dyDescent="0.25">
      <c r="D107"/>
      <c r="E107"/>
      <c r="F107"/>
      <c r="H107"/>
      <c r="I107"/>
      <c r="J107"/>
      <c r="K107"/>
    </row>
    <row r="108" spans="1:12" ht="15.6" customHeight="1" x14ac:dyDescent="0.25">
      <c r="A108" s="78"/>
      <c r="B108"/>
      <c r="C108"/>
      <c r="D108"/>
      <c r="E108"/>
      <c r="F108"/>
      <c r="H108"/>
      <c r="I108"/>
      <c r="J108"/>
      <c r="K108"/>
    </row>
    <row r="109" spans="1:12" ht="15.6" customHeight="1" x14ac:dyDescent="0.25">
      <c r="A109"/>
      <c r="B109"/>
      <c r="C109"/>
      <c r="D109"/>
      <c r="E109"/>
      <c r="F109"/>
      <c r="H109"/>
      <c r="I109"/>
      <c r="J109"/>
      <c r="K109"/>
    </row>
    <row r="110" spans="1:12" ht="15.6" customHeight="1" x14ac:dyDescent="0.25">
      <c r="A110"/>
      <c r="B110"/>
      <c r="C110"/>
      <c r="D110"/>
      <c r="E110"/>
      <c r="F110"/>
      <c r="H110"/>
      <c r="I110"/>
      <c r="J110"/>
      <c r="K110"/>
    </row>
    <row r="111" spans="1:12" ht="15.6" customHeight="1" x14ac:dyDescent="0.25">
      <c r="A111"/>
      <c r="B111"/>
      <c r="C111"/>
      <c r="D111"/>
      <c r="E111"/>
      <c r="F111"/>
      <c r="H111"/>
      <c r="I111"/>
      <c r="J111"/>
      <c r="K111"/>
    </row>
    <row r="112" spans="1:12" ht="15.6" customHeight="1" x14ac:dyDescent="0.25">
      <c r="A112"/>
      <c r="B112"/>
      <c r="C112"/>
      <c r="D112"/>
      <c r="E112"/>
      <c r="F112"/>
    </row>
    <row r="113" spans="1:11" ht="15.6" customHeight="1" x14ac:dyDescent="0.25">
      <c r="A113"/>
      <c r="B113"/>
      <c r="C113"/>
      <c r="D113"/>
      <c r="E113"/>
      <c r="F113"/>
    </row>
    <row r="114" spans="1:11" ht="15.6" customHeight="1" x14ac:dyDescent="0.25">
      <c r="A114"/>
      <c r="B114"/>
      <c r="C114"/>
      <c r="D114"/>
      <c r="E114"/>
      <c r="F114"/>
      <c r="H114" s="68"/>
      <c r="I114"/>
      <c r="J114"/>
      <c r="K114"/>
    </row>
    <row r="115" spans="1:11" ht="15.6" customHeight="1" x14ac:dyDescent="0.25">
      <c r="A115"/>
      <c r="B115"/>
      <c r="C115"/>
      <c r="D115"/>
      <c r="E115"/>
      <c r="F115"/>
      <c r="H115"/>
      <c r="I115"/>
      <c r="J115"/>
      <c r="K115"/>
    </row>
    <row r="116" spans="1:11" ht="15.6" customHeight="1" x14ac:dyDescent="0.25">
      <c r="A116"/>
      <c r="B116"/>
      <c r="C116"/>
      <c r="D116"/>
      <c r="E116"/>
      <c r="F116"/>
      <c r="H116"/>
      <c r="I116"/>
      <c r="J116"/>
      <c r="K116"/>
    </row>
    <row r="117" spans="1:11" ht="15.6" customHeight="1" x14ac:dyDescent="0.25">
      <c r="A117"/>
      <c r="B117"/>
      <c r="C117"/>
      <c r="D117"/>
      <c r="E117"/>
      <c r="F117"/>
      <c r="H117"/>
      <c r="I117"/>
      <c r="J117" s="69"/>
      <c r="K117" s="69"/>
    </row>
    <row r="118" spans="1:11" ht="15.6" customHeight="1" x14ac:dyDescent="0.25">
      <c r="A118"/>
      <c r="B118"/>
      <c r="C118"/>
      <c r="D118"/>
      <c r="E118"/>
      <c r="F118"/>
      <c r="H118"/>
      <c r="I118"/>
      <c r="J118" s="69"/>
      <c r="K118" s="69"/>
    </row>
    <row r="119" spans="1:11" ht="15.6" customHeight="1" x14ac:dyDescent="0.25">
      <c r="A119"/>
      <c r="B119"/>
      <c r="C119"/>
      <c r="D119"/>
      <c r="E119"/>
      <c r="F119"/>
      <c r="H119"/>
      <c r="I119"/>
      <c r="J119" s="69"/>
      <c r="K119" s="69"/>
    </row>
    <row r="120" spans="1:11" ht="15.6" customHeight="1" x14ac:dyDescent="0.25">
      <c r="A120"/>
      <c r="B120"/>
      <c r="C120"/>
      <c r="D120"/>
      <c r="E120"/>
      <c r="F120"/>
      <c r="H120"/>
      <c r="I120"/>
      <c r="J120"/>
      <c r="K120"/>
    </row>
    <row r="121" spans="1:11" ht="15.6" customHeight="1" x14ac:dyDescent="0.25">
      <c r="A121"/>
      <c r="B121"/>
      <c r="C121"/>
      <c r="D121"/>
      <c r="E121"/>
      <c r="F121"/>
      <c r="G121"/>
      <c r="H121"/>
      <c r="I121"/>
      <c r="J121"/>
      <c r="K121"/>
    </row>
    <row r="122" spans="1:11" ht="15.6" customHeight="1" x14ac:dyDescent="0.25">
      <c r="A122"/>
      <c r="B122"/>
      <c r="C122"/>
      <c r="D122"/>
      <c r="E122"/>
      <c r="F122"/>
      <c r="G122"/>
      <c r="H122"/>
      <c r="I122"/>
      <c r="J122"/>
      <c r="K122"/>
    </row>
    <row r="123" spans="1:11" ht="15.6" customHeight="1" x14ac:dyDescent="0.25">
      <c r="A123"/>
      <c r="B123"/>
      <c r="C123"/>
      <c r="D123"/>
      <c r="E123"/>
      <c r="F123"/>
      <c r="G123"/>
      <c r="H123"/>
      <c r="I123" s="69"/>
      <c r="J123" s="69"/>
    </row>
    <row r="124" spans="1:11" ht="15.6" customHeight="1" x14ac:dyDescent="0.25">
      <c r="A124"/>
      <c r="B124" s="69"/>
      <c r="C124" s="69"/>
      <c r="D124"/>
      <c r="E124"/>
      <c r="F124"/>
      <c r="G124"/>
      <c r="H124"/>
      <c r="I124" s="69"/>
      <c r="J124" s="69"/>
    </row>
    <row r="125" spans="1:11" ht="15.6" customHeight="1" x14ac:dyDescent="0.25">
      <c r="A125"/>
      <c r="B125"/>
      <c r="C125"/>
      <c r="D125"/>
      <c r="F125"/>
      <c r="G125"/>
      <c r="H125"/>
      <c r="I125"/>
      <c r="J125"/>
    </row>
    <row r="126" spans="1:11" ht="15.6" customHeight="1" x14ac:dyDescent="0.25">
      <c r="A126"/>
      <c r="B126"/>
      <c r="C126"/>
      <c r="D126"/>
      <c r="F126"/>
      <c r="G126"/>
      <c r="H126"/>
      <c r="I126"/>
      <c r="J126"/>
    </row>
    <row r="127" spans="1:11" ht="15.6" customHeight="1" x14ac:dyDescent="0.25">
      <c r="A127"/>
      <c r="B127"/>
      <c r="C127"/>
      <c r="D127"/>
      <c r="F127"/>
      <c r="G127"/>
      <c r="H127"/>
      <c r="I127"/>
      <c r="J127"/>
    </row>
    <row r="128" spans="1:11" ht="15.6" customHeight="1" x14ac:dyDescent="0.25">
      <c r="A128"/>
      <c r="B128" s="69"/>
      <c r="C128" s="69"/>
      <c r="D128"/>
      <c r="F128"/>
      <c r="G128"/>
      <c r="H128"/>
      <c r="I128"/>
      <c r="J128"/>
    </row>
    <row r="129" spans="1:10" ht="15.6" customHeight="1" x14ac:dyDescent="0.25">
      <c r="A129"/>
      <c r="B129" s="69"/>
      <c r="C129" s="69"/>
      <c r="D129"/>
      <c r="F129"/>
      <c r="G129"/>
      <c r="H129"/>
      <c r="I129"/>
      <c r="J129"/>
    </row>
    <row r="130" spans="1:10" ht="15.6" customHeight="1" x14ac:dyDescent="0.25">
      <c r="A130"/>
      <c r="B130" s="69"/>
      <c r="C130" s="69"/>
      <c r="D130"/>
      <c r="F130"/>
    </row>
    <row r="131" spans="1:10" ht="15.6" customHeight="1" x14ac:dyDescent="0.25">
      <c r="A131"/>
      <c r="B131"/>
      <c r="C131"/>
      <c r="D131"/>
      <c r="F131"/>
    </row>
    <row r="132" spans="1:10" ht="15.6" customHeight="1" x14ac:dyDescent="0.25">
      <c r="A132"/>
      <c r="B132" s="69"/>
      <c r="C132" s="69"/>
      <c r="D132"/>
      <c r="F132"/>
    </row>
    <row r="133" spans="1:10" ht="15.6" customHeight="1" x14ac:dyDescent="0.25">
      <c r="A133"/>
      <c r="B133" s="69"/>
      <c r="C133" s="69"/>
      <c r="D133"/>
      <c r="F133"/>
    </row>
    <row r="134" spans="1:10" ht="15.6" customHeight="1" x14ac:dyDescent="0.25">
      <c r="A134"/>
      <c r="B134" s="69"/>
      <c r="C134" s="69"/>
      <c r="D134"/>
      <c r="F134"/>
    </row>
    <row r="135" spans="1:10" ht="15.6" customHeight="1" x14ac:dyDescent="0.25">
      <c r="A135"/>
      <c r="B135"/>
      <c r="C135"/>
      <c r="D135"/>
      <c r="F135"/>
    </row>
    <row r="136" spans="1:10" ht="15.6" customHeight="1" x14ac:dyDescent="0.25">
      <c r="A136"/>
      <c r="B136" s="69"/>
      <c r="C136" s="69"/>
      <c r="D136"/>
      <c r="F136"/>
    </row>
    <row r="137" spans="1:10" ht="15.6" customHeight="1" x14ac:dyDescent="0.25">
      <c r="A137"/>
      <c r="B137" s="69"/>
      <c r="C137" s="69"/>
      <c r="D137"/>
      <c r="F137"/>
    </row>
  </sheetData>
  <mergeCells count="1">
    <mergeCell ref="G51:G52"/>
  </mergeCells>
  <phoneticPr fontId="0" type="noConversion"/>
  <hyperlinks>
    <hyperlink ref="A2" location="Innhold!A8" display="Tilbake til innholdsfortegnelsen"/>
  </hyperlinks>
  <pageMargins left="0.78740157480314965" right="0.59055118110236227" top="0.98425196850393704" bottom="0.19685039370078741" header="3.937007874015748E-2" footer="3.937007874015748E-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07"/>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21" width="11.44140625" style="1" customWidth="1"/>
    <col min="22" max="22" width="15.44140625" style="1" customWidth="1"/>
    <col min="23" max="16384" width="11.44140625" style="1"/>
  </cols>
  <sheetData>
    <row r="1" spans="1:36" ht="5.25" customHeight="1" x14ac:dyDescent="0.25"/>
    <row r="2" spans="1:36" x14ac:dyDescent="0.25">
      <c r="A2" s="95" t="s">
        <v>0</v>
      </c>
      <c r="B2" s="2"/>
      <c r="C2" s="2"/>
      <c r="D2" s="2"/>
      <c r="E2" s="2"/>
      <c r="F2" s="2"/>
      <c r="G2" s="2"/>
    </row>
    <row r="3" spans="1:36" ht="6" customHeight="1" x14ac:dyDescent="0.25">
      <c r="A3" s="3"/>
      <c r="B3" s="2"/>
      <c r="C3" s="2"/>
      <c r="D3" s="2"/>
      <c r="E3" s="2"/>
      <c r="F3" s="2"/>
      <c r="G3" s="2"/>
    </row>
    <row r="4" spans="1:36" ht="12.75" customHeight="1" x14ac:dyDescent="0.25">
      <c r="A4" s="196" t="s">
        <v>90</v>
      </c>
      <c r="B4" s="2"/>
      <c r="C4" s="2"/>
      <c r="D4" s="2"/>
      <c r="E4" s="2"/>
      <c r="F4" s="2"/>
      <c r="G4" s="2"/>
      <c r="H4" s="67"/>
    </row>
    <row r="5" spans="1:36" ht="12.75" customHeight="1" x14ac:dyDescent="0.25">
      <c r="A5" s="196"/>
      <c r="B5" s="2"/>
      <c r="C5" s="2"/>
      <c r="D5" s="2"/>
      <c r="E5" s="2"/>
      <c r="F5" s="2"/>
      <c r="G5" s="2"/>
      <c r="H5" s="67"/>
    </row>
    <row r="6" spans="1:36" ht="15.6" x14ac:dyDescent="0.3">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183</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ht="15.6" x14ac:dyDescent="0.3">
      <c r="A7" s="3"/>
      <c r="B7" s="2"/>
      <c r="C7" s="2"/>
      <c r="D7" s="2"/>
      <c r="E7" s="2"/>
      <c r="F7" s="2"/>
      <c r="G7" s="2"/>
      <c r="H7" s="67"/>
      <c r="V7" s="88"/>
      <c r="AJ7" s="88"/>
    </row>
    <row r="8" spans="1:36" x14ac:dyDescent="0.25">
      <c r="A8" s="3"/>
      <c r="B8" s="2"/>
      <c r="C8" s="2"/>
      <c r="D8" s="2"/>
      <c r="E8" s="2"/>
      <c r="F8" s="2"/>
      <c r="G8" s="2"/>
      <c r="H8" s="67"/>
    </row>
    <row r="9" spans="1:36" x14ac:dyDescent="0.25">
      <c r="A9" s="3"/>
      <c r="B9" s="2"/>
      <c r="C9" s="2"/>
      <c r="D9" s="2"/>
      <c r="E9" s="2"/>
      <c r="F9" s="2"/>
      <c r="G9" s="2"/>
      <c r="H9" s="67"/>
    </row>
    <row r="10" spans="1:36" x14ac:dyDescent="0.25">
      <c r="A10" s="3"/>
      <c r="B10" s="2"/>
      <c r="C10" s="2"/>
      <c r="D10" s="2"/>
      <c r="E10" s="2"/>
      <c r="F10" s="2"/>
      <c r="G10" s="2"/>
      <c r="H10" s="67"/>
    </row>
    <row r="11" spans="1:36" x14ac:dyDescent="0.25">
      <c r="A11" s="3"/>
      <c r="B11" s="2"/>
      <c r="C11" s="2"/>
      <c r="D11" s="2"/>
      <c r="E11" s="2"/>
      <c r="F11" s="2"/>
      <c r="G11" s="2"/>
      <c r="H11" s="67"/>
    </row>
    <row r="12" spans="1:36" x14ac:dyDescent="0.25">
      <c r="A12" s="3"/>
      <c r="B12" s="2"/>
      <c r="C12" s="2"/>
      <c r="D12" s="2"/>
      <c r="E12" s="2"/>
      <c r="F12" s="2"/>
      <c r="G12" s="2"/>
      <c r="H12" s="67"/>
    </row>
    <row r="13" spans="1:36" x14ac:dyDescent="0.25">
      <c r="A13" s="3"/>
      <c r="B13" s="2"/>
      <c r="C13" s="2"/>
      <c r="D13" s="2"/>
      <c r="E13" s="2"/>
      <c r="F13" s="2"/>
      <c r="G13" s="2"/>
      <c r="H13" s="67"/>
    </row>
    <row r="14" spans="1:36" x14ac:dyDescent="0.25">
      <c r="A14" s="3"/>
      <c r="B14" s="2"/>
      <c r="C14" s="2"/>
      <c r="D14" s="2"/>
      <c r="E14" s="2"/>
      <c r="F14" s="2"/>
      <c r="G14" s="2"/>
      <c r="H14" s="67"/>
    </row>
    <row r="15" spans="1:36" x14ac:dyDescent="0.25">
      <c r="A15" s="3"/>
      <c r="B15" s="2"/>
      <c r="C15" s="2"/>
      <c r="D15" s="2"/>
      <c r="E15" s="2"/>
      <c r="F15" s="2"/>
      <c r="G15" s="2"/>
      <c r="H15" s="67"/>
    </row>
    <row r="16" spans="1:36" x14ac:dyDescent="0.25">
      <c r="A16" s="3"/>
      <c r="B16" s="2"/>
      <c r="C16" s="2"/>
      <c r="D16" s="2"/>
      <c r="E16" s="2"/>
      <c r="F16" s="2"/>
      <c r="G16" s="2"/>
      <c r="H16" s="67"/>
    </row>
    <row r="17" spans="1:30" x14ac:dyDescent="0.25">
      <c r="A17" s="3"/>
      <c r="B17" s="2"/>
      <c r="C17" s="2"/>
      <c r="D17" s="2"/>
      <c r="E17" s="2"/>
      <c r="F17" s="2"/>
      <c r="G17" s="2"/>
      <c r="H17" s="67"/>
    </row>
    <row r="18" spans="1:30" x14ac:dyDescent="0.25">
      <c r="A18" s="3"/>
      <c r="B18" s="2"/>
      <c r="C18" s="2"/>
      <c r="D18" s="2"/>
      <c r="E18" s="2"/>
      <c r="F18" s="2"/>
      <c r="G18" s="2"/>
      <c r="H18" s="67"/>
    </row>
    <row r="19" spans="1:30" x14ac:dyDescent="0.25">
      <c r="A19" s="3"/>
      <c r="B19" s="2"/>
      <c r="C19" s="2"/>
      <c r="D19" s="2"/>
      <c r="E19" s="2"/>
      <c r="F19" s="2"/>
      <c r="G19" s="2"/>
      <c r="H19" s="67"/>
    </row>
    <row r="20" spans="1:30" x14ac:dyDescent="0.25">
      <c r="A20" s="3"/>
      <c r="B20" s="2"/>
      <c r="C20" s="2"/>
      <c r="D20" s="2"/>
      <c r="E20" s="2"/>
      <c r="F20" s="2"/>
      <c r="G20" s="2"/>
      <c r="H20" s="67"/>
    </row>
    <row r="21" spans="1:30" x14ac:dyDescent="0.25">
      <c r="A21" s="3"/>
      <c r="B21" s="2"/>
      <c r="C21" s="2"/>
      <c r="D21" s="2"/>
      <c r="E21" s="2"/>
      <c r="F21" s="2"/>
      <c r="G21" s="2"/>
      <c r="H21" s="67"/>
    </row>
    <row r="22" spans="1:30" x14ac:dyDescent="0.25">
      <c r="A22" s="3"/>
      <c r="B22" s="2"/>
      <c r="C22" s="2"/>
      <c r="D22" s="2"/>
      <c r="E22" s="2"/>
      <c r="F22" s="2"/>
      <c r="G22" s="2"/>
      <c r="H22" s="67"/>
    </row>
    <row r="23" spans="1:30" x14ac:dyDescent="0.25">
      <c r="A23" s="3"/>
      <c r="B23" s="2"/>
      <c r="C23" s="2"/>
      <c r="D23" s="2"/>
      <c r="E23" s="2"/>
      <c r="F23" s="2"/>
      <c r="G23" s="2"/>
      <c r="H23" s="67"/>
    </row>
    <row r="24" spans="1:30" x14ac:dyDescent="0.25">
      <c r="A24" s="3"/>
      <c r="B24" s="2"/>
      <c r="C24" s="2"/>
      <c r="D24" s="2"/>
      <c r="E24" s="2"/>
      <c r="F24" s="2"/>
      <c r="G24" s="2"/>
      <c r="H24" s="67"/>
    </row>
    <row r="25" spans="1:30" x14ac:dyDescent="0.25">
      <c r="A25" s="3"/>
      <c r="B25" s="2"/>
      <c r="C25" s="2"/>
      <c r="D25" s="2"/>
      <c r="E25" s="2"/>
      <c r="F25" s="2"/>
      <c r="G25" s="2"/>
      <c r="H25" s="67"/>
    </row>
    <row r="26" spans="1:30" x14ac:dyDescent="0.25">
      <c r="A26" s="3"/>
      <c r="B26" s="2"/>
      <c r="C26" s="2"/>
      <c r="D26" s="2"/>
      <c r="E26" s="2"/>
      <c r="F26" s="2"/>
      <c r="G26" s="2"/>
      <c r="H26" s="67"/>
    </row>
    <row r="27" spans="1:30" x14ac:dyDescent="0.25">
      <c r="A27" s="3"/>
      <c r="B27" s="2"/>
      <c r="C27" s="2"/>
      <c r="D27" s="2"/>
      <c r="E27" s="2"/>
      <c r="F27" s="2"/>
      <c r="G27" s="2"/>
      <c r="H27" s="67"/>
    </row>
    <row r="28" spans="1:30" x14ac:dyDescent="0.25">
      <c r="A28" s="3"/>
      <c r="B28" s="2"/>
      <c r="C28" s="2"/>
      <c r="D28" s="2"/>
      <c r="E28" s="2"/>
      <c r="F28" s="2"/>
      <c r="G28" s="2"/>
      <c r="H28" s="67"/>
    </row>
    <row r="29" spans="1:30" x14ac:dyDescent="0.25">
      <c r="A29" s="3"/>
      <c r="B29" s="2"/>
      <c r="C29" s="2"/>
      <c r="D29" s="2"/>
      <c r="E29" s="2"/>
      <c r="F29" s="2"/>
      <c r="G29" s="2"/>
      <c r="H29" s="67"/>
    </row>
    <row r="30" spans="1:30" x14ac:dyDescent="0.25">
      <c r="A30" s="3"/>
      <c r="B30" s="2"/>
      <c r="C30" s="2"/>
      <c r="D30" s="2"/>
      <c r="E30" s="2"/>
      <c r="F30" s="2"/>
      <c r="G30" s="2"/>
      <c r="H30" s="67"/>
    </row>
    <row r="31" spans="1:30" x14ac:dyDescent="0.25">
      <c r="A31" s="3"/>
      <c r="B31" s="2"/>
      <c r="C31" s="2"/>
      <c r="D31" s="2"/>
      <c r="E31" s="2"/>
      <c r="F31" s="2"/>
      <c r="G31" s="2"/>
      <c r="H31" s="67"/>
    </row>
    <row r="32" spans="1:30" ht="15.6" x14ac:dyDescent="0.3">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2016</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x14ac:dyDescent="0.25">
      <c r="A33" s="3"/>
      <c r="B33" s="2"/>
      <c r="C33" s="2"/>
      <c r="D33" s="2"/>
      <c r="E33" s="2"/>
      <c r="F33" s="2"/>
      <c r="G33" s="2"/>
      <c r="H33" s="67"/>
    </row>
    <row r="34" spans="1:8" x14ac:dyDescent="0.25">
      <c r="A34" s="3"/>
      <c r="B34" s="2"/>
      <c r="C34" s="2"/>
      <c r="D34" s="2"/>
      <c r="E34" s="2"/>
      <c r="F34" s="2"/>
      <c r="G34" s="2"/>
      <c r="H34" s="67"/>
    </row>
    <row r="35" spans="1:8" x14ac:dyDescent="0.25">
      <c r="A35" s="3"/>
      <c r="B35" s="2"/>
      <c r="C35" s="2"/>
      <c r="D35" s="2"/>
      <c r="E35" s="2"/>
      <c r="F35" s="2"/>
      <c r="G35" s="2"/>
      <c r="H35" s="67"/>
    </row>
    <row r="36" spans="1:8" x14ac:dyDescent="0.25">
      <c r="A36" s="3"/>
      <c r="B36" s="2"/>
      <c r="C36" s="2"/>
      <c r="D36" s="2"/>
      <c r="E36" s="2"/>
      <c r="F36" s="2"/>
      <c r="G36" s="2"/>
      <c r="H36" s="67"/>
    </row>
    <row r="37" spans="1:8" x14ac:dyDescent="0.25">
      <c r="A37" s="47"/>
      <c r="B37" s="48"/>
      <c r="C37" s="49"/>
      <c r="D37" s="49"/>
      <c r="E37" s="49"/>
      <c r="F37" s="49"/>
      <c r="G37" s="50"/>
      <c r="H37" s="51"/>
    </row>
    <row r="38" spans="1:8" x14ac:dyDescent="0.25">
      <c r="A38" s="47"/>
      <c r="B38" s="48"/>
      <c r="C38" s="49"/>
      <c r="D38" s="49"/>
      <c r="E38" s="49"/>
      <c r="F38" s="49"/>
      <c r="G38" s="50"/>
      <c r="H38" s="51"/>
    </row>
    <row r="39" spans="1:8" x14ac:dyDescent="0.25">
      <c r="A39" s="47"/>
      <c r="B39" s="48"/>
      <c r="C39" s="49"/>
      <c r="D39" s="49"/>
      <c r="E39" s="49"/>
      <c r="F39" s="49"/>
      <c r="G39" s="50"/>
      <c r="H39" s="51"/>
    </row>
    <row r="40" spans="1:8" x14ac:dyDescent="0.25">
      <c r="A40" s="47"/>
      <c r="B40" s="48"/>
      <c r="C40" s="49"/>
      <c r="D40" s="49"/>
      <c r="E40" s="49"/>
      <c r="F40" s="49"/>
      <c r="G40" s="50"/>
      <c r="H40" s="51"/>
    </row>
    <row r="41" spans="1:8" x14ac:dyDescent="0.25">
      <c r="A41" s="47"/>
      <c r="B41" s="48"/>
      <c r="C41" s="49"/>
      <c r="D41" s="49"/>
      <c r="E41" s="49"/>
      <c r="F41" s="49"/>
      <c r="G41" s="50"/>
      <c r="H41" s="51"/>
    </row>
    <row r="42" spans="1:8" x14ac:dyDescent="0.25">
      <c r="A42" s="47"/>
      <c r="B42" s="48"/>
      <c r="C42" s="49"/>
      <c r="D42" s="49"/>
      <c r="E42" s="49"/>
      <c r="F42" s="49"/>
      <c r="G42" s="50"/>
      <c r="H42" s="51"/>
    </row>
    <row r="43" spans="1:8" x14ac:dyDescent="0.25">
      <c r="A43" s="47"/>
      <c r="B43" s="48"/>
      <c r="C43" s="49"/>
      <c r="D43" s="49"/>
      <c r="E43" s="49"/>
      <c r="F43" s="49"/>
      <c r="G43" s="50"/>
      <c r="H43" s="51"/>
    </row>
    <row r="44" spans="1:8" x14ac:dyDescent="0.25">
      <c r="A44" s="47"/>
      <c r="B44" s="48"/>
      <c r="C44" s="49"/>
      <c r="D44" s="49"/>
      <c r="E44" s="49"/>
      <c r="F44" s="49"/>
      <c r="G44" s="50"/>
      <c r="H44" s="51"/>
    </row>
    <row r="45" spans="1:8" x14ac:dyDescent="0.25">
      <c r="A45" s="47"/>
      <c r="B45" s="48"/>
      <c r="C45" s="49"/>
      <c r="D45" s="49"/>
      <c r="E45" s="49"/>
      <c r="F45" s="49"/>
      <c r="G45" s="50"/>
      <c r="H45" s="51"/>
    </row>
    <row r="46" spans="1:8" x14ac:dyDescent="0.25">
      <c r="A46" s="47"/>
      <c r="B46" s="48"/>
      <c r="C46" s="49"/>
      <c r="D46" s="49"/>
      <c r="E46" s="49"/>
      <c r="F46" s="49"/>
      <c r="G46" s="50"/>
      <c r="H46" s="51"/>
    </row>
    <row r="47" spans="1:8" x14ac:dyDescent="0.25">
      <c r="A47" s="47"/>
      <c r="B47" s="48"/>
      <c r="C47" s="49"/>
      <c r="D47" s="49"/>
      <c r="E47" s="49"/>
      <c r="F47" s="49"/>
      <c r="G47" s="50"/>
      <c r="H47" s="51"/>
    </row>
    <row r="48" spans="1:8" x14ac:dyDescent="0.25">
      <c r="A48" s="47"/>
      <c r="B48" s="48"/>
      <c r="C48" s="49"/>
      <c r="D48" s="49"/>
      <c r="E48" s="49"/>
      <c r="F48" s="49"/>
      <c r="G48" s="50"/>
      <c r="H48" s="51"/>
    </row>
    <row r="49" spans="1:36" x14ac:dyDescent="0.25">
      <c r="A49" s="47"/>
      <c r="B49" s="48"/>
      <c r="C49" s="49"/>
      <c r="D49" s="49"/>
      <c r="E49" s="122"/>
      <c r="F49" s="49"/>
      <c r="G49" s="50"/>
      <c r="H49" s="51"/>
    </row>
    <row r="50" spans="1:36" x14ac:dyDescent="0.25">
      <c r="A50" s="47"/>
      <c r="B50" s="48"/>
      <c r="C50" s="49"/>
      <c r="D50" s="49"/>
      <c r="E50" s="49"/>
      <c r="F50" s="49"/>
      <c r="G50" s="50"/>
      <c r="H50" s="51"/>
    </row>
    <row r="51" spans="1:36" x14ac:dyDescent="0.25">
      <c r="A51" s="47"/>
      <c r="B51" s="48"/>
      <c r="C51" s="49"/>
      <c r="D51" s="49"/>
      <c r="E51" s="49"/>
      <c r="F51" s="49"/>
      <c r="G51" s="50"/>
      <c r="H51" s="51"/>
    </row>
    <row r="52" spans="1:36" x14ac:dyDescent="0.25">
      <c r="A52" s="47"/>
      <c r="B52" s="48"/>
      <c r="C52" s="49"/>
      <c r="D52" s="49"/>
      <c r="E52" s="49"/>
      <c r="F52" s="49"/>
      <c r="G52" s="50"/>
      <c r="H52" s="51"/>
    </row>
    <row r="53" spans="1:36" x14ac:dyDescent="0.25">
      <c r="A53" s="47"/>
      <c r="B53" s="48"/>
      <c r="C53" s="49"/>
      <c r="D53" s="49"/>
      <c r="E53" s="49"/>
      <c r="F53" s="49"/>
      <c r="G53" s="50"/>
      <c r="H53" s="51"/>
    </row>
    <row r="54" spans="1:36" x14ac:dyDescent="0.25">
      <c r="A54" s="47"/>
      <c r="B54" s="48"/>
      <c r="C54" s="49"/>
      <c r="D54" s="49"/>
      <c r="E54" s="49"/>
      <c r="F54" s="49"/>
      <c r="G54" s="50"/>
      <c r="H54" s="51"/>
    </row>
    <row r="55" spans="1:36" x14ac:dyDescent="0.25">
      <c r="A55" s="47"/>
      <c r="B55" s="48"/>
      <c r="C55" s="49"/>
      <c r="D55" s="49"/>
      <c r="E55" s="49"/>
      <c r="F55" s="49"/>
      <c r="G55" s="50"/>
      <c r="H55" s="51"/>
    </row>
    <row r="56" spans="1:36" x14ac:dyDescent="0.25">
      <c r="A56" s="47"/>
      <c r="B56" s="48"/>
      <c r="C56" s="49"/>
      <c r="D56" s="49"/>
      <c r="E56" s="49"/>
      <c r="F56" s="49"/>
      <c r="G56" s="50"/>
      <c r="H56" s="51"/>
    </row>
    <row r="57" spans="1:36" x14ac:dyDescent="0.25">
      <c r="A57" s="47"/>
      <c r="B57" s="48"/>
      <c r="C57" s="49"/>
      <c r="D57" s="49"/>
      <c r="E57" s="49"/>
      <c r="F57" s="49"/>
      <c r="G57" s="50"/>
      <c r="H57" s="51"/>
    </row>
    <row r="58" spans="1:36" x14ac:dyDescent="0.25">
      <c r="A58" s="47"/>
      <c r="B58" s="48"/>
      <c r="C58" s="49"/>
      <c r="D58" s="49"/>
      <c r="E58" s="49"/>
      <c r="F58" s="49"/>
      <c r="G58" s="50"/>
      <c r="H58" s="51"/>
    </row>
    <row r="59" spans="1:36" x14ac:dyDescent="0.25">
      <c r="A59" s="47"/>
      <c r="B59" s="48"/>
      <c r="C59" s="49"/>
      <c r="D59" s="49"/>
      <c r="E59" s="49"/>
      <c r="F59" s="49"/>
      <c r="G59" s="50"/>
      <c r="H59" s="51"/>
    </row>
    <row r="60" spans="1:36" x14ac:dyDescent="0.25">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x14ac:dyDescent="0.25">
      <c r="A61" s="54" t="str">
        <f>+Innhold!B123</f>
        <v>Finans Norge / Skadestatistikk</v>
      </c>
      <c r="H61" s="194">
        <v>4</v>
      </c>
      <c r="I61" s="54" t="str">
        <f>+Innhold!B123</f>
        <v>Finans Norge / Skadestatistikk</v>
      </c>
      <c r="O61" s="194">
        <v>5</v>
      </c>
      <c r="P61" s="54" t="str">
        <f>+Innhold!B123</f>
        <v>Finans Norge / Skadestatistikk</v>
      </c>
      <c r="V61" s="194">
        <v>6</v>
      </c>
      <c r="W61" s="54" t="str">
        <f>+Innhold!B123</f>
        <v>Finans Norge / Skadestatistikk</v>
      </c>
      <c r="AC61" s="194">
        <v>7</v>
      </c>
      <c r="AD61" s="54" t="str">
        <f>+Innhold!B123</f>
        <v>Finans Norge / Skadestatistikk</v>
      </c>
      <c r="AJ61" s="194">
        <v>8</v>
      </c>
    </row>
    <row r="62" spans="1:36" x14ac:dyDescent="0.25">
      <c r="A62" s="54" t="str">
        <f>+Innhold!B124</f>
        <v>Skadestatistikk for landbasert forsikring 2. kvartal 2016</v>
      </c>
      <c r="H62" s="195"/>
      <c r="I62" s="54" t="str">
        <f>+Innhold!B124</f>
        <v>Skadestatistikk for landbasert forsikring 2. kvartal 2016</v>
      </c>
      <c r="O62" s="195"/>
      <c r="P62" s="54" t="str">
        <f>+Innhold!B124</f>
        <v>Skadestatistikk for landbasert forsikring 2. kvartal 2016</v>
      </c>
      <c r="V62" s="195"/>
      <c r="W62" s="54" t="str">
        <f>+Innhold!B124</f>
        <v>Skadestatistikk for landbasert forsikring 2. kvartal 2016</v>
      </c>
      <c r="AC62" s="195"/>
      <c r="AD62" s="54" t="str">
        <f>+Innhold!B124</f>
        <v>Skadestatistikk for landbasert forsikring 2. kvartal 2016</v>
      </c>
      <c r="AJ62" s="195"/>
    </row>
    <row r="67" spans="1:26" ht="12.75" customHeight="1" x14ac:dyDescent="0.25"/>
    <row r="68" spans="1:26" ht="12.75" customHeight="1" x14ac:dyDescent="0.25">
      <c r="M68" s="112" t="s">
        <v>178</v>
      </c>
      <c r="P68" s="112" t="s">
        <v>180</v>
      </c>
      <c r="S68" s="112" t="s">
        <v>179</v>
      </c>
    </row>
    <row r="69" spans="1:26" x14ac:dyDescent="0.25">
      <c r="A69" s="68" t="s">
        <v>184</v>
      </c>
      <c r="B69" s="97"/>
      <c r="C69" s="97"/>
      <c r="D69" s="97" t="s">
        <v>74</v>
      </c>
      <c r="E69" s="97"/>
      <c r="F69" s="97"/>
      <c r="G69" s="97"/>
      <c r="H69" s="68"/>
      <c r="I69" s="89">
        <f>139.8</f>
        <v>139.80000000000001</v>
      </c>
      <c r="J69" s="113" t="s">
        <v>235</v>
      </c>
      <c r="M69" s="112" t="s">
        <v>162</v>
      </c>
      <c r="P69" s="112" t="s">
        <v>176</v>
      </c>
      <c r="S69" s="112" t="s">
        <v>177</v>
      </c>
      <c r="V69" s="68" t="s">
        <v>185</v>
      </c>
      <c r="W69" s="97"/>
      <c r="X69" s="97"/>
      <c r="Y69" s="97"/>
      <c r="Z69" s="97"/>
    </row>
    <row r="70" spans="1:26" x14ac:dyDescent="0.25">
      <c r="A70" s="97" t="s">
        <v>75</v>
      </c>
      <c r="B70" s="97" t="s">
        <v>76</v>
      </c>
      <c r="C70" s="97" t="s">
        <v>26</v>
      </c>
      <c r="D70" s="97" t="s">
        <v>77</v>
      </c>
      <c r="E70" s="97"/>
      <c r="F70" s="97"/>
      <c r="G70" s="97"/>
      <c r="I70" s="109" t="s">
        <v>160</v>
      </c>
      <c r="J70" s="1" t="s">
        <v>234</v>
      </c>
      <c r="K70" s="109" t="s">
        <v>76</v>
      </c>
      <c r="L70" s="109" t="s">
        <v>108</v>
      </c>
      <c r="M70" s="109" t="s">
        <v>158</v>
      </c>
      <c r="N70" s="109" t="s">
        <v>159</v>
      </c>
      <c r="O70" s="109" t="s">
        <v>108</v>
      </c>
      <c r="P70" s="109" t="s">
        <v>158</v>
      </c>
      <c r="Q70" s="109" t="s">
        <v>159</v>
      </c>
      <c r="R70" s="109" t="s">
        <v>108</v>
      </c>
      <c r="S70" s="109" t="s">
        <v>158</v>
      </c>
      <c r="T70" s="109" t="s">
        <v>159</v>
      </c>
      <c r="V70" s="97" t="s">
        <v>81</v>
      </c>
      <c r="W70" s="97"/>
      <c r="X70" s="98" t="str">
        <f>+'Tab3'!C6</f>
        <v>2014</v>
      </c>
      <c r="Y70" s="99" t="str">
        <f>+'Tab3'!D6</f>
        <v>2015</v>
      </c>
      <c r="Z70" s="99" t="str">
        <f>+'Tab3'!E6</f>
        <v>2016</v>
      </c>
    </row>
    <row r="71" spans="1:26" x14ac:dyDescent="0.25">
      <c r="A71" s="97">
        <v>1</v>
      </c>
      <c r="B71" s="97">
        <v>1983</v>
      </c>
      <c r="C71" s="97">
        <v>97</v>
      </c>
      <c r="D71" s="97">
        <v>78.3</v>
      </c>
      <c r="E71" s="97"/>
      <c r="F71" s="97"/>
      <c r="G71" s="97"/>
      <c r="I71" s="111">
        <v>53.8</v>
      </c>
      <c r="J71" s="1">
        <v>1</v>
      </c>
      <c r="K71" s="1">
        <v>1983</v>
      </c>
      <c r="L71" s="110">
        <v>11621</v>
      </c>
      <c r="M71" s="111">
        <v>80.900000000000006</v>
      </c>
      <c r="N71" s="111">
        <f t="shared" ref="N71:N102" si="0">M71/I71*$I$69</f>
        <v>210.21970260223051</v>
      </c>
      <c r="V71" s="97"/>
      <c r="W71" s="97"/>
      <c r="X71" s="92"/>
      <c r="Y71" s="97"/>
      <c r="Z71" s="97"/>
    </row>
    <row r="72" spans="1:26" x14ac:dyDescent="0.25">
      <c r="A72" s="97">
        <v>2</v>
      </c>
      <c r="B72" s="97"/>
      <c r="C72" s="97">
        <v>78.8</v>
      </c>
      <c r="D72" s="97">
        <v>61.3</v>
      </c>
      <c r="E72" s="97"/>
      <c r="F72" s="97"/>
      <c r="G72" s="97"/>
      <c r="I72" s="111">
        <v>54.7</v>
      </c>
      <c r="J72" s="1">
        <v>2</v>
      </c>
      <c r="L72" s="110">
        <v>11120</v>
      </c>
      <c r="M72" s="111">
        <v>68.900000000000006</v>
      </c>
      <c r="N72" s="111">
        <f t="shared" si="0"/>
        <v>176.09177330895798</v>
      </c>
      <c r="V72" s="97" t="s">
        <v>26</v>
      </c>
      <c r="W72" s="97"/>
      <c r="X72" s="100">
        <f>IF('Tab6'!C36="",'Tab6'!C35,'Tab6'!C36)</f>
        <v>6567.0007654219999</v>
      </c>
      <c r="Y72" s="100">
        <f>IF('Tab6'!D36="",'Tab6'!D35,'Tab6'!D36)</f>
        <v>6678.7100736089997</v>
      </c>
      <c r="Z72" s="100">
        <f>IF('Tab6'!E36="",'Tab6'!E35,'Tab6'!E36)</f>
        <v>6855.4397291160003</v>
      </c>
    </row>
    <row r="73" spans="1:26" x14ac:dyDescent="0.25">
      <c r="A73" s="97">
        <v>3</v>
      </c>
      <c r="B73" s="97"/>
      <c r="C73" s="97">
        <v>84.8</v>
      </c>
      <c r="D73" s="97">
        <v>63</v>
      </c>
      <c r="E73" s="97"/>
      <c r="F73" s="97"/>
      <c r="G73" s="97"/>
      <c r="I73" s="111">
        <v>55.3</v>
      </c>
      <c r="J73" s="1">
        <v>3</v>
      </c>
      <c r="L73" s="110">
        <v>11918</v>
      </c>
      <c r="M73" s="111">
        <v>63.7</v>
      </c>
      <c r="N73" s="111">
        <f t="shared" si="0"/>
        <v>161.03544303797472</v>
      </c>
      <c r="V73" s="97"/>
      <c r="W73" s="97"/>
      <c r="X73" s="100"/>
      <c r="Y73" s="100"/>
      <c r="Z73" s="100"/>
    </row>
    <row r="74" spans="1:26" x14ac:dyDescent="0.25">
      <c r="A74" s="97">
        <v>4</v>
      </c>
      <c r="B74" s="97"/>
      <c r="C74" s="97">
        <v>91.2</v>
      </c>
      <c r="D74" s="97">
        <v>70.8</v>
      </c>
      <c r="E74" s="97"/>
      <c r="F74" s="97"/>
      <c r="G74" s="97"/>
      <c r="I74" s="111">
        <v>56.2</v>
      </c>
      <c r="J74" s="1">
        <v>4</v>
      </c>
      <c r="L74" s="110">
        <v>11905</v>
      </c>
      <c r="M74" s="111">
        <v>79.3</v>
      </c>
      <c r="N74" s="111">
        <f t="shared" si="0"/>
        <v>197.26227758007118</v>
      </c>
      <c r="V74" s="97" t="s">
        <v>63</v>
      </c>
      <c r="W74" s="97"/>
      <c r="X74" s="100">
        <f>IF('Tab6'!C36="",'Tab6'!C45+'Tab6'!C47,'Tab6'!C46+'Tab6'!C48)</f>
        <v>131.56414685800002</v>
      </c>
      <c r="Y74" s="100">
        <f>IF('Tab6'!D36="",'Tab6'!D45+'Tab6'!D47,'Tab6'!D46+'Tab6'!D48)</f>
        <v>122.770481187</v>
      </c>
      <c r="Z74" s="100">
        <f>IF('Tab6'!E36="",'Tab6'!E45+'Tab6'!E47,'Tab6'!E46+'Tab6'!E48)</f>
        <v>95.491190571000004</v>
      </c>
    </row>
    <row r="75" spans="1:26" x14ac:dyDescent="0.25">
      <c r="A75" s="97">
        <v>1</v>
      </c>
      <c r="B75" s="97">
        <v>1984</v>
      </c>
      <c r="C75" s="97">
        <v>112.2</v>
      </c>
      <c r="D75" s="97">
        <v>90.4</v>
      </c>
      <c r="E75" s="97"/>
      <c r="F75" s="97"/>
      <c r="G75" s="97"/>
      <c r="I75" s="111">
        <v>57.3</v>
      </c>
      <c r="J75" s="1">
        <v>1</v>
      </c>
      <c r="K75" s="1">
        <v>1984</v>
      </c>
      <c r="L75" s="110">
        <v>13205</v>
      </c>
      <c r="M75" s="111">
        <v>86.7</v>
      </c>
      <c r="N75" s="111">
        <f t="shared" si="0"/>
        <v>211.52984293193722</v>
      </c>
      <c r="V75" s="97" t="s">
        <v>39</v>
      </c>
      <c r="W75" s="97"/>
      <c r="X75" s="100">
        <f>IF('Tab6'!C36="",'Tab6'!C49,'Tab6'!C50)</f>
        <v>747.48192637299996</v>
      </c>
      <c r="Y75" s="100">
        <f>IF('Tab6'!D36="",'Tab6'!D49,'Tab6'!D50)</f>
        <v>761.78507246900006</v>
      </c>
      <c r="Z75" s="100">
        <f>IF('Tab6'!E36="",'Tab6'!E49,'Tab6'!E50)</f>
        <v>800.29901959899996</v>
      </c>
    </row>
    <row r="76" spans="1:26" x14ac:dyDescent="0.25">
      <c r="A76" s="97">
        <v>2</v>
      </c>
      <c r="B76" s="97"/>
      <c r="C76" s="97">
        <v>81.8</v>
      </c>
      <c r="D76" s="97">
        <v>64.400000000000006</v>
      </c>
      <c r="E76" s="97"/>
      <c r="F76" s="97"/>
      <c r="G76" s="97"/>
      <c r="I76" s="111">
        <v>58.2</v>
      </c>
      <c r="J76" s="1">
        <v>2</v>
      </c>
      <c r="L76" s="110">
        <v>12453</v>
      </c>
      <c r="M76" s="111">
        <v>83.3</v>
      </c>
      <c r="N76" s="111">
        <f t="shared" si="0"/>
        <v>200.09175257731957</v>
      </c>
      <c r="V76" s="97" t="s">
        <v>18</v>
      </c>
      <c r="W76" s="97"/>
      <c r="X76" s="100">
        <f>IF('Tab6'!C36="",'Tab6'!C43,'Tab6'!C44)</f>
        <v>120.847808482</v>
      </c>
      <c r="Y76" s="100">
        <f>IF('Tab6'!D36="",'Tab6'!D43,'Tab6'!D44)</f>
        <v>100.37597523399999</v>
      </c>
      <c r="Z76" s="100">
        <f>IF('Tab6'!E36="",'Tab6'!E43,'Tab6'!E44)</f>
        <v>100.954190002</v>
      </c>
    </row>
    <row r="77" spans="1:26" x14ac:dyDescent="0.25">
      <c r="A77" s="97">
        <v>3</v>
      </c>
      <c r="B77" s="97"/>
      <c r="C77" s="97">
        <v>90.4</v>
      </c>
      <c r="D77" s="97">
        <v>71.099999999999994</v>
      </c>
      <c r="E77" s="97"/>
      <c r="F77" s="97"/>
      <c r="G77" s="97"/>
      <c r="I77" s="111">
        <v>58.7</v>
      </c>
      <c r="J77" s="1">
        <v>3</v>
      </c>
      <c r="L77" s="110">
        <v>12278</v>
      </c>
      <c r="M77" s="111">
        <v>83.3</v>
      </c>
      <c r="N77" s="111">
        <f t="shared" si="0"/>
        <v>198.38739352640545</v>
      </c>
      <c r="V77" s="97" t="s">
        <v>82</v>
      </c>
      <c r="W77" s="97"/>
      <c r="X77" s="100">
        <f>IF('Tab6'!C36="",'Tab6'!C37+'Tab6'!C39,'Tab6'!C38+'Tab6'!C40)</f>
        <v>1024.1197735329999</v>
      </c>
      <c r="Y77" s="100">
        <f>IF('Tab6'!D36="",'Tab6'!D37+'Tab6'!D39,'Tab6'!D38+'Tab6'!D40)</f>
        <v>962.65006905600001</v>
      </c>
      <c r="Z77" s="100">
        <f>IF('Tab6'!E36="",'Tab6'!E37+'Tab6'!E39,'Tab6'!E38+'Tab6'!E40)</f>
        <v>817.20408244999999</v>
      </c>
    </row>
    <row r="78" spans="1:26" x14ac:dyDescent="0.25">
      <c r="A78" s="97">
        <v>4</v>
      </c>
      <c r="B78" s="97"/>
      <c r="C78" s="97">
        <v>92.9</v>
      </c>
      <c r="D78" s="97">
        <v>73.900000000000006</v>
      </c>
      <c r="E78" s="97"/>
      <c r="F78" s="97"/>
      <c r="G78" s="97"/>
      <c r="I78" s="111">
        <v>59.6</v>
      </c>
      <c r="J78" s="1">
        <v>4</v>
      </c>
      <c r="L78" s="110">
        <v>11449</v>
      </c>
      <c r="M78" s="111">
        <v>94.6</v>
      </c>
      <c r="N78" s="111">
        <f t="shared" si="0"/>
        <v>221.8973154362416</v>
      </c>
      <c r="V78" s="97" t="s">
        <v>83</v>
      </c>
      <c r="W78" s="97"/>
      <c r="X78" s="101">
        <f>X72-X77-X76-X75-X74</f>
        <v>4542.9871101760009</v>
      </c>
      <c r="Y78" s="101">
        <f>Y72-Y77-Y76-Y75-Y74</f>
        <v>4731.1284756630002</v>
      </c>
      <c r="Z78" s="101">
        <f>Z72-Z77-Z76-Z75-Z74</f>
        <v>5041.4912464940007</v>
      </c>
    </row>
    <row r="79" spans="1:26" x14ac:dyDescent="0.25">
      <c r="A79" s="97">
        <v>1</v>
      </c>
      <c r="B79" s="97">
        <v>1985</v>
      </c>
      <c r="C79" s="97">
        <v>123.4</v>
      </c>
      <c r="D79" s="97">
        <v>100.8</v>
      </c>
      <c r="E79" s="97"/>
      <c r="F79" s="97"/>
      <c r="G79" s="97"/>
      <c r="I79" s="111">
        <v>60.4</v>
      </c>
      <c r="J79" s="1">
        <v>1</v>
      </c>
      <c r="K79" s="1">
        <v>1985</v>
      </c>
      <c r="L79" s="110">
        <v>16918</v>
      </c>
      <c r="M79" s="111">
        <v>103.6</v>
      </c>
      <c r="N79" s="111">
        <f t="shared" si="0"/>
        <v>239.78940397350993</v>
      </c>
      <c r="V79" s="97"/>
      <c r="W79" s="97"/>
      <c r="X79" s="97"/>
      <c r="Y79" s="97"/>
      <c r="Z79" s="97"/>
    </row>
    <row r="80" spans="1:26" x14ac:dyDescent="0.25">
      <c r="A80" s="97">
        <v>2</v>
      </c>
      <c r="B80" s="97"/>
      <c r="C80" s="97">
        <v>102</v>
      </c>
      <c r="D80" s="97">
        <v>81.099999999999994</v>
      </c>
      <c r="E80" s="97"/>
      <c r="F80" s="97"/>
      <c r="G80" s="97"/>
      <c r="I80" s="111">
        <v>61.5</v>
      </c>
      <c r="J80" s="1">
        <v>2</v>
      </c>
      <c r="L80" s="110">
        <v>14237</v>
      </c>
      <c r="M80" s="111">
        <v>115.3</v>
      </c>
      <c r="N80" s="111">
        <f t="shared" si="0"/>
        <v>262.09658536585368</v>
      </c>
      <c r="V80" s="68" t="s">
        <v>163</v>
      </c>
      <c r="W80" s="97"/>
      <c r="X80" s="97"/>
      <c r="Y80" s="97"/>
    </row>
    <row r="81" spans="1:25" x14ac:dyDescent="0.25">
      <c r="A81" s="97">
        <v>3</v>
      </c>
      <c r="B81" s="97"/>
      <c r="C81" s="97">
        <v>108.4</v>
      </c>
      <c r="D81" s="97">
        <v>86</v>
      </c>
      <c r="E81" s="97"/>
      <c r="F81" s="97"/>
      <c r="G81" s="97"/>
      <c r="I81" s="111">
        <v>62</v>
      </c>
      <c r="J81" s="1">
        <v>3</v>
      </c>
      <c r="L81" s="110">
        <v>14329</v>
      </c>
      <c r="M81" s="111">
        <v>103</v>
      </c>
      <c r="N81" s="111">
        <f t="shared" si="0"/>
        <v>232.24838709677422</v>
      </c>
      <c r="V81" s="97"/>
      <c r="W81" s="97"/>
      <c r="X81" s="97"/>
      <c r="Y81" s="97"/>
    </row>
    <row r="82" spans="1:25" x14ac:dyDescent="0.25">
      <c r="A82" s="97">
        <v>4</v>
      </c>
      <c r="B82" s="97"/>
      <c r="C82" s="97">
        <v>109.6</v>
      </c>
      <c r="D82" s="97">
        <v>87.1</v>
      </c>
      <c r="E82" s="97"/>
      <c r="F82" s="97"/>
      <c r="G82" s="97"/>
      <c r="I82" s="111">
        <v>63</v>
      </c>
      <c r="J82" s="1">
        <v>4</v>
      </c>
      <c r="L82" s="110">
        <v>13060</v>
      </c>
      <c r="M82" s="111">
        <v>118.7</v>
      </c>
      <c r="N82" s="111">
        <f t="shared" si="0"/>
        <v>263.40095238095239</v>
      </c>
      <c r="V82" s="97"/>
      <c r="W82" s="99" t="str">
        <f>+'Tab4'!C6</f>
        <v>2014</v>
      </c>
      <c r="X82" s="99" t="str">
        <f>+'Tab4'!D6</f>
        <v>2015</v>
      </c>
      <c r="Y82" s="99" t="str">
        <f>+'Tab4'!E6</f>
        <v>2016</v>
      </c>
    </row>
    <row r="83" spans="1:25" x14ac:dyDescent="0.25">
      <c r="A83" s="97">
        <v>1</v>
      </c>
      <c r="B83" s="97">
        <v>1986</v>
      </c>
      <c r="C83" s="97">
        <v>141</v>
      </c>
      <c r="D83" s="97">
        <v>115.2</v>
      </c>
      <c r="E83" s="97"/>
      <c r="F83" s="97"/>
      <c r="G83" s="97"/>
      <c r="I83" s="111">
        <v>64</v>
      </c>
      <c r="J83" s="1">
        <v>1</v>
      </c>
      <c r="K83" s="1">
        <v>1986</v>
      </c>
      <c r="L83" s="110">
        <v>14314</v>
      </c>
      <c r="M83" s="111">
        <v>111.8</v>
      </c>
      <c r="N83" s="111">
        <f t="shared" si="0"/>
        <v>244.21312500000002</v>
      </c>
      <c r="V83" s="97" t="s">
        <v>84</v>
      </c>
      <c r="W83" s="100">
        <f>IF('Tab4'!C14="",'Tab4'!C13,'Tab4'!C14)</f>
        <v>3399.6073315620001</v>
      </c>
      <c r="X83" s="100">
        <f>IF('Tab4'!D14="",'Tab4'!D13,'Tab4'!D14)</f>
        <v>3306.1813925329998</v>
      </c>
      <c r="Y83" s="100">
        <f>IF('Tab4'!E14="",'Tab4'!E13,'Tab4'!E14)</f>
        <v>3395.008061944</v>
      </c>
    </row>
    <row r="84" spans="1:25" x14ac:dyDescent="0.25">
      <c r="A84" s="97">
        <v>2</v>
      </c>
      <c r="B84" s="97"/>
      <c r="C84" s="97">
        <v>120.5</v>
      </c>
      <c r="D84" s="97">
        <v>93.2</v>
      </c>
      <c r="E84" s="97"/>
      <c r="F84" s="97"/>
      <c r="G84" s="97"/>
      <c r="I84" s="111">
        <v>65</v>
      </c>
      <c r="J84" s="1">
        <v>2</v>
      </c>
      <c r="L84" s="110">
        <v>13505</v>
      </c>
      <c r="M84" s="111">
        <v>121.5</v>
      </c>
      <c r="N84" s="111">
        <f t="shared" si="0"/>
        <v>261.31846153846158</v>
      </c>
      <c r="V84" s="114" t="s">
        <v>170</v>
      </c>
      <c r="W84" s="100">
        <f>IF('Tab4'!C16="",'Tab4'!C15,'Tab4'!C16)</f>
        <v>2400.952199629</v>
      </c>
      <c r="X84" s="100">
        <f>IF('Tab4'!D16="",'Tab4'!D15,'Tab4'!D16)</f>
        <v>2701.945756992</v>
      </c>
      <c r="Y84" s="100">
        <f>IF('Tab4'!E16="",'Tab4'!E15,'Tab4'!E16)</f>
        <v>2460.811699936</v>
      </c>
    </row>
    <row r="85" spans="1:25" x14ac:dyDescent="0.25">
      <c r="A85" s="97">
        <v>3</v>
      </c>
      <c r="B85" s="97"/>
      <c r="C85" s="97">
        <v>115.7</v>
      </c>
      <c r="D85" s="97">
        <v>91.1</v>
      </c>
      <c r="E85" s="97"/>
      <c r="F85" s="97"/>
      <c r="G85" s="97"/>
      <c r="I85" s="111">
        <v>67</v>
      </c>
      <c r="J85" s="1">
        <v>3</v>
      </c>
      <c r="L85" s="110">
        <v>12132</v>
      </c>
      <c r="M85" s="111">
        <v>100.8</v>
      </c>
      <c r="N85" s="111">
        <f t="shared" si="0"/>
        <v>210.32597014925375</v>
      </c>
      <c r="V85" s="97" t="s">
        <v>7</v>
      </c>
      <c r="W85" s="100">
        <f>IF('Tab4'!C18="",'Tab4'!C17,'Tab4'!C18)</f>
        <v>1323.3736207710001</v>
      </c>
      <c r="X85" s="100">
        <f>IF('Tab4'!D18="",'Tab4'!D17,'Tab4'!D18)</f>
        <v>1149.4538215069999</v>
      </c>
      <c r="Y85" s="100">
        <f>IF('Tab4'!E18="",'Tab4'!E17,'Tab4'!E18)</f>
        <v>1005.193879384</v>
      </c>
    </row>
    <row r="86" spans="1:25" x14ac:dyDescent="0.25">
      <c r="A86" s="97">
        <v>4</v>
      </c>
      <c r="B86" s="97"/>
      <c r="C86" s="97">
        <v>114.4</v>
      </c>
      <c r="D86" s="97">
        <v>90.8</v>
      </c>
      <c r="E86" s="97"/>
      <c r="F86" s="97"/>
      <c r="G86" s="97"/>
      <c r="I86" s="111">
        <v>68.5</v>
      </c>
      <c r="J86" s="1">
        <v>4</v>
      </c>
      <c r="L86" s="110">
        <v>11763</v>
      </c>
      <c r="M86" s="111">
        <v>120.6</v>
      </c>
      <c r="N86" s="111">
        <f t="shared" si="0"/>
        <v>246.12963503649635</v>
      </c>
      <c r="V86" s="1" t="s">
        <v>8</v>
      </c>
      <c r="W86" s="100">
        <f>IF('Tab4'!C20="",'Tab4'!C19,'Tab4'!C20)</f>
        <v>902.33012338799995</v>
      </c>
      <c r="X86" s="100">
        <f>IF('Tab4'!D20="",'Tab4'!D19,'Tab4'!D20)</f>
        <v>1024.114442474</v>
      </c>
      <c r="Y86" s="100">
        <f>IF('Tab4'!E20="",'Tab4'!E19,'Tab4'!E20)</f>
        <v>1159.859386956</v>
      </c>
    </row>
    <row r="87" spans="1:25" x14ac:dyDescent="0.25">
      <c r="A87" s="97">
        <v>1</v>
      </c>
      <c r="B87" s="97">
        <v>1987</v>
      </c>
      <c r="C87" s="97">
        <v>152.19999999999999</v>
      </c>
      <c r="D87" s="97">
        <v>121.3</v>
      </c>
      <c r="E87" s="97"/>
      <c r="F87" s="97"/>
      <c r="G87" s="97"/>
      <c r="I87" s="111">
        <v>70.5</v>
      </c>
      <c r="J87" s="1">
        <v>1</v>
      </c>
      <c r="K87" s="1">
        <v>1987</v>
      </c>
      <c r="L87" s="110">
        <v>17280</v>
      </c>
      <c r="M87" s="111">
        <v>135.6</v>
      </c>
      <c r="N87" s="111">
        <f t="shared" si="0"/>
        <v>268.89191489361701</v>
      </c>
      <c r="V87" s="97" t="s">
        <v>9</v>
      </c>
      <c r="W87" s="100">
        <f>IF('Tab4'!C20="",'Tab4'!C21,'Tab4'!C22)</f>
        <v>349.44877136100001</v>
      </c>
      <c r="X87" s="100">
        <f>IF('Tab4'!D20="",'Tab4'!D21,'Tab4'!D22)</f>
        <v>320.22656303700001</v>
      </c>
      <c r="Y87" s="100">
        <f>IF('Tab4'!E20="",'Tab4'!E21,'Tab4'!E22)</f>
        <v>289.64428472700001</v>
      </c>
    </row>
    <row r="88" spans="1:25" x14ac:dyDescent="0.25">
      <c r="A88" s="97">
        <v>2</v>
      </c>
      <c r="B88" s="97"/>
      <c r="C88" s="97">
        <v>109.2</v>
      </c>
      <c r="D88" s="97">
        <v>86.1</v>
      </c>
      <c r="E88" s="97"/>
      <c r="F88" s="97"/>
      <c r="G88" s="97"/>
      <c r="I88" s="111">
        <v>71.599999999999994</v>
      </c>
      <c r="J88" s="1">
        <v>2</v>
      </c>
      <c r="L88" s="110">
        <v>12241</v>
      </c>
      <c r="M88" s="111">
        <v>135.9</v>
      </c>
      <c r="N88" s="111">
        <f t="shared" si="0"/>
        <v>265.34664804469281</v>
      </c>
      <c r="V88" s="97" t="s">
        <v>10</v>
      </c>
      <c r="W88" s="100">
        <f>IF('Tab4'!C22="",'Tab4'!C29,'Tab4'!C30)</f>
        <v>971.57967528999995</v>
      </c>
      <c r="X88" s="100">
        <f>IF('Tab4'!D22="",'Tab4'!D29,'Tab4'!D30)</f>
        <v>1003.720588701</v>
      </c>
      <c r="Y88" s="100">
        <f>IF('Tab4'!E22="",'Tab4'!E29,'Tab4'!E30)</f>
        <v>1054.3515800069999</v>
      </c>
    </row>
    <row r="89" spans="1:25" x14ac:dyDescent="0.25">
      <c r="A89" s="97">
        <v>3</v>
      </c>
      <c r="B89" s="97"/>
      <c r="C89" s="97">
        <v>110.1</v>
      </c>
      <c r="D89" s="97">
        <v>87.3</v>
      </c>
      <c r="E89" s="97"/>
      <c r="F89" s="97"/>
      <c r="G89" s="97"/>
      <c r="I89" s="111">
        <v>72.3</v>
      </c>
      <c r="J89" s="1">
        <v>3</v>
      </c>
      <c r="L89" s="110">
        <v>11506</v>
      </c>
      <c r="M89" s="111">
        <v>112.3</v>
      </c>
      <c r="N89" s="111">
        <f t="shared" si="0"/>
        <v>217.14439834024898</v>
      </c>
      <c r="V89" s="97" t="s">
        <v>11</v>
      </c>
      <c r="W89" s="100">
        <f>IF('Tab4'!C30="",'Tab4'!C31,'Tab4'!C32)</f>
        <v>187.188588004</v>
      </c>
      <c r="X89" s="100">
        <f>IF('Tab4'!D30="",'Tab4'!D31,'Tab4'!D32)</f>
        <v>233.82959979200001</v>
      </c>
      <c r="Y89" s="100">
        <f>IF('Tab4'!E30="",'Tab4'!E31,'Tab4'!E32)</f>
        <v>182.68802268300001</v>
      </c>
    </row>
    <row r="90" spans="1:25" x14ac:dyDescent="0.25">
      <c r="A90" s="97">
        <v>4</v>
      </c>
      <c r="B90" s="97"/>
      <c r="C90" s="97">
        <v>112</v>
      </c>
      <c r="D90" s="97">
        <v>89.8</v>
      </c>
      <c r="E90" s="97"/>
      <c r="F90" s="97"/>
      <c r="G90" s="97"/>
      <c r="I90" s="111">
        <v>73.599999999999994</v>
      </c>
      <c r="J90" s="1">
        <v>4</v>
      </c>
      <c r="L90" s="110">
        <v>12860</v>
      </c>
      <c r="M90" s="111">
        <v>134.5</v>
      </c>
      <c r="N90" s="111">
        <f t="shared" si="0"/>
        <v>255.47690217391306</v>
      </c>
      <c r="V90" s="97" t="s">
        <v>12</v>
      </c>
      <c r="W90" s="100">
        <f>IF('Tab4'!C32="",'Tab4'!C33,'Tab4'!C34)</f>
        <v>699.334525461</v>
      </c>
      <c r="X90" s="100">
        <f>IF('Tab4'!D32="",'Tab4'!D33,'Tab4'!D34)</f>
        <v>713.79925433300002</v>
      </c>
      <c r="Y90" s="100">
        <f>IF('Tab4'!E32="",'Tab4'!E33,'Tab4'!E34)</f>
        <v>523.92029056199999</v>
      </c>
    </row>
    <row r="91" spans="1:25" x14ac:dyDescent="0.25">
      <c r="A91" s="97">
        <v>1</v>
      </c>
      <c r="B91" s="97">
        <v>1988</v>
      </c>
      <c r="C91" s="97">
        <v>134.1</v>
      </c>
      <c r="D91" s="97">
        <v>107.5</v>
      </c>
      <c r="E91" s="97"/>
      <c r="F91" s="97"/>
      <c r="G91" s="97"/>
      <c r="I91" s="111">
        <v>75.2</v>
      </c>
      <c r="J91" s="1">
        <v>1</v>
      </c>
      <c r="K91" s="1">
        <v>1988</v>
      </c>
      <c r="L91" s="110">
        <v>10180</v>
      </c>
      <c r="M91" s="111">
        <v>130.80000000000001</v>
      </c>
      <c r="N91" s="111">
        <f t="shared" si="0"/>
        <v>243.16276595744685</v>
      </c>
      <c r="V91" s="97" t="s">
        <v>13</v>
      </c>
      <c r="W91" s="100">
        <f>IF('Tab4'!C34="",'Tab4'!C35,'Tab4'!C36)</f>
        <v>83.202140635999996</v>
      </c>
      <c r="X91" s="100">
        <f>IF('Tab4'!D34="",'Tab4'!D35,'Tab4'!D36)</f>
        <v>114.06111092</v>
      </c>
      <c r="Y91" s="100">
        <f>IF('Tab4'!E34="",'Tab4'!E35,'Tab4'!E36)</f>
        <v>72.478043400999994</v>
      </c>
    </row>
    <row r="92" spans="1:25" x14ac:dyDescent="0.25">
      <c r="A92" s="97">
        <v>2</v>
      </c>
      <c r="B92" s="97"/>
      <c r="C92" s="97">
        <v>113.7</v>
      </c>
      <c r="D92" s="97">
        <v>90</v>
      </c>
      <c r="E92" s="97"/>
      <c r="F92" s="97"/>
      <c r="G92" s="97"/>
      <c r="I92" s="111">
        <v>76.7</v>
      </c>
      <c r="J92" s="1">
        <v>2</v>
      </c>
      <c r="L92" s="110">
        <v>11081</v>
      </c>
      <c r="M92" s="111">
        <v>95.1</v>
      </c>
      <c r="N92" s="111">
        <f t="shared" si="0"/>
        <v>173.3374185136897</v>
      </c>
      <c r="V92" s="97" t="s">
        <v>14</v>
      </c>
      <c r="W92" s="100">
        <f>IF('Tab4'!C38="",'Tab4'!C37,'Tab4'!C38)</f>
        <v>323.66188697100006</v>
      </c>
      <c r="X92" s="100">
        <f>IF('Tab4'!D38="",'Tab4'!D37,'Tab4'!D38)</f>
        <v>433.38950201299997</v>
      </c>
      <c r="Y92" s="100">
        <f>IF('Tab4'!E38="",'Tab4'!E37,'Tab4'!E38)</f>
        <v>366.61415975100005</v>
      </c>
    </row>
    <row r="93" spans="1:25" x14ac:dyDescent="0.25">
      <c r="A93" s="97">
        <v>3</v>
      </c>
      <c r="B93" s="97"/>
      <c r="C93" s="97">
        <v>116.3</v>
      </c>
      <c r="D93" s="97">
        <v>93.1</v>
      </c>
      <c r="E93" s="97"/>
      <c r="F93" s="97"/>
      <c r="G93" s="97"/>
      <c r="I93" s="111">
        <v>77</v>
      </c>
      <c r="J93" s="1">
        <v>3</v>
      </c>
      <c r="L93" s="110">
        <v>15987</v>
      </c>
      <c r="M93" s="111">
        <v>148.69999999999999</v>
      </c>
      <c r="N93" s="111">
        <f t="shared" si="0"/>
        <v>269.9774025974026</v>
      </c>
      <c r="V93" s="97" t="s">
        <v>85</v>
      </c>
      <c r="W93" s="102">
        <f>SUM(W83:W92)</f>
        <v>10640.678863073001</v>
      </c>
      <c r="X93" s="102">
        <f>SUM(X83:X92)</f>
        <v>11000.722032302001</v>
      </c>
      <c r="Y93" s="102">
        <f>SUM(Y83:Y92)</f>
        <v>10510.569409351001</v>
      </c>
    </row>
    <row r="94" spans="1:25" x14ac:dyDescent="0.25">
      <c r="A94" s="97">
        <v>4</v>
      </c>
      <c r="B94" s="97"/>
      <c r="C94" s="97">
        <v>115.2</v>
      </c>
      <c r="D94" s="97">
        <v>93.4</v>
      </c>
      <c r="E94" s="97"/>
      <c r="F94" s="97"/>
      <c r="G94" s="97"/>
      <c r="I94" s="111">
        <v>78.099999999999994</v>
      </c>
      <c r="J94" s="1">
        <v>4</v>
      </c>
      <c r="L94" s="110">
        <v>12493</v>
      </c>
      <c r="M94" s="111">
        <v>199.8</v>
      </c>
      <c r="N94" s="111">
        <f t="shared" si="0"/>
        <v>357.64455825864286</v>
      </c>
      <c r="V94" s="97"/>
      <c r="W94" s="97"/>
      <c r="X94" s="97"/>
      <c r="Y94" s="97"/>
    </row>
    <row r="95" spans="1:25" x14ac:dyDescent="0.25">
      <c r="A95" s="97">
        <v>1</v>
      </c>
      <c r="B95" s="97">
        <v>1989</v>
      </c>
      <c r="C95" s="97">
        <v>106.6</v>
      </c>
      <c r="D95" s="97">
        <v>86.4</v>
      </c>
      <c r="E95" s="97"/>
      <c r="F95" s="97"/>
      <c r="G95" s="97"/>
      <c r="I95" s="111">
        <v>78.900000000000006</v>
      </c>
      <c r="J95" s="1">
        <v>1</v>
      </c>
      <c r="K95" s="1">
        <v>1989</v>
      </c>
      <c r="L95" s="110">
        <v>10988</v>
      </c>
      <c r="M95" s="111">
        <v>142.6</v>
      </c>
      <c r="N95" s="111">
        <f t="shared" si="0"/>
        <v>252.667680608365</v>
      </c>
      <c r="V95" s="114" t="s">
        <v>171</v>
      </c>
      <c r="W95" s="105">
        <f>+W93+X72</f>
        <v>17207.679628495</v>
      </c>
      <c r="X95" s="105">
        <f>+X93+Y72</f>
        <v>17679.432105911001</v>
      </c>
      <c r="Y95" s="105">
        <f>+Y93+Z72</f>
        <v>17366.009138467001</v>
      </c>
    </row>
    <row r="96" spans="1:25" x14ac:dyDescent="0.25">
      <c r="A96" s="97">
        <v>2</v>
      </c>
      <c r="B96" s="97"/>
      <c r="C96" s="97">
        <v>98</v>
      </c>
      <c r="D96" s="97">
        <v>79.599999999999994</v>
      </c>
      <c r="E96" s="97"/>
      <c r="F96" s="97"/>
      <c r="G96" s="97"/>
      <c r="I96" s="111">
        <v>80.3</v>
      </c>
      <c r="J96" s="1">
        <v>2</v>
      </c>
      <c r="L96" s="110">
        <v>10292</v>
      </c>
      <c r="M96" s="111">
        <v>117.3</v>
      </c>
      <c r="N96" s="111">
        <f t="shared" si="0"/>
        <v>204.21594022415943</v>
      </c>
    </row>
    <row r="97" spans="1:25" x14ac:dyDescent="0.25">
      <c r="A97" s="97">
        <v>3</v>
      </c>
      <c r="B97" s="97"/>
      <c r="C97" s="97">
        <v>96.9</v>
      </c>
      <c r="D97" s="97">
        <v>79</v>
      </c>
      <c r="E97" s="97"/>
      <c r="F97" s="97"/>
      <c r="G97" s="97"/>
      <c r="I97" s="111">
        <v>80.599999999999994</v>
      </c>
      <c r="J97" s="1">
        <v>3</v>
      </c>
      <c r="L97" s="110">
        <v>11352</v>
      </c>
      <c r="M97" s="111">
        <v>103.6</v>
      </c>
      <c r="N97" s="111">
        <f t="shared" si="0"/>
        <v>179.69330024813897</v>
      </c>
      <c r="Y97" s="97"/>
    </row>
    <row r="98" spans="1:25" x14ac:dyDescent="0.25">
      <c r="A98" s="97">
        <v>4</v>
      </c>
      <c r="B98" s="97"/>
      <c r="C98" s="97">
        <v>93.4</v>
      </c>
      <c r="D98" s="97">
        <v>76.8</v>
      </c>
      <c r="E98" s="97"/>
      <c r="F98" s="97"/>
      <c r="G98" s="97"/>
      <c r="I98" s="111">
        <v>81.400000000000006</v>
      </c>
      <c r="J98" s="1">
        <v>4</v>
      </c>
      <c r="L98" s="110">
        <v>11958</v>
      </c>
      <c r="M98" s="111">
        <v>132</v>
      </c>
      <c r="N98" s="111">
        <f t="shared" si="0"/>
        <v>226.70270270270271</v>
      </c>
      <c r="V98" s="68" t="s">
        <v>186</v>
      </c>
      <c r="W98" s="97"/>
      <c r="X98" s="97"/>
      <c r="Y98" s="97"/>
    </row>
    <row r="99" spans="1:25" x14ac:dyDescent="0.25">
      <c r="A99" s="97">
        <v>1</v>
      </c>
      <c r="B99" s="97">
        <v>1990</v>
      </c>
      <c r="C99" s="97">
        <v>99.4</v>
      </c>
      <c r="D99" s="97">
        <v>81.3</v>
      </c>
      <c r="E99" s="97"/>
      <c r="F99" s="97"/>
      <c r="G99" s="97"/>
      <c r="I99" s="111">
        <v>82.3</v>
      </c>
      <c r="J99" s="1">
        <v>1</v>
      </c>
      <c r="K99" s="1">
        <v>1990</v>
      </c>
      <c r="L99" s="110">
        <v>13741</v>
      </c>
      <c r="M99" s="111">
        <v>142.9</v>
      </c>
      <c r="N99" s="111">
        <f t="shared" si="0"/>
        <v>242.73900364520054</v>
      </c>
      <c r="V99" s="97"/>
      <c r="X99" s="97"/>
      <c r="Y99" s="97"/>
    </row>
    <row r="100" spans="1:25" x14ac:dyDescent="0.25">
      <c r="A100" s="97">
        <v>2</v>
      </c>
      <c r="B100" s="97"/>
      <c r="C100" s="97">
        <v>88.6</v>
      </c>
      <c r="D100" s="97">
        <v>73.099999999999994</v>
      </c>
      <c r="E100" s="97"/>
      <c r="F100" s="97"/>
      <c r="G100" s="97"/>
      <c r="I100" s="111">
        <v>83.4</v>
      </c>
      <c r="J100" s="1">
        <v>2</v>
      </c>
      <c r="L100" s="110">
        <v>10045</v>
      </c>
      <c r="M100" s="111">
        <v>116.5</v>
      </c>
      <c r="N100" s="111">
        <f t="shared" si="0"/>
        <v>195.28417266187051</v>
      </c>
      <c r="V100" s="97"/>
      <c r="W100" s="99" t="str">
        <f>+W82</f>
        <v>2014</v>
      </c>
      <c r="X100" s="99" t="str">
        <f>+X82</f>
        <v>2015</v>
      </c>
      <c r="Y100" s="99" t="str">
        <f>+Y82</f>
        <v>2016</v>
      </c>
    </row>
    <row r="101" spans="1:25" x14ac:dyDescent="0.25">
      <c r="A101" s="97">
        <v>3</v>
      </c>
      <c r="B101" s="97"/>
      <c r="C101" s="97">
        <v>88.2</v>
      </c>
      <c r="D101" s="97">
        <v>72.5</v>
      </c>
      <c r="E101" s="97"/>
      <c r="F101" s="97"/>
      <c r="G101" s="97"/>
      <c r="I101" s="111">
        <v>83.7</v>
      </c>
      <c r="J101" s="1">
        <v>3</v>
      </c>
      <c r="L101" s="110">
        <v>10870</v>
      </c>
      <c r="M101" s="111">
        <v>101.4</v>
      </c>
      <c r="N101" s="111">
        <f t="shared" si="0"/>
        <v>169.36344086021509</v>
      </c>
      <c r="V101" s="97" t="s">
        <v>18</v>
      </c>
      <c r="W101" s="103">
        <f>IF('Tab7'!C10="",+'Tab7'!C9+'Tab11'!C9,+'Tab7'!C10+'Tab11'!C10)</f>
        <v>13260</v>
      </c>
      <c r="X101" s="103">
        <f>IF('Tab7'!D10="",+'Tab7'!D9+'Tab11'!D9,+'Tab7'!D10+'Tab11'!D10)</f>
        <v>15270.716872463001</v>
      </c>
      <c r="Y101" s="103">
        <f>IF('Tab7'!E10="",+'Tab7'!E9+'Tab11'!E9,+'Tab7'!E10+'Tab11'!E10)</f>
        <v>12067.935357970999</v>
      </c>
    </row>
    <row r="102" spans="1:25" x14ac:dyDescent="0.25">
      <c r="A102" s="97">
        <v>4</v>
      </c>
      <c r="B102" s="97"/>
      <c r="C102" s="97">
        <v>84.8</v>
      </c>
      <c r="D102" s="97">
        <v>70.2</v>
      </c>
      <c r="E102" s="97"/>
      <c r="F102" s="97"/>
      <c r="G102" s="97"/>
      <c r="I102" s="111">
        <v>85.1</v>
      </c>
      <c r="J102" s="1">
        <v>4</v>
      </c>
      <c r="L102" s="110">
        <v>11076</v>
      </c>
      <c r="M102" s="111">
        <v>120</v>
      </c>
      <c r="N102" s="111">
        <f t="shared" si="0"/>
        <v>197.13278495887195</v>
      </c>
      <c r="V102" s="97" t="s">
        <v>86</v>
      </c>
      <c r="W102" s="103">
        <f>IF('Tab7'!C12="",+'Tab7'!C11+'Tab11'!C11,+'Tab7'!C12+'Tab11'!C12)</f>
        <v>36404</v>
      </c>
      <c r="X102" s="103">
        <f>IF('Tab7'!D12="",+'Tab7'!D11+'Tab11'!D11,+'Tab7'!D12+'Tab11'!D12)</f>
        <v>35333.949675889999</v>
      </c>
      <c r="Y102" s="103">
        <f>IF('Tab7'!E12="",+'Tab7'!E11+'Tab11'!E11,+'Tab7'!E12+'Tab11'!E12)</f>
        <v>39707.453391304996</v>
      </c>
    </row>
    <row r="103" spans="1:25" x14ac:dyDescent="0.25">
      <c r="A103" s="97">
        <v>1</v>
      </c>
      <c r="B103" s="97">
        <v>1991</v>
      </c>
      <c r="C103" s="97">
        <v>97.5</v>
      </c>
      <c r="D103" s="97">
        <v>82.4</v>
      </c>
      <c r="E103" s="97"/>
      <c r="F103" s="97"/>
      <c r="G103" s="97"/>
      <c r="I103" s="111">
        <v>85.5</v>
      </c>
      <c r="J103" s="1">
        <v>1</v>
      </c>
      <c r="K103" s="1">
        <v>1991</v>
      </c>
      <c r="L103" s="110">
        <v>10172</v>
      </c>
      <c r="M103" s="111">
        <v>130.10000000000002</v>
      </c>
      <c r="N103" s="111">
        <f t="shared" ref="N103:N106" si="1">M103/I103*$I$69</f>
        <v>212.7249122807018</v>
      </c>
      <c r="O103" s="110">
        <v>6727</v>
      </c>
      <c r="P103" s="111">
        <v>376.9</v>
      </c>
      <c r="Q103" s="111">
        <f>P103/I103*$I$69</f>
        <v>616.26456140350876</v>
      </c>
      <c r="R103" s="110">
        <v>9077</v>
      </c>
      <c r="S103" s="111">
        <v>139.9</v>
      </c>
      <c r="T103" s="111">
        <f>S103/I103*$I$69</f>
        <v>228.74877192982458</v>
      </c>
      <c r="V103" s="97" t="s">
        <v>63</v>
      </c>
      <c r="W103" s="103">
        <f>IF('Tab7'!C14="",+'Tab7'!C13+'Tab11'!C13,+'Tab7'!C14+'Tab11'!C14)</f>
        <v>19583</v>
      </c>
      <c r="X103" s="103">
        <f>IF('Tab7'!D14="",+'Tab7'!D13+'Tab11'!D13,+'Tab7'!D14+'Tab11'!D14)</f>
        <v>17123.305062112002</v>
      </c>
      <c r="Y103" s="103">
        <f>IF('Tab7'!E14="",+'Tab7'!E13+'Tab11'!E13,+'Tab7'!E14+'Tab11'!E14)</f>
        <v>16448.436375776</v>
      </c>
    </row>
    <row r="104" spans="1:25" x14ac:dyDescent="0.25">
      <c r="A104" s="97">
        <v>2</v>
      </c>
      <c r="B104" s="97"/>
      <c r="C104" s="97">
        <v>93.9</v>
      </c>
      <c r="D104" s="97">
        <v>78</v>
      </c>
      <c r="E104" s="97"/>
      <c r="F104" s="97"/>
      <c r="G104" s="97"/>
      <c r="I104" s="111">
        <v>86.6</v>
      </c>
      <c r="J104" s="1">
        <v>2</v>
      </c>
      <c r="L104" s="110">
        <v>10188</v>
      </c>
      <c r="M104" s="111">
        <v>126.69999999999993</v>
      </c>
      <c r="N104" s="111">
        <f t="shared" si="1"/>
        <v>204.53418013856808</v>
      </c>
      <c r="O104" s="110">
        <v>5864</v>
      </c>
      <c r="P104" s="111">
        <v>369.29999999999995</v>
      </c>
      <c r="Q104" s="111">
        <f t="shared" ref="Q104:Q167" si="2">P104/I104*$I$69</f>
        <v>596.16789838337183</v>
      </c>
      <c r="R104" s="110">
        <v>12525</v>
      </c>
      <c r="S104" s="111">
        <v>176.29999999999998</v>
      </c>
      <c r="T104" s="111">
        <f t="shared" ref="T104:T167" si="3">S104/I104*$I$69</f>
        <v>284.60438799076212</v>
      </c>
      <c r="V104" s="97" t="s">
        <v>14</v>
      </c>
      <c r="W104" s="104">
        <f>+W106-SUM(W101:W103)</f>
        <v>84701</v>
      </c>
      <c r="X104" s="104">
        <f>+X106-SUM(X101:X103)</f>
        <v>95912.214157654991</v>
      </c>
      <c r="Y104" s="104">
        <f>+Y106-SUM(Y101:Y103)</f>
        <v>105404.83574401498</v>
      </c>
    </row>
    <row r="105" spans="1:25" x14ac:dyDescent="0.25">
      <c r="A105" s="97">
        <v>3</v>
      </c>
      <c r="B105" s="97"/>
      <c r="C105" s="97">
        <v>90.2</v>
      </c>
      <c r="D105" s="97">
        <v>76.099999999999994</v>
      </c>
      <c r="E105" s="97"/>
      <c r="F105" s="97"/>
      <c r="G105" s="97"/>
      <c r="I105" s="111">
        <v>86.6</v>
      </c>
      <c r="J105" s="1">
        <v>3</v>
      </c>
      <c r="L105" s="110">
        <v>10621</v>
      </c>
      <c r="M105" s="111">
        <v>132.60000000000002</v>
      </c>
      <c r="N105" s="111">
        <f t="shared" si="1"/>
        <v>214.05866050808319</v>
      </c>
      <c r="O105" s="110">
        <v>7951</v>
      </c>
      <c r="P105" s="111">
        <v>430.9</v>
      </c>
      <c r="Q105" s="111">
        <f t="shared" si="2"/>
        <v>695.60993071593532</v>
      </c>
      <c r="R105" s="110">
        <v>14126</v>
      </c>
      <c r="S105" s="111">
        <v>204.90000000000003</v>
      </c>
      <c r="T105" s="111">
        <f t="shared" si="3"/>
        <v>330.77390300230957</v>
      </c>
      <c r="V105" s="97"/>
      <c r="W105" s="97"/>
      <c r="X105" s="97"/>
      <c r="Y105" s="97"/>
    </row>
    <row r="106" spans="1:25" x14ac:dyDescent="0.25">
      <c r="A106" s="97">
        <v>4</v>
      </c>
      <c r="B106" s="97"/>
      <c r="C106" s="97">
        <v>92.6</v>
      </c>
      <c r="D106" s="97">
        <v>78.099999999999994</v>
      </c>
      <c r="E106" s="97"/>
      <c r="F106" s="97"/>
      <c r="G106" s="97"/>
      <c r="I106" s="111">
        <v>87.3</v>
      </c>
      <c r="J106" s="1">
        <v>4</v>
      </c>
      <c r="L106" s="110">
        <v>11640</v>
      </c>
      <c r="M106" s="111">
        <v>138.20000000000005</v>
      </c>
      <c r="N106" s="111">
        <f t="shared" si="1"/>
        <v>221.30996563573893</v>
      </c>
      <c r="O106" s="110">
        <v>13048</v>
      </c>
      <c r="P106" s="111">
        <v>427.00000000000023</v>
      </c>
      <c r="Q106" s="111">
        <f t="shared" si="2"/>
        <v>683.78694158075655</v>
      </c>
      <c r="R106" s="110">
        <v>13048</v>
      </c>
      <c r="S106" s="111">
        <v>185</v>
      </c>
      <c r="T106" s="111">
        <f t="shared" si="3"/>
        <v>296.2542955326461</v>
      </c>
      <c r="V106" s="97" t="s">
        <v>87</v>
      </c>
      <c r="W106" s="103">
        <f>IF('Tab7'!C8="",+'Tab7'!C7+'Tab11'!C7,+'Tab7'!C8+'Tab11'!C8)</f>
        <v>153948</v>
      </c>
      <c r="X106" s="103">
        <f>IF('Tab7'!D8="",+'Tab7'!D7+'Tab11'!D7,+'Tab7'!D8+'Tab11'!D8)</f>
        <v>163640.18576811999</v>
      </c>
      <c r="Y106" s="103">
        <f>IF('Tab7'!E8="",+'Tab7'!E7+'Tab11'!E7,+'Tab7'!E8+'Tab11'!E8)</f>
        <v>173628.66086906698</v>
      </c>
    </row>
    <row r="107" spans="1:25" x14ac:dyDescent="0.25">
      <c r="A107" s="97">
        <v>1</v>
      </c>
      <c r="B107" s="97">
        <v>1992</v>
      </c>
      <c r="C107" s="97">
        <v>102</v>
      </c>
      <c r="D107" s="97">
        <v>87.1</v>
      </c>
      <c r="E107" s="97"/>
      <c r="F107" s="97"/>
      <c r="G107" s="97"/>
      <c r="I107" s="111">
        <v>87.5</v>
      </c>
      <c r="J107" s="1">
        <v>1</v>
      </c>
      <c r="K107" s="1">
        <v>1992</v>
      </c>
      <c r="L107" s="110">
        <v>10520</v>
      </c>
      <c r="M107" s="111">
        <v>129.4</v>
      </c>
      <c r="N107" s="111">
        <f>M107/I107*$I$69</f>
        <v>206.74422857142858</v>
      </c>
      <c r="O107" s="110">
        <v>6509</v>
      </c>
      <c r="P107" s="111">
        <v>409.5</v>
      </c>
      <c r="Q107" s="111">
        <f t="shared" si="2"/>
        <v>654.26400000000001</v>
      </c>
      <c r="R107" s="110">
        <v>11030</v>
      </c>
      <c r="S107" s="111">
        <v>180.5</v>
      </c>
      <c r="T107" s="111">
        <f t="shared" si="3"/>
        <v>288.38742857142859</v>
      </c>
    </row>
    <row r="108" spans="1:25" x14ac:dyDescent="0.25">
      <c r="A108" s="97">
        <v>2</v>
      </c>
      <c r="B108" s="97"/>
      <c r="C108" s="97">
        <v>92.2</v>
      </c>
      <c r="D108" s="97">
        <v>78.900000000000006</v>
      </c>
      <c r="E108" s="97"/>
      <c r="F108" s="97"/>
      <c r="G108" s="97"/>
      <c r="I108" s="111">
        <v>88.6</v>
      </c>
      <c r="J108" s="1">
        <v>2</v>
      </c>
      <c r="L108" s="110">
        <v>10661</v>
      </c>
      <c r="M108" s="111">
        <v>112.9</v>
      </c>
      <c r="N108" s="111">
        <f t="shared" ref="N108:N171" si="4">M108/I108*$I$69</f>
        <v>178.14243792325061</v>
      </c>
      <c r="O108" s="110">
        <v>5632</v>
      </c>
      <c r="P108" s="111">
        <v>412</v>
      </c>
      <c r="Q108" s="111">
        <f t="shared" si="2"/>
        <v>650.08577878103847</v>
      </c>
      <c r="R108" s="110">
        <v>13252</v>
      </c>
      <c r="S108" s="111">
        <v>167</v>
      </c>
      <c r="T108" s="111">
        <f t="shared" si="3"/>
        <v>263.50564334085783</v>
      </c>
    </row>
    <row r="109" spans="1:25" x14ac:dyDescent="0.25">
      <c r="A109" s="97">
        <v>3</v>
      </c>
      <c r="B109" s="97"/>
      <c r="C109" s="97">
        <v>93.3</v>
      </c>
      <c r="D109" s="97">
        <v>79.900000000000006</v>
      </c>
      <c r="E109" s="97"/>
      <c r="F109" s="97"/>
      <c r="G109" s="97"/>
      <c r="I109" s="111">
        <v>88.7</v>
      </c>
      <c r="J109" s="1">
        <v>3</v>
      </c>
      <c r="L109" s="110">
        <v>11590</v>
      </c>
      <c r="M109" s="111">
        <v>130.59999999999997</v>
      </c>
      <c r="N109" s="111">
        <f t="shared" si="4"/>
        <v>205.8385569334836</v>
      </c>
      <c r="O109" s="110">
        <v>8642</v>
      </c>
      <c r="P109" s="111">
        <v>440.40000000000009</v>
      </c>
      <c r="Q109" s="111">
        <f t="shared" si="2"/>
        <v>694.11409244644892</v>
      </c>
      <c r="R109" s="110">
        <v>15450</v>
      </c>
      <c r="S109" s="111">
        <v>219.10000000000002</v>
      </c>
      <c r="T109" s="111">
        <f t="shared" si="3"/>
        <v>345.3233370913191</v>
      </c>
      <c r="V109" s="68" t="s">
        <v>187</v>
      </c>
      <c r="W109" s="97"/>
      <c r="X109" s="97"/>
      <c r="Y109" s="97"/>
    </row>
    <row r="110" spans="1:25" x14ac:dyDescent="0.25">
      <c r="A110" s="97">
        <v>4</v>
      </c>
      <c r="B110" s="97"/>
      <c r="C110" s="97">
        <v>90.8</v>
      </c>
      <c r="D110" s="97">
        <v>77.599999999999994</v>
      </c>
      <c r="E110" s="97"/>
      <c r="F110" s="97"/>
      <c r="G110" s="97"/>
      <c r="I110" s="111">
        <v>89.3</v>
      </c>
      <c r="J110" s="1">
        <v>4</v>
      </c>
      <c r="L110" s="110">
        <v>11917</v>
      </c>
      <c r="M110" s="111">
        <v>108.50000000000006</v>
      </c>
      <c r="N110" s="111">
        <f t="shared" si="4"/>
        <v>169.85778275475934</v>
      </c>
      <c r="O110" s="110">
        <v>7139</v>
      </c>
      <c r="P110" s="111">
        <v>425.59999999999991</v>
      </c>
      <c r="Q110" s="111">
        <f t="shared" si="2"/>
        <v>666.28085106382969</v>
      </c>
      <c r="R110" s="110">
        <v>12309</v>
      </c>
      <c r="S110" s="111">
        <v>109.39999999999998</v>
      </c>
      <c r="T110" s="111">
        <f t="shared" si="3"/>
        <v>171.26674132138857</v>
      </c>
      <c r="V110" s="97"/>
      <c r="W110" s="97"/>
      <c r="X110" s="97"/>
      <c r="Y110" s="97"/>
    </row>
    <row r="111" spans="1:25" x14ac:dyDescent="0.25">
      <c r="A111" s="97">
        <v>1</v>
      </c>
      <c r="B111" s="97">
        <v>1993</v>
      </c>
      <c r="C111" s="97">
        <v>112.6</v>
      </c>
      <c r="D111" s="97">
        <v>96.5</v>
      </c>
      <c r="E111" s="97"/>
      <c r="F111" s="97"/>
      <c r="G111" s="97"/>
      <c r="I111" s="111">
        <v>89.8</v>
      </c>
      <c r="J111" s="1">
        <v>1</v>
      </c>
      <c r="K111" s="1">
        <v>1993</v>
      </c>
      <c r="L111" s="110">
        <v>11275</v>
      </c>
      <c r="M111" s="111">
        <v>136.89999999999998</v>
      </c>
      <c r="N111" s="111">
        <f t="shared" si="4"/>
        <v>213.12494432071267</v>
      </c>
      <c r="O111" s="110">
        <v>6982</v>
      </c>
      <c r="P111" s="111">
        <v>449.4</v>
      </c>
      <c r="Q111" s="111">
        <f t="shared" si="2"/>
        <v>699.62271714922053</v>
      </c>
      <c r="R111" s="110">
        <v>10571</v>
      </c>
      <c r="S111" s="111">
        <v>175.5</v>
      </c>
      <c r="T111" s="111">
        <f t="shared" si="3"/>
        <v>273.21714922049</v>
      </c>
      <c r="V111" s="97"/>
      <c r="W111" s="99" t="str">
        <f>+W100</f>
        <v>2014</v>
      </c>
      <c r="X111" s="99" t="str">
        <f>+X100</f>
        <v>2015</v>
      </c>
      <c r="Y111" s="99" t="str">
        <f>+Y100</f>
        <v>2016</v>
      </c>
    </row>
    <row r="112" spans="1:25" x14ac:dyDescent="0.25">
      <c r="A112" s="97">
        <v>2</v>
      </c>
      <c r="B112" s="97"/>
      <c r="C112" s="97">
        <f>205.6-C111</f>
        <v>93</v>
      </c>
      <c r="D112" s="97">
        <f>176.6-D111</f>
        <v>80.099999999999994</v>
      </c>
      <c r="E112" s="97"/>
      <c r="F112" s="97"/>
      <c r="G112" s="97"/>
      <c r="I112" s="111">
        <v>90.8</v>
      </c>
      <c r="J112" s="1">
        <v>2</v>
      </c>
      <c r="L112" s="110">
        <v>10076</v>
      </c>
      <c r="M112" s="111">
        <v>115.20000000000002</v>
      </c>
      <c r="N112" s="111">
        <f t="shared" si="4"/>
        <v>177.36740088105734</v>
      </c>
      <c r="O112" s="110">
        <v>6332</v>
      </c>
      <c r="P112" s="111">
        <v>352.9</v>
      </c>
      <c r="Q112" s="111">
        <f t="shared" si="2"/>
        <v>543.34162995594716</v>
      </c>
      <c r="R112" s="110">
        <v>12919</v>
      </c>
      <c r="S112" s="111">
        <v>191.20000000000005</v>
      </c>
      <c r="T112" s="111">
        <f t="shared" si="3"/>
        <v>294.38061674008816</v>
      </c>
      <c r="V112" s="114" t="s">
        <v>172</v>
      </c>
      <c r="W112" s="105">
        <f>IF('Tab7'!C38="",+'Tab7'!C37+'Tab11'!C37,+'Tab7'!C38+'Tab11'!C38)</f>
        <v>2643.6827911299997</v>
      </c>
      <c r="X112" s="105">
        <f>IF('Tab7'!D38="",+'Tab7'!D37+'Tab11'!D37,+'Tab7'!D38+'Tab11'!D38)</f>
        <v>2486.5768528359999</v>
      </c>
      <c r="Y112" s="105">
        <f>IF('Tab7'!E38="",+'Tab7'!E37+'Tab11'!E37,+'Tab7'!E38+'Tab11'!E38)</f>
        <v>2258.6952683640002</v>
      </c>
    </row>
    <row r="113" spans="1:25" x14ac:dyDescent="0.25">
      <c r="A113" s="97">
        <v>3</v>
      </c>
      <c r="B113" s="97"/>
      <c r="C113" s="97">
        <f>293.1-C112-C111</f>
        <v>87.500000000000028</v>
      </c>
      <c r="D113" s="97">
        <f>250.2-D112-D111</f>
        <v>73.599999999999994</v>
      </c>
      <c r="E113" s="97"/>
      <c r="F113" s="97"/>
      <c r="G113" s="97"/>
      <c r="I113" s="111">
        <v>90.6</v>
      </c>
      <c r="J113" s="1">
        <v>3</v>
      </c>
      <c r="L113" s="110">
        <v>11766</v>
      </c>
      <c r="M113" s="111">
        <v>132.79999999999998</v>
      </c>
      <c r="N113" s="111">
        <f t="shared" si="4"/>
        <v>204.91655629139075</v>
      </c>
      <c r="O113" s="110">
        <v>6675</v>
      </c>
      <c r="P113" s="111">
        <v>388.50000000000023</v>
      </c>
      <c r="Q113" s="111">
        <f t="shared" si="2"/>
        <v>599.47350993377518</v>
      </c>
      <c r="R113" s="110">
        <v>14800</v>
      </c>
      <c r="S113" s="111">
        <v>216.89999999999998</v>
      </c>
      <c r="T113" s="111">
        <f t="shared" si="3"/>
        <v>334.68675496688741</v>
      </c>
      <c r="V113" s="97" t="s">
        <v>86</v>
      </c>
      <c r="W113" s="105">
        <f>IF('Tab7'!C40="",+'Tab7'!C39+'Tab11'!C39,+'Tab7'!C40+'Tab11'!C40)</f>
        <v>1619.63854659</v>
      </c>
      <c r="X113" s="105">
        <f>IF('Tab7'!D40="",+'Tab7'!D39+'Tab11'!D39,+'Tab7'!D40+'Tab11'!D40)</f>
        <v>1697.321035252</v>
      </c>
      <c r="Y113" s="105">
        <f>IF('Tab7'!E40="",+'Tab7'!E39+'Tab11'!E39,+'Tab7'!E40+'Tab11'!E40)</f>
        <v>1816.8339558759999</v>
      </c>
    </row>
    <row r="114" spans="1:25" x14ac:dyDescent="0.25">
      <c r="A114" s="97">
        <v>4</v>
      </c>
      <c r="B114" s="97"/>
      <c r="C114" s="97">
        <f>413.2-C113-C112-C111</f>
        <v>120.09999999999994</v>
      </c>
      <c r="D114" s="97">
        <f>356.8-D113-D112-D111</f>
        <v>106.60000000000005</v>
      </c>
      <c r="E114" s="97"/>
      <c r="F114" s="97"/>
      <c r="G114" s="97"/>
      <c r="I114" s="111">
        <v>91</v>
      </c>
      <c r="J114" s="1">
        <v>4</v>
      </c>
      <c r="L114" s="110">
        <v>12707</v>
      </c>
      <c r="M114" s="111">
        <v>157.79999999999995</v>
      </c>
      <c r="N114" s="111">
        <f t="shared" si="4"/>
        <v>242.42241758241752</v>
      </c>
      <c r="O114" s="110">
        <v>6319</v>
      </c>
      <c r="P114" s="111">
        <v>466.99999999999977</v>
      </c>
      <c r="Q114" s="111">
        <f t="shared" si="2"/>
        <v>717.43516483516453</v>
      </c>
      <c r="R114" s="110">
        <v>11391</v>
      </c>
      <c r="S114" s="111">
        <v>164.5</v>
      </c>
      <c r="T114" s="111">
        <f t="shared" si="3"/>
        <v>252.71538461538464</v>
      </c>
      <c r="V114" s="97" t="s">
        <v>63</v>
      </c>
      <c r="W114" s="105">
        <f>IF('Tab7'!C42="",+'Tab7'!C41+'Tab11'!C41,+'Tab7'!C42+'Tab11'!C42)</f>
        <v>332.48366310899996</v>
      </c>
      <c r="X114" s="105">
        <f>IF('Tab7'!D42="",+'Tab7'!D41+'Tab11'!D41,+'Tab7'!D42+'Tab11'!D42)</f>
        <v>324.222487575</v>
      </c>
      <c r="Y114" s="105">
        <f>IF('Tab7'!E42="",+'Tab7'!E41+'Tab11'!E41,+'Tab7'!E42+'Tab11'!E42)</f>
        <v>281.20767810699999</v>
      </c>
    </row>
    <row r="115" spans="1:25" x14ac:dyDescent="0.25">
      <c r="A115" s="97">
        <v>1</v>
      </c>
      <c r="B115" s="97">
        <v>1994</v>
      </c>
      <c r="C115" s="97">
        <v>138.4</v>
      </c>
      <c r="D115" s="97">
        <v>120</v>
      </c>
      <c r="E115" s="97"/>
      <c r="F115" s="97"/>
      <c r="G115" s="97"/>
      <c r="I115" s="111">
        <v>91</v>
      </c>
      <c r="J115" s="1">
        <v>1</v>
      </c>
      <c r="K115" s="1">
        <v>1994</v>
      </c>
      <c r="L115" s="110">
        <v>15224</v>
      </c>
      <c r="M115" s="111">
        <v>189</v>
      </c>
      <c r="N115" s="111">
        <f t="shared" si="4"/>
        <v>290.35384615384618</v>
      </c>
      <c r="O115" s="110">
        <v>6291</v>
      </c>
      <c r="P115" s="111">
        <v>427.6</v>
      </c>
      <c r="Q115" s="111">
        <f t="shared" si="2"/>
        <v>656.90637362637369</v>
      </c>
      <c r="R115" s="110">
        <v>8795</v>
      </c>
      <c r="S115" s="111">
        <v>161.69999999999999</v>
      </c>
      <c r="T115" s="111">
        <f t="shared" si="3"/>
        <v>248.41384615384615</v>
      </c>
      <c r="V115" s="97" t="s">
        <v>14</v>
      </c>
      <c r="W115" s="106">
        <f>+W117-SUM(W112:W114)</f>
        <v>1204.754530362</v>
      </c>
      <c r="X115" s="106">
        <f>+X117-SUM(X112:X114)</f>
        <v>1500.006773862</v>
      </c>
      <c r="Y115" s="106">
        <f>+Y117-SUM(Y112:Y114)</f>
        <v>1499.0828595330004</v>
      </c>
    </row>
    <row r="116" spans="1:25" x14ac:dyDescent="0.25">
      <c r="A116" s="97">
        <v>2</v>
      </c>
      <c r="B116" s="97"/>
      <c r="C116" s="97">
        <f>252.9-C115</f>
        <v>114.5</v>
      </c>
      <c r="D116" s="97">
        <f>218.1-D115</f>
        <v>98.1</v>
      </c>
      <c r="E116" s="97"/>
      <c r="F116" s="97"/>
      <c r="G116" s="97"/>
      <c r="I116" s="111">
        <v>91.7</v>
      </c>
      <c r="J116" s="1">
        <v>2</v>
      </c>
      <c r="L116" s="110">
        <v>13585</v>
      </c>
      <c r="M116" s="111">
        <v>166.5</v>
      </c>
      <c r="N116" s="111">
        <f t="shared" si="4"/>
        <v>253.83533260632498</v>
      </c>
      <c r="O116" s="110">
        <v>5517</v>
      </c>
      <c r="P116" s="111">
        <v>494.30000000000007</v>
      </c>
      <c r="Q116" s="111">
        <f t="shared" si="2"/>
        <v>753.57840785169037</v>
      </c>
      <c r="R116" s="110">
        <v>13449</v>
      </c>
      <c r="S116" s="111">
        <v>196.2</v>
      </c>
      <c r="T116" s="111">
        <f t="shared" si="3"/>
        <v>299.11406761177756</v>
      </c>
      <c r="V116" s="97"/>
      <c r="W116" s="105"/>
      <c r="X116" s="105"/>
      <c r="Y116" s="105"/>
    </row>
    <row r="117" spans="1:25" x14ac:dyDescent="0.25">
      <c r="A117" s="97">
        <v>3</v>
      </c>
      <c r="B117" s="97"/>
      <c r="C117" s="97">
        <f>365.7-C115-C116</f>
        <v>112.79999999999998</v>
      </c>
      <c r="D117" s="97">
        <f>316.9-D115-D116</f>
        <v>98.799999999999983</v>
      </c>
      <c r="E117" s="97"/>
      <c r="F117" s="97"/>
      <c r="G117" s="97"/>
      <c r="I117" s="111">
        <v>92.1</v>
      </c>
      <c r="J117" s="1">
        <v>3</v>
      </c>
      <c r="L117" s="110">
        <v>13956</v>
      </c>
      <c r="M117" s="111">
        <v>169.89999999999998</v>
      </c>
      <c r="N117" s="111">
        <f t="shared" si="4"/>
        <v>257.89381107491857</v>
      </c>
      <c r="O117" s="110">
        <v>8952</v>
      </c>
      <c r="P117" s="111">
        <v>425.5</v>
      </c>
      <c r="Q117" s="111">
        <f t="shared" si="2"/>
        <v>645.87296416938125</v>
      </c>
      <c r="R117" s="110">
        <v>15669</v>
      </c>
      <c r="S117" s="111">
        <v>219.80000000000007</v>
      </c>
      <c r="T117" s="111">
        <f t="shared" si="3"/>
        <v>333.63778501628684</v>
      </c>
      <c r="V117" s="97" t="s">
        <v>87</v>
      </c>
      <c r="W117" s="105">
        <f>IF('Tab7'!C36="",+'Tab7'!C35+'Tab11'!C35,+'Tab7'!C36+'Tab11'!C36)</f>
        <v>5800.5595311910001</v>
      </c>
      <c r="X117" s="105">
        <f>IF('Tab7'!D36="",+'Tab7'!D35+'Tab11'!D35,+'Tab7'!D36+'Tab11'!D36)</f>
        <v>6008.1271495250003</v>
      </c>
      <c r="Y117" s="105">
        <f>IF('Tab7'!E36="",+'Tab7'!E35+'Tab11'!E35,+'Tab7'!E36+'Tab11'!E36)</f>
        <v>5855.8197618800004</v>
      </c>
    </row>
    <row r="118" spans="1:25" x14ac:dyDescent="0.25">
      <c r="A118" s="97">
        <v>4</v>
      </c>
      <c r="B118" s="97"/>
      <c r="C118" s="97">
        <f>480.2-C115-C116-C117</f>
        <v>114.49999999999997</v>
      </c>
      <c r="D118" s="97">
        <f>417.1-D115-D116-D117</f>
        <v>100.20000000000005</v>
      </c>
      <c r="E118" s="97"/>
      <c r="F118" s="97"/>
      <c r="G118" s="97"/>
      <c r="I118" s="111">
        <v>92.6</v>
      </c>
      <c r="J118" s="1">
        <v>4</v>
      </c>
      <c r="L118" s="110">
        <v>14006</v>
      </c>
      <c r="M118" s="111">
        <v>140.80000000000007</v>
      </c>
      <c r="N118" s="111">
        <f t="shared" si="4"/>
        <v>212.56846652267831</v>
      </c>
      <c r="O118" s="110">
        <v>8189</v>
      </c>
      <c r="P118" s="111">
        <v>390.59999999999991</v>
      </c>
      <c r="Q118" s="111">
        <f t="shared" si="2"/>
        <v>589.69632829373654</v>
      </c>
      <c r="R118" s="110">
        <v>14139</v>
      </c>
      <c r="S118" s="111">
        <v>214.39999999999998</v>
      </c>
      <c r="T118" s="111">
        <f t="shared" si="3"/>
        <v>323.68380129589633</v>
      </c>
      <c r="V118" s="97"/>
      <c r="X118" s="92"/>
    </row>
    <row r="119" spans="1:25" x14ac:dyDescent="0.25">
      <c r="A119" s="97">
        <v>1</v>
      </c>
      <c r="B119" s="97">
        <v>1995</v>
      </c>
      <c r="C119" s="97">
        <v>137.19999999999999</v>
      </c>
      <c r="D119" s="97">
        <v>119.3</v>
      </c>
      <c r="E119" s="97"/>
      <c r="F119" s="97"/>
      <c r="G119" s="97"/>
      <c r="I119" s="111">
        <v>93.4</v>
      </c>
      <c r="J119" s="1">
        <v>1</v>
      </c>
      <c r="K119" s="1">
        <v>1995</v>
      </c>
      <c r="L119" s="110">
        <v>13188</v>
      </c>
      <c r="M119" s="111">
        <v>171.1</v>
      </c>
      <c r="N119" s="111">
        <f t="shared" si="4"/>
        <v>256.10042826552461</v>
      </c>
      <c r="O119" s="110">
        <v>7699</v>
      </c>
      <c r="P119" s="111">
        <v>543</v>
      </c>
      <c r="Q119" s="111">
        <f t="shared" si="2"/>
        <v>812.7558886509637</v>
      </c>
      <c r="R119" s="110">
        <v>11007</v>
      </c>
      <c r="S119" s="111">
        <v>183.1</v>
      </c>
      <c r="T119" s="111">
        <f t="shared" si="3"/>
        <v>274.06188436830837</v>
      </c>
      <c r="V119" s="68" t="s">
        <v>181</v>
      </c>
    </row>
    <row r="120" spans="1:25" x14ac:dyDescent="0.25">
      <c r="A120" s="97">
        <v>2</v>
      </c>
      <c r="B120" s="97"/>
      <c r="C120" s="97">
        <f>248.2-C119</f>
        <v>111</v>
      </c>
      <c r="D120" s="97">
        <f>214.7-D119</f>
        <v>95.399999999999991</v>
      </c>
      <c r="E120" s="97"/>
      <c r="F120" s="97"/>
      <c r="G120" s="97"/>
      <c r="I120" s="111">
        <v>94.1</v>
      </c>
      <c r="J120" s="1">
        <v>2</v>
      </c>
      <c r="L120" s="110">
        <v>11077</v>
      </c>
      <c r="M120" s="111">
        <v>148.30000000000004</v>
      </c>
      <c r="N120" s="111">
        <f t="shared" si="4"/>
        <v>220.32242295430402</v>
      </c>
      <c r="O120" s="110">
        <v>5465</v>
      </c>
      <c r="P120" s="111">
        <v>462.40000000000009</v>
      </c>
      <c r="Q120" s="111">
        <f t="shared" si="2"/>
        <v>686.9662061636559</v>
      </c>
      <c r="R120" s="110">
        <v>13915</v>
      </c>
      <c r="S120" s="111">
        <v>213.4</v>
      </c>
      <c r="T120" s="111">
        <f t="shared" si="3"/>
        <v>317.03846971307127</v>
      </c>
    </row>
    <row r="121" spans="1:25" x14ac:dyDescent="0.25">
      <c r="A121" s="97">
        <v>3</v>
      </c>
      <c r="B121" s="97"/>
      <c r="C121" s="97">
        <f>364.1-C119-C120</f>
        <v>115.90000000000003</v>
      </c>
      <c r="D121" s="97">
        <f>315.7-D119-D120</f>
        <v>100.99999999999999</v>
      </c>
      <c r="E121" s="97"/>
      <c r="F121" s="97"/>
      <c r="G121" s="97"/>
      <c r="I121" s="111">
        <v>94.1</v>
      </c>
      <c r="J121" s="1">
        <v>3</v>
      </c>
      <c r="L121" s="110">
        <v>13937</v>
      </c>
      <c r="M121" s="111">
        <v>180.19999999999993</v>
      </c>
      <c r="N121" s="111">
        <f t="shared" si="4"/>
        <v>267.71477151965991</v>
      </c>
      <c r="O121" s="110">
        <v>9139</v>
      </c>
      <c r="P121" s="111">
        <v>487.89999999999986</v>
      </c>
      <c r="Q121" s="111">
        <f t="shared" si="2"/>
        <v>724.85037194473955</v>
      </c>
      <c r="R121" s="110">
        <v>17436</v>
      </c>
      <c r="S121" s="111">
        <v>224.09999999999991</v>
      </c>
      <c r="T121" s="111">
        <f t="shared" si="3"/>
        <v>332.93496280552597</v>
      </c>
      <c r="V121" s="97"/>
      <c r="W121" s="99" t="str">
        <f>+'Tab3'!C6</f>
        <v>2014</v>
      </c>
      <c r="X121" s="99" t="str">
        <f>+'Tab3'!D6</f>
        <v>2015</v>
      </c>
      <c r="Y121" s="99" t="str">
        <f>+'Tab3'!E6</f>
        <v>2016</v>
      </c>
    </row>
    <row r="122" spans="1:25" x14ac:dyDescent="0.25">
      <c r="A122" s="97">
        <v>4</v>
      </c>
      <c r="B122" s="97"/>
      <c r="C122" s="97">
        <f>482.9-C119-C120-C121</f>
        <v>118.79999999999995</v>
      </c>
      <c r="D122" s="97">
        <f>420.1-D119-D120-D121</f>
        <v>104.40000000000005</v>
      </c>
      <c r="E122" s="97"/>
      <c r="F122" s="97"/>
      <c r="G122" s="97"/>
      <c r="I122" s="111">
        <v>94.6</v>
      </c>
      <c r="J122" s="1">
        <v>4</v>
      </c>
      <c r="L122" s="110">
        <v>13920</v>
      </c>
      <c r="M122" s="111">
        <v>172.00000000000006</v>
      </c>
      <c r="N122" s="111">
        <f t="shared" si="4"/>
        <v>254.1818181818183</v>
      </c>
      <c r="O122" s="110">
        <v>7500</v>
      </c>
      <c r="P122" s="111">
        <v>369.89999999999986</v>
      </c>
      <c r="Q122" s="111">
        <f t="shared" si="2"/>
        <v>546.63868921775884</v>
      </c>
      <c r="R122" s="110">
        <v>15130</v>
      </c>
      <c r="S122" s="111">
        <v>206.30000000000018</v>
      </c>
      <c r="T122" s="111">
        <f t="shared" si="3"/>
        <v>304.87040169133223</v>
      </c>
      <c r="V122" s="97" t="s">
        <v>10</v>
      </c>
      <c r="W122" s="98">
        <f>IF('Tab3'!C22="",'Tab3'!C29,'Tab3'!C30)</f>
        <v>146608</v>
      </c>
      <c r="X122" s="98">
        <f>IF('Tab3'!D22="",'Tab3'!D29,'Tab3'!D30)</f>
        <v>158299</v>
      </c>
      <c r="Y122" s="98">
        <f>IF('Tab3'!E22="",'Tab3'!E29,'Tab3'!E30)</f>
        <v>149261.141025641</v>
      </c>
    </row>
    <row r="123" spans="1:25" x14ac:dyDescent="0.25">
      <c r="A123" s="97">
        <v>1</v>
      </c>
      <c r="B123" s="97">
        <v>1996</v>
      </c>
      <c r="C123" s="97">
        <v>143.9</v>
      </c>
      <c r="D123" s="97">
        <v>126.9</v>
      </c>
      <c r="E123" s="97"/>
      <c r="F123" s="97"/>
      <c r="G123" s="97"/>
      <c r="I123" s="111">
        <v>94.2</v>
      </c>
      <c r="J123" s="1">
        <v>1</v>
      </c>
      <c r="K123" s="1">
        <v>1996</v>
      </c>
      <c r="L123" s="110">
        <v>29850</v>
      </c>
      <c r="M123" s="111">
        <v>375.59999999999997</v>
      </c>
      <c r="N123" s="111">
        <f t="shared" si="4"/>
        <v>557.4191082802547</v>
      </c>
      <c r="O123" s="110">
        <v>7239</v>
      </c>
      <c r="P123" s="111">
        <v>479.9</v>
      </c>
      <c r="Q123" s="111">
        <f t="shared" si="2"/>
        <v>712.20828025477715</v>
      </c>
      <c r="R123" s="110">
        <v>11785</v>
      </c>
      <c r="S123" s="111">
        <v>198.60000000000002</v>
      </c>
      <c r="T123" s="111">
        <f t="shared" si="3"/>
        <v>294.73757961783446</v>
      </c>
      <c r="V123" s="1" t="s">
        <v>112</v>
      </c>
      <c r="W123" s="98">
        <f>IF('Tab9'!C8="",'Tab9'!C7,'Tab9'!C8)</f>
        <v>50045</v>
      </c>
      <c r="X123" s="98">
        <f>IF('Tab9'!D8="",'Tab9'!D7,'Tab9'!D8)</f>
        <v>52228.503339786002</v>
      </c>
      <c r="Y123" s="98">
        <f>IF('Tab9'!E8="",'Tab9'!E7,'Tab9'!E8)</f>
        <v>52562.962486265998</v>
      </c>
    </row>
    <row r="124" spans="1:25" x14ac:dyDescent="0.25">
      <c r="A124" s="97">
        <v>2</v>
      </c>
      <c r="B124" s="97"/>
      <c r="C124" s="97">
        <f>275.5-C123</f>
        <v>131.6</v>
      </c>
      <c r="D124" s="97">
        <f>242.6-D123</f>
        <v>115.69999999999999</v>
      </c>
      <c r="E124" s="97"/>
      <c r="F124" s="97"/>
      <c r="G124" s="97"/>
      <c r="I124" s="111">
        <v>95.1</v>
      </c>
      <c r="J124" s="1">
        <v>2</v>
      </c>
      <c r="L124" s="110">
        <v>17799</v>
      </c>
      <c r="M124" s="111">
        <v>234.8</v>
      </c>
      <c r="N124" s="111">
        <f t="shared" si="4"/>
        <v>345.16340694006317</v>
      </c>
      <c r="O124" s="110">
        <v>6503</v>
      </c>
      <c r="P124" s="111">
        <v>585.30000000000007</v>
      </c>
      <c r="Q124" s="111">
        <f t="shared" si="2"/>
        <v>860.40946372239762</v>
      </c>
      <c r="R124" s="110">
        <v>14642</v>
      </c>
      <c r="S124" s="111">
        <v>220.09999999999997</v>
      </c>
      <c r="T124" s="111">
        <f t="shared" si="3"/>
        <v>323.55394321766562</v>
      </c>
      <c r="V124" s="1" t="s">
        <v>111</v>
      </c>
      <c r="W124" s="98">
        <f>IF('Tab8'!C8="",'Tab8'!C7,'Tab8'!C8)</f>
        <v>53178</v>
      </c>
      <c r="X124" s="98">
        <f>IF('Tab8'!D8="",'Tab8'!D7,'Tab8'!D8)</f>
        <v>55817.752245418</v>
      </c>
      <c r="Y124" s="98">
        <f>IF('Tab8'!E8="",'Tab8'!E7,'Tab8'!E8)</f>
        <v>61041.058319816999</v>
      </c>
    </row>
    <row r="125" spans="1:25" x14ac:dyDescent="0.25">
      <c r="A125" s="97">
        <v>3</v>
      </c>
      <c r="B125" s="97"/>
      <c r="C125" s="97">
        <f>387.5-C123-C124</f>
        <v>112</v>
      </c>
      <c r="D125" s="97">
        <f>339.3-D123-D124</f>
        <v>96.700000000000017</v>
      </c>
      <c r="E125" s="97"/>
      <c r="F125" s="97"/>
      <c r="G125" s="97"/>
      <c r="I125" s="111">
        <v>95.5</v>
      </c>
      <c r="J125" s="1">
        <v>3</v>
      </c>
      <c r="L125" s="110">
        <v>16263</v>
      </c>
      <c r="M125" s="111">
        <v>240.00000000000011</v>
      </c>
      <c r="N125" s="111">
        <f t="shared" si="4"/>
        <v>351.32984293193738</v>
      </c>
      <c r="O125" s="110">
        <v>8934</v>
      </c>
      <c r="P125" s="111">
        <v>581.89999999999986</v>
      </c>
      <c r="Q125" s="111">
        <f t="shared" si="2"/>
        <v>851.8284816753926</v>
      </c>
      <c r="R125" s="110">
        <v>17198</v>
      </c>
      <c r="S125" s="111">
        <v>233.2</v>
      </c>
      <c r="T125" s="111">
        <f t="shared" si="3"/>
        <v>341.375497382199</v>
      </c>
      <c r="V125" s="114" t="s">
        <v>170</v>
      </c>
      <c r="W125" s="98">
        <f>IF('Tab3'!C16="",'Tab3'!C15,'Tab3'!C16)</f>
        <v>20669</v>
      </c>
      <c r="X125" s="98">
        <f>IF('Tab3'!D16="",'Tab3'!D15,'Tab3'!D16)</f>
        <v>22114.084249084</v>
      </c>
      <c r="Y125" s="98">
        <f>IF('Tab3'!E16="",'Tab3'!E15,'Tab3'!E16)</f>
        <v>20119.271221531999</v>
      </c>
    </row>
    <row r="126" spans="1:25" x14ac:dyDescent="0.25">
      <c r="A126" s="97">
        <v>4</v>
      </c>
      <c r="B126" s="97"/>
      <c r="C126" s="97">
        <f>520-C123-C124-C125</f>
        <v>132.50000000000003</v>
      </c>
      <c r="D126" s="97">
        <f>452.4-D123-D124-D125</f>
        <v>113.1</v>
      </c>
      <c r="E126" s="97"/>
      <c r="F126" s="97"/>
      <c r="G126" s="97"/>
      <c r="I126" s="111">
        <v>96.3</v>
      </c>
      <c r="J126" s="1">
        <v>4</v>
      </c>
      <c r="L126" s="110">
        <v>16638</v>
      </c>
      <c r="M126" s="111">
        <v>233.40000000000009</v>
      </c>
      <c r="N126" s="111">
        <f t="shared" si="4"/>
        <v>338.82990654205622</v>
      </c>
      <c r="O126" s="110">
        <v>7966</v>
      </c>
      <c r="P126" s="111">
        <v>665.80000000000018</v>
      </c>
      <c r="Q126" s="111">
        <f t="shared" si="2"/>
        <v>966.5507788161998</v>
      </c>
      <c r="R126" s="110">
        <v>13841</v>
      </c>
      <c r="S126" s="111">
        <v>188.00000000000011</v>
      </c>
      <c r="T126" s="111">
        <f t="shared" si="3"/>
        <v>272.9221183800625</v>
      </c>
    </row>
    <row r="127" spans="1:25" x14ac:dyDescent="0.25">
      <c r="A127" s="97">
        <v>1</v>
      </c>
      <c r="B127" s="97">
        <v>1997</v>
      </c>
      <c r="C127" s="97">
        <v>142.6</v>
      </c>
      <c r="D127" s="97">
        <v>124.8</v>
      </c>
      <c r="E127" s="97"/>
      <c r="F127" s="97"/>
      <c r="G127" s="97"/>
      <c r="I127" s="111">
        <v>97.3</v>
      </c>
      <c r="J127" s="1">
        <v>1</v>
      </c>
      <c r="K127" s="1">
        <v>1997</v>
      </c>
      <c r="L127" s="110">
        <v>17837</v>
      </c>
      <c r="M127" s="111">
        <v>255.29999999999998</v>
      </c>
      <c r="N127" s="111">
        <f t="shared" si="4"/>
        <v>366.81336073997949</v>
      </c>
      <c r="O127" s="110">
        <v>7574</v>
      </c>
      <c r="P127" s="111">
        <v>625.70000000000005</v>
      </c>
      <c r="Q127" s="111">
        <f t="shared" si="2"/>
        <v>899.00164439876687</v>
      </c>
      <c r="R127" s="110">
        <v>10571</v>
      </c>
      <c r="S127" s="111">
        <v>187.8</v>
      </c>
      <c r="T127" s="111">
        <f t="shared" si="3"/>
        <v>269.82980472764649</v>
      </c>
      <c r="V127" s="68" t="s">
        <v>182</v>
      </c>
    </row>
    <row r="128" spans="1:25" x14ac:dyDescent="0.25">
      <c r="A128" s="97">
        <v>2</v>
      </c>
      <c r="B128" s="97"/>
      <c r="C128" s="97">
        <f>284.4-C127</f>
        <v>141.79999999999998</v>
      </c>
      <c r="D128" s="97">
        <f>247.3-D127</f>
        <v>122.50000000000001</v>
      </c>
      <c r="E128" s="97"/>
      <c r="F128" s="97"/>
      <c r="G128" s="97"/>
      <c r="I128" s="111">
        <v>97.7</v>
      </c>
      <c r="J128" s="1">
        <v>2</v>
      </c>
      <c r="L128" s="110">
        <v>16872</v>
      </c>
      <c r="M128" s="111">
        <v>281.30000000000007</v>
      </c>
      <c r="N128" s="111">
        <f t="shared" si="4"/>
        <v>402.51525076765625</v>
      </c>
      <c r="O128" s="110">
        <v>7284</v>
      </c>
      <c r="P128" s="111">
        <v>664.39999999999986</v>
      </c>
      <c r="Q128" s="111">
        <f t="shared" si="2"/>
        <v>950.69723643807549</v>
      </c>
      <c r="R128" s="110">
        <v>14837</v>
      </c>
      <c r="S128" s="111">
        <v>224.59999999999997</v>
      </c>
      <c r="T128" s="111">
        <f t="shared" si="3"/>
        <v>321.38259979529164</v>
      </c>
      <c r="W128" s="99" t="str">
        <f>+'Tab3'!C6</f>
        <v>2014</v>
      </c>
      <c r="X128" s="99" t="str">
        <f>+'Tab3'!D6</f>
        <v>2015</v>
      </c>
      <c r="Y128" s="99" t="str">
        <f>+'Tab3'!E6</f>
        <v>2016</v>
      </c>
    </row>
    <row r="129" spans="1:25" x14ac:dyDescent="0.25">
      <c r="A129" s="97">
        <v>3</v>
      </c>
      <c r="B129" s="97"/>
      <c r="C129" s="97">
        <f>419.8-C127-C128</f>
        <v>135.40000000000006</v>
      </c>
      <c r="D129" s="97">
        <f>364.6-D127-D128</f>
        <v>117.3</v>
      </c>
      <c r="E129" s="97"/>
      <c r="F129" s="97" t="s">
        <v>74</v>
      </c>
      <c r="G129" s="97"/>
      <c r="I129" s="111">
        <v>97.7</v>
      </c>
      <c r="J129" s="1">
        <v>3</v>
      </c>
      <c r="L129" s="110">
        <v>17873</v>
      </c>
      <c r="M129" s="111">
        <v>297.89999999999998</v>
      </c>
      <c r="N129" s="111">
        <f t="shared" si="4"/>
        <v>426.26837256908902</v>
      </c>
      <c r="O129" s="110">
        <v>14581</v>
      </c>
      <c r="P129" s="111">
        <v>720.30000000000018</v>
      </c>
      <c r="Q129" s="111">
        <f t="shared" si="2"/>
        <v>1030.6851586489256</v>
      </c>
      <c r="R129" s="110">
        <v>15670</v>
      </c>
      <c r="S129" s="111">
        <v>198.80000000000007</v>
      </c>
      <c r="T129" s="111">
        <f t="shared" si="3"/>
        <v>284.46509723643823</v>
      </c>
      <c r="V129" s="97" t="s">
        <v>11</v>
      </c>
      <c r="W129" s="98">
        <f>IF('Tab3'!C30="",'Tab3'!C31,'Tab3'!C32)</f>
        <v>4229</v>
      </c>
      <c r="X129" s="98">
        <f>IF('Tab3'!D30="",'Tab3'!D31,'Tab3'!D32)</f>
        <v>4932.3952618450003</v>
      </c>
      <c r="Y129" s="98">
        <f>IF('Tab3'!E30="",'Tab3'!E31,'Tab3'!E32)</f>
        <v>4070.6695760600001</v>
      </c>
    </row>
    <row r="130" spans="1:25" x14ac:dyDescent="0.25">
      <c r="A130" s="97">
        <v>4</v>
      </c>
      <c r="B130" s="97"/>
      <c r="C130" s="97">
        <f>550.4-C127-C128-C129</f>
        <v>130.59999999999994</v>
      </c>
      <c r="D130" s="97">
        <f>478.3-D127-D128-D129</f>
        <v>113.7</v>
      </c>
      <c r="E130" s="97"/>
      <c r="F130" s="97"/>
      <c r="G130" s="97"/>
      <c r="I130" s="111">
        <v>98.4</v>
      </c>
      <c r="J130" s="1">
        <v>4</v>
      </c>
      <c r="L130" s="110">
        <v>15493</v>
      </c>
      <c r="M130" s="111">
        <v>267.70000000000005</v>
      </c>
      <c r="N130" s="111">
        <f t="shared" si="4"/>
        <v>380.32987804878053</v>
      </c>
      <c r="O130" s="110">
        <v>9445</v>
      </c>
      <c r="P130" s="111">
        <v>564</v>
      </c>
      <c r="Q130" s="111">
        <f t="shared" si="2"/>
        <v>801.29268292682934</v>
      </c>
      <c r="R130" s="110">
        <v>13087</v>
      </c>
      <c r="S130" s="111">
        <v>185.09999999999991</v>
      </c>
      <c r="T130" s="111">
        <f t="shared" si="3"/>
        <v>262.97743902439009</v>
      </c>
      <c r="V130" s="97" t="s">
        <v>12</v>
      </c>
      <c r="W130" s="98">
        <f>IF('Tab3'!C32="",'Tab3'!C33,'Tab3'!C34)</f>
        <v>4395</v>
      </c>
      <c r="X130" s="98">
        <f>IF('Tab3'!D32="",'Tab3'!D33,'Tab3'!D34)</f>
        <v>5188.4620000000004</v>
      </c>
      <c r="Y130" s="98">
        <f>IF('Tab3'!E32="",'Tab3'!E33,'Tab3'!E34)</f>
        <v>4769.7039999999997</v>
      </c>
    </row>
    <row r="131" spans="1:25" x14ac:dyDescent="0.25">
      <c r="A131" s="97">
        <v>1</v>
      </c>
      <c r="B131" s="97">
        <v>1998</v>
      </c>
      <c r="C131" s="97">
        <v>150</v>
      </c>
      <c r="D131" s="97">
        <v>131.9</v>
      </c>
      <c r="E131" s="97"/>
      <c r="F131" s="97" t="s">
        <v>78</v>
      </c>
      <c r="G131" s="97"/>
      <c r="I131" s="111">
        <v>99.3</v>
      </c>
      <c r="J131" s="1">
        <v>1</v>
      </c>
      <c r="K131" s="1">
        <v>1998</v>
      </c>
      <c r="L131" s="110">
        <v>17629</v>
      </c>
      <c r="M131" s="111">
        <v>285</v>
      </c>
      <c r="N131" s="111">
        <f t="shared" si="4"/>
        <v>401.23867069486408</v>
      </c>
      <c r="O131" s="110">
        <v>7614</v>
      </c>
      <c r="P131" s="111">
        <v>599.6</v>
      </c>
      <c r="Q131" s="111">
        <f t="shared" si="2"/>
        <v>844.14984894259828</v>
      </c>
      <c r="R131" s="110">
        <v>11958</v>
      </c>
      <c r="S131" s="111">
        <v>185.4</v>
      </c>
      <c r="T131" s="111">
        <f t="shared" si="3"/>
        <v>261.01631419939582</v>
      </c>
      <c r="V131" s="97" t="s">
        <v>7</v>
      </c>
      <c r="W131" s="98">
        <f>IF('Tab3'!C18="",'Tab3'!C17,'Tab3'!C18)</f>
        <v>5922</v>
      </c>
      <c r="X131" s="98">
        <f>IF('Tab3'!D18="",'Tab3'!D17,'Tab3'!D18)</f>
        <v>4955</v>
      </c>
      <c r="Y131" s="98">
        <f>IF('Tab3'!E18="",'Tab3'!E17,'Tab3'!E18)</f>
        <v>4950.7766367349996</v>
      </c>
    </row>
    <row r="132" spans="1:25" x14ac:dyDescent="0.25">
      <c r="A132" s="97">
        <v>2</v>
      </c>
      <c r="B132" s="97"/>
      <c r="C132" s="92">
        <f>289.8-C131</f>
        <v>139.80000000000001</v>
      </c>
      <c r="D132" s="92">
        <f>253.9-D131</f>
        <v>122</v>
      </c>
      <c r="E132" s="97"/>
      <c r="F132" s="97" t="s">
        <v>79</v>
      </c>
      <c r="G132" s="97" t="s">
        <v>80</v>
      </c>
      <c r="I132" s="111">
        <v>99.7</v>
      </c>
      <c r="J132" s="1">
        <v>2</v>
      </c>
      <c r="L132" s="110">
        <v>14484</v>
      </c>
      <c r="M132" s="111">
        <v>253.5</v>
      </c>
      <c r="N132" s="111">
        <f t="shared" si="4"/>
        <v>355.45937813440321</v>
      </c>
      <c r="O132" s="110">
        <v>6009</v>
      </c>
      <c r="P132" s="111">
        <v>576.9</v>
      </c>
      <c r="Q132" s="111">
        <f t="shared" si="2"/>
        <v>808.93299899699105</v>
      </c>
      <c r="R132" s="110">
        <v>15060</v>
      </c>
      <c r="S132" s="111">
        <v>204.20000000000002</v>
      </c>
      <c r="T132" s="111">
        <f t="shared" si="3"/>
        <v>286.33059177532601</v>
      </c>
      <c r="V132" s="1" t="s">
        <v>113</v>
      </c>
      <c r="W132" s="98">
        <f>IF('Tab10'!C8="",'Tab10'!C7,'Tab10'!C8)</f>
        <v>7418</v>
      </c>
      <c r="X132" s="98">
        <f>IF('Tab10'!D8="",'Tab10'!D7,'Tab10'!D8)</f>
        <v>8377.4704651280008</v>
      </c>
      <c r="Y132" s="98">
        <f>IF('Tab10'!E8="",'Tab10'!E7,'Tab10'!E8)</f>
        <v>7377.228430911</v>
      </c>
    </row>
    <row r="133" spans="1:25" x14ac:dyDescent="0.25">
      <c r="A133" s="97">
        <v>3</v>
      </c>
      <c r="B133" s="97"/>
      <c r="C133" s="97">
        <f>+E133-C131-C132</f>
        <v>128.09999999999997</v>
      </c>
      <c r="D133" s="97">
        <f>+G133-D131-D132</f>
        <v>112.1</v>
      </c>
      <c r="E133" s="97">
        <v>417.9</v>
      </c>
      <c r="G133" s="97">
        <v>366</v>
      </c>
      <c r="I133" s="105">
        <v>99.8</v>
      </c>
      <c r="J133" s="1">
        <v>3</v>
      </c>
      <c r="L133" s="110">
        <v>15693</v>
      </c>
      <c r="M133" s="111">
        <v>257.89999999999998</v>
      </c>
      <c r="N133" s="111">
        <f t="shared" si="4"/>
        <v>361.26673346693389</v>
      </c>
      <c r="O133" s="110">
        <v>8328</v>
      </c>
      <c r="P133" s="111">
        <v>432.80000000000018</v>
      </c>
      <c r="Q133" s="111">
        <f t="shared" si="2"/>
        <v>606.26693386773582</v>
      </c>
      <c r="R133" s="110">
        <v>17098</v>
      </c>
      <c r="S133" s="111">
        <v>209.60000000000002</v>
      </c>
      <c r="T133" s="111">
        <f t="shared" si="3"/>
        <v>293.6080160320642</v>
      </c>
      <c r="V133" s="97" t="s">
        <v>9</v>
      </c>
      <c r="W133" s="98">
        <f>IF('Tab3'!C22="",'Tab3'!C21,'Tab3'!C22)</f>
        <v>12291</v>
      </c>
      <c r="X133" s="98">
        <f>IF('Tab3'!D22="",'Tab3'!D21,'Tab3'!D22)</f>
        <v>12649.523333333</v>
      </c>
      <c r="Y133" s="98">
        <f>IF('Tab3'!E22="",'Tab3'!E21,'Tab3'!E22)</f>
        <v>13539.56</v>
      </c>
    </row>
    <row r="134" spans="1:25" x14ac:dyDescent="0.25">
      <c r="A134" s="97">
        <v>4</v>
      </c>
      <c r="B134" s="97"/>
      <c r="C134" s="97">
        <f>+E134-E133</f>
        <v>141.80000000000007</v>
      </c>
      <c r="D134" s="97">
        <f>+G134-G133</f>
        <v>125.60000000000002</v>
      </c>
      <c r="E134" s="97">
        <v>559.70000000000005</v>
      </c>
      <c r="G134" s="97">
        <v>491.6</v>
      </c>
      <c r="I134" s="105">
        <v>100.7</v>
      </c>
      <c r="J134" s="1">
        <v>4</v>
      </c>
      <c r="L134" s="110">
        <v>16502</v>
      </c>
      <c r="M134" s="111">
        <v>299.10000000000002</v>
      </c>
      <c r="N134" s="111">
        <f t="shared" si="4"/>
        <v>415.23515392254222</v>
      </c>
      <c r="O134" s="110">
        <v>7526</v>
      </c>
      <c r="P134" s="111">
        <v>738.59999999999945</v>
      </c>
      <c r="Q134" s="111">
        <f t="shared" si="2"/>
        <v>1025.3851042701085</v>
      </c>
      <c r="R134" s="110">
        <v>14647</v>
      </c>
      <c r="S134" s="111">
        <v>205.79999999999995</v>
      </c>
      <c r="T134" s="111">
        <f t="shared" si="3"/>
        <v>285.70844091360476</v>
      </c>
    </row>
    <row r="135" spans="1:25" x14ac:dyDescent="0.25">
      <c r="A135" s="97">
        <v>1</v>
      </c>
      <c r="B135" s="97">
        <v>1999</v>
      </c>
      <c r="C135" s="97">
        <f>+E135</f>
        <v>154.19999999999999</v>
      </c>
      <c r="D135" s="97">
        <f>+G135</f>
        <v>137.1</v>
      </c>
      <c r="E135" s="97">
        <v>154.19999999999999</v>
      </c>
      <c r="G135" s="97">
        <v>137.1</v>
      </c>
      <c r="I135" s="105">
        <v>101.4</v>
      </c>
      <c r="J135" s="1">
        <v>1</v>
      </c>
      <c r="K135" s="1">
        <v>1999</v>
      </c>
      <c r="L135" s="110">
        <v>18095</v>
      </c>
      <c r="M135" s="111">
        <v>328.50000000000006</v>
      </c>
      <c r="N135" s="111">
        <f t="shared" si="4"/>
        <v>452.9023668639054</v>
      </c>
      <c r="O135" s="110">
        <v>8863</v>
      </c>
      <c r="P135" s="111">
        <v>689.1</v>
      </c>
      <c r="Q135" s="111">
        <f t="shared" si="2"/>
        <v>950.06094674556221</v>
      </c>
      <c r="R135" s="110">
        <v>11175</v>
      </c>
      <c r="S135" s="111">
        <v>162.80000000000001</v>
      </c>
      <c r="T135" s="111">
        <f t="shared" si="3"/>
        <v>224.45207100591716</v>
      </c>
    </row>
    <row r="136" spans="1:25" x14ac:dyDescent="0.25">
      <c r="A136" s="97">
        <v>2</v>
      </c>
      <c r="B136" s="97"/>
      <c r="C136" s="92">
        <f>+E136-E135</f>
        <v>159.30000000000001</v>
      </c>
      <c r="D136" s="92">
        <f>+G136-G135</f>
        <v>140.70000000000002</v>
      </c>
      <c r="E136" s="97">
        <v>313.5</v>
      </c>
      <c r="G136" s="97">
        <v>277.8</v>
      </c>
      <c r="I136" s="105">
        <v>102.2</v>
      </c>
      <c r="J136" s="1">
        <v>2</v>
      </c>
      <c r="L136" s="110">
        <v>12899</v>
      </c>
      <c r="M136" s="111">
        <v>332.7</v>
      </c>
      <c r="N136" s="111">
        <f t="shared" si="4"/>
        <v>455.1023483365949</v>
      </c>
      <c r="O136" s="110">
        <v>5920</v>
      </c>
      <c r="P136" s="111">
        <v>874.6</v>
      </c>
      <c r="Q136" s="111">
        <f t="shared" si="2"/>
        <v>1196.3706457925637</v>
      </c>
      <c r="R136" s="110">
        <v>12451</v>
      </c>
      <c r="S136" s="111">
        <v>199.09999999999997</v>
      </c>
      <c r="T136" s="111">
        <f t="shared" si="3"/>
        <v>272.35009784735809</v>
      </c>
    </row>
    <row r="137" spans="1:25" x14ac:dyDescent="0.25">
      <c r="A137" s="97">
        <v>3</v>
      </c>
      <c r="B137" s="97"/>
      <c r="C137" s="92">
        <f>+E137-E136</f>
        <v>146.30000000000001</v>
      </c>
      <c r="D137" s="92">
        <f>+G137-G136</f>
        <v>128.69999999999999</v>
      </c>
      <c r="E137" s="97">
        <v>459.8</v>
      </c>
      <c r="G137" s="97">
        <v>406.5</v>
      </c>
      <c r="I137" s="105">
        <v>101.7</v>
      </c>
      <c r="J137" s="1">
        <v>3</v>
      </c>
      <c r="L137" s="110">
        <v>23305</v>
      </c>
      <c r="M137" s="111">
        <v>445.5</v>
      </c>
      <c r="N137" s="111">
        <f t="shared" si="4"/>
        <v>612.39823008849555</v>
      </c>
      <c r="O137" s="110">
        <v>11181</v>
      </c>
      <c r="P137" s="111">
        <v>566.99999999999977</v>
      </c>
      <c r="Q137" s="111">
        <f t="shared" si="2"/>
        <v>779.41592920353958</v>
      </c>
      <c r="R137" s="110">
        <v>18817</v>
      </c>
      <c r="S137" s="111">
        <v>227.70000000000005</v>
      </c>
      <c r="T137" s="111">
        <f t="shared" si="3"/>
        <v>313.00353982300896</v>
      </c>
    </row>
    <row r="138" spans="1:25" x14ac:dyDescent="0.25">
      <c r="A138" s="97">
        <v>4</v>
      </c>
      <c r="B138" s="97"/>
      <c r="C138" s="92">
        <f>+E138-E137</f>
        <v>141.90000000000003</v>
      </c>
      <c r="D138" s="92">
        <f>+G138-G137</f>
        <v>126.39999999999998</v>
      </c>
      <c r="E138" s="97">
        <v>601.70000000000005</v>
      </c>
      <c r="G138" s="97">
        <v>532.9</v>
      </c>
      <c r="I138" s="111">
        <v>103.5</v>
      </c>
      <c r="J138" s="1">
        <v>4</v>
      </c>
      <c r="L138" s="110">
        <v>18359</v>
      </c>
      <c r="M138" s="111">
        <v>410.59999999999968</v>
      </c>
      <c r="N138" s="111">
        <f t="shared" si="4"/>
        <v>554.60753623188361</v>
      </c>
      <c r="O138" s="110">
        <v>9544</v>
      </c>
      <c r="P138" s="111">
        <v>935.5</v>
      </c>
      <c r="Q138" s="111">
        <f t="shared" si="2"/>
        <v>1263.6028985507248</v>
      </c>
      <c r="R138" s="110">
        <v>13692</v>
      </c>
      <c r="S138" s="111">
        <v>192.19999999999993</v>
      </c>
      <c r="T138" s="111">
        <f t="shared" si="3"/>
        <v>259.60927536231878</v>
      </c>
    </row>
    <row r="139" spans="1:25" x14ac:dyDescent="0.25">
      <c r="A139" s="97">
        <v>1</v>
      </c>
      <c r="B139" s="97">
        <v>2000</v>
      </c>
      <c r="C139" s="97">
        <f>+E139</f>
        <v>169.1</v>
      </c>
      <c r="D139" s="97">
        <f>+G139</f>
        <v>150.9</v>
      </c>
      <c r="E139" s="97">
        <v>169.1</v>
      </c>
      <c r="G139" s="97">
        <v>150.9</v>
      </c>
      <c r="I139" s="111">
        <v>104.6</v>
      </c>
      <c r="J139" s="1">
        <v>1</v>
      </c>
      <c r="K139" s="1">
        <v>2000</v>
      </c>
      <c r="L139" s="110">
        <v>17570</v>
      </c>
      <c r="M139" s="111">
        <v>345.9</v>
      </c>
      <c r="N139" s="111">
        <f t="shared" si="4"/>
        <v>462.30229445506694</v>
      </c>
      <c r="O139" s="110">
        <v>9154</v>
      </c>
      <c r="P139" s="111">
        <v>819.9</v>
      </c>
      <c r="Q139" s="111">
        <f t="shared" si="2"/>
        <v>1095.8128107074572</v>
      </c>
      <c r="R139" s="110">
        <v>12421</v>
      </c>
      <c r="S139" s="111">
        <v>198</v>
      </c>
      <c r="T139" s="111">
        <f t="shared" si="3"/>
        <v>264.63097514340348</v>
      </c>
    </row>
    <row r="140" spans="1:25" x14ac:dyDescent="0.25">
      <c r="A140" s="97">
        <v>2</v>
      </c>
      <c r="B140" s="97"/>
      <c r="C140" s="92">
        <f>+E140-E139</f>
        <v>151.50000000000003</v>
      </c>
      <c r="D140" s="92">
        <f>+G140-G139</f>
        <v>133.4</v>
      </c>
      <c r="E140" s="97">
        <v>320.60000000000002</v>
      </c>
      <c r="G140" s="97">
        <v>284.3</v>
      </c>
      <c r="I140" s="111">
        <v>105.1</v>
      </c>
      <c r="J140" s="1">
        <v>2</v>
      </c>
      <c r="L140" s="110">
        <v>14069</v>
      </c>
      <c r="M140" s="111">
        <v>252.39999999999998</v>
      </c>
      <c r="N140" s="111">
        <f t="shared" si="4"/>
        <v>335.73282588011421</v>
      </c>
      <c r="O140" s="110">
        <v>10238</v>
      </c>
      <c r="P140" s="111">
        <v>674.19999999999993</v>
      </c>
      <c r="Q140" s="111">
        <f t="shared" si="2"/>
        <v>896.79505233111331</v>
      </c>
      <c r="R140" s="110">
        <v>13950</v>
      </c>
      <c r="S140" s="111">
        <v>184.5</v>
      </c>
      <c r="T140" s="111">
        <f t="shared" si="3"/>
        <v>245.41484300666036</v>
      </c>
    </row>
    <row r="141" spans="1:25" x14ac:dyDescent="0.25">
      <c r="A141" s="97">
        <v>3</v>
      </c>
      <c r="B141"/>
      <c r="C141" s="92">
        <f>+E141-E140</f>
        <v>139</v>
      </c>
      <c r="D141" s="92">
        <f>+G141-G140</f>
        <v>123.5</v>
      </c>
      <c r="E141" s="97">
        <v>459.6</v>
      </c>
      <c r="G141" s="97">
        <v>407.8</v>
      </c>
      <c r="I141" s="111">
        <v>105.3</v>
      </c>
      <c r="J141" s="1">
        <v>3</v>
      </c>
      <c r="L141" s="110">
        <v>16329</v>
      </c>
      <c r="M141" s="111">
        <v>313.5</v>
      </c>
      <c r="N141" s="111">
        <f t="shared" si="4"/>
        <v>416.21367521367523</v>
      </c>
      <c r="O141" s="110">
        <v>13877</v>
      </c>
      <c r="P141" s="111">
        <v>706.20000000000027</v>
      </c>
      <c r="Q141" s="111">
        <f t="shared" si="2"/>
        <v>937.57606837606886</v>
      </c>
      <c r="R141" s="110">
        <v>14850</v>
      </c>
      <c r="S141" s="111">
        <v>193.89999999999998</v>
      </c>
      <c r="T141" s="111">
        <f t="shared" si="3"/>
        <v>257.42849002849005</v>
      </c>
    </row>
    <row r="142" spans="1:25" x14ac:dyDescent="0.25">
      <c r="A142" s="97">
        <v>4</v>
      </c>
      <c r="B142"/>
      <c r="C142" s="92">
        <f>+E142-E141</f>
        <v>135.10000000000002</v>
      </c>
      <c r="D142" s="92">
        <f>+G142-G141</f>
        <v>121.40000000000003</v>
      </c>
      <c r="E142" s="97">
        <v>594.70000000000005</v>
      </c>
      <c r="G142" s="97">
        <v>529.20000000000005</v>
      </c>
      <c r="I142" s="111">
        <v>106.8</v>
      </c>
      <c r="J142" s="1">
        <v>4</v>
      </c>
      <c r="L142" s="110">
        <v>21735</v>
      </c>
      <c r="M142" s="111">
        <v>484.79999999999995</v>
      </c>
      <c r="N142" s="111">
        <f t="shared" si="4"/>
        <v>634.59775280898873</v>
      </c>
      <c r="O142" s="110">
        <v>9978</v>
      </c>
      <c r="P142" s="111">
        <v>739.19999999999982</v>
      </c>
      <c r="Q142" s="111">
        <f t="shared" si="2"/>
        <v>967.60449438202227</v>
      </c>
      <c r="R142" s="110">
        <v>13212</v>
      </c>
      <c r="S142" s="111">
        <v>215</v>
      </c>
      <c r="T142" s="111">
        <f t="shared" si="3"/>
        <v>281.43258426966298</v>
      </c>
    </row>
    <row r="143" spans="1:25" x14ac:dyDescent="0.25">
      <c r="A143" s="97">
        <v>1</v>
      </c>
      <c r="B143">
        <v>2001</v>
      </c>
      <c r="C143" s="97">
        <f>+E143</f>
        <v>158.5</v>
      </c>
      <c r="D143" s="97">
        <f>+G143</f>
        <v>143.1</v>
      </c>
      <c r="E143" s="97">
        <v>158.5</v>
      </c>
      <c r="G143" s="97">
        <v>143.1</v>
      </c>
      <c r="I143" s="111">
        <v>108.4</v>
      </c>
      <c r="J143" s="1">
        <v>1</v>
      </c>
      <c r="K143" s="1">
        <v>2001</v>
      </c>
      <c r="L143" s="110">
        <v>27280</v>
      </c>
      <c r="M143" s="111">
        <v>675.3</v>
      </c>
      <c r="N143" s="111">
        <f t="shared" si="4"/>
        <v>870.91273062730625</v>
      </c>
      <c r="O143" s="110">
        <v>7776</v>
      </c>
      <c r="P143" s="111">
        <v>877</v>
      </c>
      <c r="Q143" s="111">
        <f t="shared" si="2"/>
        <v>1131.0387453874539</v>
      </c>
      <c r="R143" s="110">
        <v>10538</v>
      </c>
      <c r="S143" s="111">
        <v>164.1</v>
      </c>
      <c r="T143" s="111">
        <f t="shared" si="3"/>
        <v>211.63450184501846</v>
      </c>
    </row>
    <row r="144" spans="1:25" x14ac:dyDescent="0.25">
      <c r="A144" s="97">
        <v>2</v>
      </c>
      <c r="B144" s="97"/>
      <c r="C144" s="92">
        <f>+E144-E143</f>
        <v>140.45999999999998</v>
      </c>
      <c r="D144" s="92">
        <f>+G144-G143</f>
        <v>125.70000000000002</v>
      </c>
      <c r="E144" s="97">
        <v>298.95999999999998</v>
      </c>
      <c r="G144" s="97">
        <v>268.8</v>
      </c>
      <c r="I144" s="111">
        <v>109.6</v>
      </c>
      <c r="J144" s="1">
        <v>2</v>
      </c>
      <c r="L144" s="110">
        <v>17111</v>
      </c>
      <c r="M144" s="111">
        <v>452</v>
      </c>
      <c r="N144" s="111">
        <f t="shared" si="4"/>
        <v>576.54744525547449</v>
      </c>
      <c r="O144" s="110">
        <v>5711</v>
      </c>
      <c r="P144" s="111">
        <v>923</v>
      </c>
      <c r="Q144" s="111">
        <f t="shared" si="2"/>
        <v>1177.330291970803</v>
      </c>
      <c r="R144" s="110">
        <v>11841</v>
      </c>
      <c r="S144" s="111">
        <v>190.29999999999998</v>
      </c>
      <c r="T144" s="111">
        <f t="shared" si="3"/>
        <v>242.73667883211678</v>
      </c>
    </row>
    <row r="145" spans="1:20" x14ac:dyDescent="0.25">
      <c r="A145" s="97">
        <v>3</v>
      </c>
      <c r="C145" s="92">
        <f>+E145-E144</f>
        <v>134.24</v>
      </c>
      <c r="D145" s="92">
        <f>+G145-G144</f>
        <v>119.19999999999999</v>
      </c>
      <c r="E145" s="97">
        <v>433.2</v>
      </c>
      <c r="G145" s="97">
        <v>388</v>
      </c>
      <c r="I145" s="111">
        <v>108.1</v>
      </c>
      <c r="J145" s="1">
        <v>3</v>
      </c>
      <c r="L145" s="110">
        <v>16407</v>
      </c>
      <c r="M145" s="111">
        <v>400.40000000000009</v>
      </c>
      <c r="N145" s="111">
        <f t="shared" si="4"/>
        <v>517.81609620721576</v>
      </c>
      <c r="O145" s="110">
        <v>15359</v>
      </c>
      <c r="P145" s="111">
        <v>1172.1999999999998</v>
      </c>
      <c r="Q145" s="111">
        <f t="shared" si="2"/>
        <v>1515.9441258094357</v>
      </c>
      <c r="R145" s="110">
        <v>13534</v>
      </c>
      <c r="S145" s="111">
        <v>158.5</v>
      </c>
      <c r="T145" s="111">
        <f t="shared" si="3"/>
        <v>204.97964847363554</v>
      </c>
    </row>
    <row r="146" spans="1:20" x14ac:dyDescent="0.25">
      <c r="A146" s="97">
        <v>4</v>
      </c>
      <c r="C146" s="92">
        <f>+E146-E145</f>
        <v>137.49520000000001</v>
      </c>
      <c r="D146" s="92">
        <f>+G146-G145</f>
        <v>124.07220000000007</v>
      </c>
      <c r="E146" s="102">
        <v>570.6952</v>
      </c>
      <c r="F146" s="91"/>
      <c r="G146" s="102">
        <v>512.07220000000007</v>
      </c>
      <c r="I146" s="111">
        <v>108.7</v>
      </c>
      <c r="J146" s="1">
        <v>4</v>
      </c>
      <c r="L146" s="110">
        <v>16945</v>
      </c>
      <c r="M146" s="111">
        <v>509.39999999999986</v>
      </c>
      <c r="N146" s="111">
        <f t="shared" si="4"/>
        <v>655.14369825206973</v>
      </c>
      <c r="O146" s="110">
        <v>9601</v>
      </c>
      <c r="P146" s="111">
        <v>803.30000000000018</v>
      </c>
      <c r="Q146" s="111">
        <f t="shared" si="2"/>
        <v>1033.13100275989</v>
      </c>
      <c r="R146" s="110">
        <v>12341</v>
      </c>
      <c r="S146" s="111">
        <v>258.5</v>
      </c>
      <c r="T146" s="111">
        <f t="shared" si="3"/>
        <v>332.45906163753449</v>
      </c>
    </row>
    <row r="147" spans="1:20" x14ac:dyDescent="0.25">
      <c r="A147" s="97">
        <v>1</v>
      </c>
      <c r="B147" s="97">
        <v>2002</v>
      </c>
      <c r="C147" s="97">
        <f>+E147</f>
        <v>155.81399999999999</v>
      </c>
      <c r="D147" s="97">
        <f>+G147</f>
        <v>141.72399999999999</v>
      </c>
      <c r="E147" s="102">
        <v>155.81399999999999</v>
      </c>
      <c r="F147" s="91"/>
      <c r="G147" s="102">
        <v>141.72399999999999</v>
      </c>
      <c r="I147" s="111">
        <v>109.3</v>
      </c>
      <c r="J147" s="1">
        <v>1</v>
      </c>
      <c r="K147" s="1">
        <v>2002</v>
      </c>
      <c r="L147" s="110">
        <v>17523</v>
      </c>
      <c r="M147" s="111">
        <v>466.5</v>
      </c>
      <c r="N147" s="111">
        <f t="shared" si="4"/>
        <v>596.67612076852708</v>
      </c>
      <c r="O147" s="110">
        <v>6856</v>
      </c>
      <c r="P147" s="111">
        <v>820.40000000000009</v>
      </c>
      <c r="Q147" s="111">
        <f t="shared" si="2"/>
        <v>1049.331381518756</v>
      </c>
      <c r="R147" s="110">
        <v>9371</v>
      </c>
      <c r="S147" s="111">
        <v>197.9</v>
      </c>
      <c r="T147" s="111">
        <f t="shared" si="3"/>
        <v>253.12369624885639</v>
      </c>
    </row>
    <row r="148" spans="1:20" x14ac:dyDescent="0.25">
      <c r="A148" s="97">
        <v>2</v>
      </c>
      <c r="B148" s="97"/>
      <c r="C148" s="92">
        <f>+E148-E147</f>
        <v>146.54300000000003</v>
      </c>
      <c r="D148" s="92">
        <f>+G148-G147</f>
        <v>133.19</v>
      </c>
      <c r="E148" s="97">
        <v>302.35700000000003</v>
      </c>
      <c r="G148" s="97">
        <v>274.91399999999999</v>
      </c>
      <c r="I148" s="111">
        <v>110</v>
      </c>
      <c r="J148" s="1">
        <v>2</v>
      </c>
      <c r="L148" s="110">
        <v>17469</v>
      </c>
      <c r="M148" s="111">
        <v>408.5</v>
      </c>
      <c r="N148" s="111">
        <f t="shared" si="4"/>
        <v>519.16636363636371</v>
      </c>
      <c r="O148" s="110">
        <v>9323</v>
      </c>
      <c r="P148" s="111">
        <v>689.09999999999991</v>
      </c>
      <c r="Q148" s="111">
        <f t="shared" si="2"/>
        <v>875.78345454545456</v>
      </c>
      <c r="R148" s="110">
        <v>14749</v>
      </c>
      <c r="S148" s="111">
        <v>233.49999999999997</v>
      </c>
      <c r="T148" s="111">
        <f t="shared" si="3"/>
        <v>296.75727272727272</v>
      </c>
    </row>
    <row r="149" spans="1:20" x14ac:dyDescent="0.25">
      <c r="A149" s="97">
        <v>3</v>
      </c>
      <c r="C149" s="92">
        <f>+E149-E148</f>
        <v>146.23099999999999</v>
      </c>
      <c r="D149" s="92">
        <f>+G149-G148</f>
        <v>127.14100000000002</v>
      </c>
      <c r="E149" s="97">
        <v>448.58800000000002</v>
      </c>
      <c r="G149" s="97">
        <v>402.05500000000001</v>
      </c>
      <c r="I149" s="111">
        <v>109.6</v>
      </c>
      <c r="J149" s="1">
        <v>3</v>
      </c>
      <c r="L149" s="110">
        <v>19641</v>
      </c>
      <c r="M149" s="111">
        <v>503</v>
      </c>
      <c r="N149" s="111">
        <f t="shared" si="4"/>
        <v>641.60036496350369</v>
      </c>
      <c r="O149" s="110">
        <v>17422</v>
      </c>
      <c r="P149" s="111">
        <v>895.90000000000009</v>
      </c>
      <c r="Q149" s="111">
        <f t="shared" si="2"/>
        <v>1142.7629562043799</v>
      </c>
      <c r="R149" s="110">
        <v>14722</v>
      </c>
      <c r="S149" s="111">
        <v>184.5</v>
      </c>
      <c r="T149" s="111">
        <f t="shared" si="3"/>
        <v>235.33850364963507</v>
      </c>
    </row>
    <row r="150" spans="1:20" x14ac:dyDescent="0.25">
      <c r="A150" s="97">
        <v>4</v>
      </c>
      <c r="C150" s="92">
        <f>+E150-E149</f>
        <v>137.96699999999993</v>
      </c>
      <c r="D150" s="92">
        <f>+G150-G149</f>
        <v>124.64100000000002</v>
      </c>
      <c r="E150" s="102">
        <v>586.55499999999995</v>
      </c>
      <c r="F150" s="91"/>
      <c r="G150" s="102">
        <v>526.69600000000003</v>
      </c>
      <c r="I150" s="111">
        <v>111</v>
      </c>
      <c r="J150" s="1">
        <v>4</v>
      </c>
      <c r="L150" s="110">
        <v>17442</v>
      </c>
      <c r="M150" s="111">
        <v>464.20000000000005</v>
      </c>
      <c r="N150" s="111">
        <f t="shared" si="4"/>
        <v>584.64108108108121</v>
      </c>
      <c r="O150" s="110">
        <v>8123</v>
      </c>
      <c r="P150" s="111">
        <v>938.5</v>
      </c>
      <c r="Q150" s="111">
        <f t="shared" si="2"/>
        <v>1182.0027027027029</v>
      </c>
      <c r="R150" s="110">
        <v>14689</v>
      </c>
      <c r="S150" s="111">
        <v>194.00000000000011</v>
      </c>
      <c r="T150" s="111">
        <f t="shared" si="3"/>
        <v>244.33513513513529</v>
      </c>
    </row>
    <row r="151" spans="1:20" x14ac:dyDescent="0.25">
      <c r="A151" s="97">
        <v>1</v>
      </c>
      <c r="B151" s="97">
        <v>2003</v>
      </c>
      <c r="C151" s="102">
        <f>+E151</f>
        <v>165.679</v>
      </c>
      <c r="D151" s="97">
        <f>+G151</f>
        <v>150.81100000000001</v>
      </c>
      <c r="E151" s="102">
        <v>165.679</v>
      </c>
      <c r="F151" s="91"/>
      <c r="G151" s="102">
        <v>150.81100000000001</v>
      </c>
      <c r="I151" s="111">
        <v>114.6</v>
      </c>
      <c r="J151" s="1">
        <v>1</v>
      </c>
      <c r="K151" s="1">
        <v>2003</v>
      </c>
      <c r="L151" s="110">
        <v>22781</v>
      </c>
      <c r="M151" s="111">
        <v>626.79999999999995</v>
      </c>
      <c r="N151" s="111">
        <f t="shared" si="4"/>
        <v>764.63036649214666</v>
      </c>
      <c r="O151" s="110">
        <v>6823</v>
      </c>
      <c r="P151" s="111">
        <v>1087.2</v>
      </c>
      <c r="Q151" s="111">
        <f t="shared" si="2"/>
        <v>1326.2701570680631</v>
      </c>
      <c r="R151" s="110">
        <v>10626</v>
      </c>
      <c r="S151" s="111">
        <v>183</v>
      </c>
      <c r="T151" s="111">
        <f t="shared" si="3"/>
        <v>223.24083769633512</v>
      </c>
    </row>
    <row r="152" spans="1:20" x14ac:dyDescent="0.25">
      <c r="A152" s="97">
        <v>2</v>
      </c>
      <c r="B152" s="97"/>
      <c r="C152" s="101">
        <f>+E152-E151</f>
        <v>135.02099999999999</v>
      </c>
      <c r="D152" s="92">
        <f>+G152-G151</f>
        <v>121.10099999999997</v>
      </c>
      <c r="E152" s="97">
        <v>300.7</v>
      </c>
      <c r="G152" s="97">
        <v>271.91199999999998</v>
      </c>
      <c r="I152" s="111">
        <v>112.3</v>
      </c>
      <c r="J152" s="1">
        <v>2</v>
      </c>
      <c r="L152" s="110">
        <v>15417</v>
      </c>
      <c r="M152" s="111">
        <v>406.10000000000014</v>
      </c>
      <c r="N152" s="111">
        <f t="shared" si="4"/>
        <v>505.54568121104205</v>
      </c>
      <c r="O152" s="110">
        <v>5618</v>
      </c>
      <c r="P152" s="111">
        <v>817.8</v>
      </c>
      <c r="Q152" s="111">
        <f t="shared" si="2"/>
        <v>1018.0626892252894</v>
      </c>
      <c r="R152" s="110">
        <v>12719</v>
      </c>
      <c r="S152" s="111">
        <v>203.2</v>
      </c>
      <c r="T152" s="111">
        <f t="shared" si="3"/>
        <v>252.95957257346396</v>
      </c>
    </row>
    <row r="153" spans="1:20" x14ac:dyDescent="0.25">
      <c r="A153" s="97">
        <v>3</v>
      </c>
      <c r="B153" s="97"/>
      <c r="C153" s="101">
        <f>+E153-E152</f>
        <v>134.11099999999999</v>
      </c>
      <c r="D153" s="92">
        <f>+G153-G152</f>
        <v>119.49100000000004</v>
      </c>
      <c r="E153" s="97">
        <v>434.81099999999998</v>
      </c>
      <c r="G153" s="97">
        <v>391.40300000000002</v>
      </c>
      <c r="I153" s="111">
        <v>111.9</v>
      </c>
      <c r="J153" s="1">
        <v>3</v>
      </c>
      <c r="L153" s="110">
        <v>18848</v>
      </c>
      <c r="M153" s="111">
        <v>430.5</v>
      </c>
      <c r="N153" s="111">
        <f t="shared" si="4"/>
        <v>537.83646112600536</v>
      </c>
      <c r="O153" s="110">
        <v>16056</v>
      </c>
      <c r="P153" s="111">
        <v>860.19999999999982</v>
      </c>
      <c r="Q153" s="111">
        <f t="shared" si="2"/>
        <v>1074.6734584450401</v>
      </c>
      <c r="R153" s="110">
        <v>13690</v>
      </c>
      <c r="S153" s="111">
        <v>188.8</v>
      </c>
      <c r="T153" s="111">
        <f t="shared" si="3"/>
        <v>235.87345844504023</v>
      </c>
    </row>
    <row r="154" spans="1:20" x14ac:dyDescent="0.25">
      <c r="A154" s="97">
        <v>4</v>
      </c>
      <c r="B154" s="97"/>
      <c r="C154" s="101">
        <f>+E154-E153</f>
        <v>142.01299999999998</v>
      </c>
      <c r="D154" s="92">
        <f>+G154-G153</f>
        <v>125.95899999999995</v>
      </c>
      <c r="E154" s="97">
        <v>576.82399999999996</v>
      </c>
      <c r="G154" s="97">
        <v>517.36199999999997</v>
      </c>
      <c r="I154" s="111">
        <v>112.6</v>
      </c>
      <c r="J154" s="1">
        <v>4</v>
      </c>
      <c r="L154" s="110">
        <v>16096</v>
      </c>
      <c r="M154" s="111">
        <v>471.89999999999986</v>
      </c>
      <c r="N154" s="111">
        <f t="shared" si="4"/>
        <v>585.89360568383654</v>
      </c>
      <c r="O154" s="110">
        <v>7652</v>
      </c>
      <c r="P154" s="111">
        <v>762.30000000000018</v>
      </c>
      <c r="Q154" s="111">
        <f t="shared" si="2"/>
        <v>946.44351687389019</v>
      </c>
      <c r="R154" s="110">
        <v>11607</v>
      </c>
      <c r="S154" s="111">
        <v>220.90000000000009</v>
      </c>
      <c r="T154" s="111">
        <f t="shared" si="3"/>
        <v>274.26127886323286</v>
      </c>
    </row>
    <row r="155" spans="1:20" x14ac:dyDescent="0.25">
      <c r="A155" s="97">
        <v>1</v>
      </c>
      <c r="B155" s="97">
        <v>2004</v>
      </c>
      <c r="C155" s="102">
        <f>+E155</f>
        <v>168.309</v>
      </c>
      <c r="D155" s="97">
        <f>+G155</f>
        <v>153.04300000000001</v>
      </c>
      <c r="E155" s="97">
        <v>168.309</v>
      </c>
      <c r="G155" s="97">
        <v>153.04300000000001</v>
      </c>
      <c r="I155" s="111">
        <v>112.6</v>
      </c>
      <c r="J155" s="1">
        <v>1</v>
      </c>
      <c r="K155" s="1">
        <v>2004</v>
      </c>
      <c r="L155" s="110">
        <v>17805</v>
      </c>
      <c r="M155" s="111">
        <v>517.69999999999993</v>
      </c>
      <c r="N155" s="111">
        <f t="shared" si="4"/>
        <v>642.75719360568382</v>
      </c>
      <c r="O155" s="110">
        <v>7033</v>
      </c>
      <c r="P155" s="111">
        <v>735.2</v>
      </c>
      <c r="Q155" s="111">
        <f t="shared" si="2"/>
        <v>912.79715808170533</v>
      </c>
      <c r="R155" s="110">
        <v>8913</v>
      </c>
      <c r="S155" s="111">
        <v>178.89999999999998</v>
      </c>
      <c r="T155" s="111">
        <f t="shared" si="3"/>
        <v>222.11563055062166</v>
      </c>
    </row>
    <row r="156" spans="1:20" x14ac:dyDescent="0.25">
      <c r="A156" s="97">
        <v>2</v>
      </c>
      <c r="B156" s="97"/>
      <c r="C156" s="101">
        <f>+E156-E155</f>
        <v>140.26700000000002</v>
      </c>
      <c r="D156" s="92">
        <f>+G156-G155</f>
        <v>125.56799999999998</v>
      </c>
      <c r="E156" s="97">
        <v>308.57600000000002</v>
      </c>
      <c r="G156" s="97">
        <v>278.61099999999999</v>
      </c>
      <c r="I156" s="111">
        <v>113.4</v>
      </c>
      <c r="J156" s="1">
        <v>2</v>
      </c>
      <c r="L156" s="110">
        <v>13855</v>
      </c>
      <c r="M156" s="111">
        <v>344.69999999999993</v>
      </c>
      <c r="N156" s="111">
        <f t="shared" si="4"/>
        <v>424.94761904761901</v>
      </c>
      <c r="O156" s="110">
        <v>6436</v>
      </c>
      <c r="P156" s="111">
        <v>708.3</v>
      </c>
      <c r="Q156" s="111">
        <f t="shared" si="2"/>
        <v>873.1952380952381</v>
      </c>
      <c r="R156" s="110">
        <v>10802</v>
      </c>
      <c r="S156" s="111">
        <v>228.40000000000003</v>
      </c>
      <c r="T156" s="111">
        <f t="shared" si="3"/>
        <v>281.5724867724868</v>
      </c>
    </row>
    <row r="157" spans="1:20" x14ac:dyDescent="0.25">
      <c r="A157" s="97">
        <v>3</v>
      </c>
      <c r="B157" s="97"/>
      <c r="C157" s="101">
        <f>+E157-E156</f>
        <v>137.76999999999998</v>
      </c>
      <c r="D157" s="92">
        <f>+G157-G156</f>
        <v>123.12100000000004</v>
      </c>
      <c r="E157" s="97">
        <v>446.346</v>
      </c>
      <c r="G157" s="97">
        <v>401.73200000000003</v>
      </c>
      <c r="I157" s="111">
        <v>113</v>
      </c>
      <c r="J157" s="1">
        <v>3</v>
      </c>
      <c r="L157" s="110">
        <v>17630</v>
      </c>
      <c r="M157" s="111">
        <v>454.09999999999991</v>
      </c>
      <c r="N157" s="111">
        <f t="shared" si="4"/>
        <v>561.79805309734502</v>
      </c>
      <c r="O157" s="110">
        <v>11805</v>
      </c>
      <c r="P157" s="111">
        <v>652.69999999999982</v>
      </c>
      <c r="Q157" s="111">
        <f t="shared" si="2"/>
        <v>807.49964601769898</v>
      </c>
      <c r="R157" s="110">
        <v>11365</v>
      </c>
      <c r="S157" s="111">
        <v>160.7999999999999</v>
      </c>
      <c r="T157" s="111">
        <f t="shared" si="3"/>
        <v>198.93663716814149</v>
      </c>
    </row>
    <row r="158" spans="1:20" x14ac:dyDescent="0.25">
      <c r="A158" s="97">
        <v>4</v>
      </c>
      <c r="B158" s="97"/>
      <c r="C158" s="101">
        <f>+E158-E157</f>
        <v>137.68499999999995</v>
      </c>
      <c r="D158" s="92">
        <f>+G158-G157</f>
        <v>124.50600000000003</v>
      </c>
      <c r="E158" s="97">
        <v>584.03099999999995</v>
      </c>
      <c r="G158" s="97">
        <v>526.23800000000006</v>
      </c>
      <c r="I158" s="111">
        <v>114</v>
      </c>
      <c r="J158" s="1">
        <v>4</v>
      </c>
      <c r="L158" s="110">
        <v>16674</v>
      </c>
      <c r="M158" s="111">
        <v>428.20000000000027</v>
      </c>
      <c r="N158" s="111">
        <f t="shared" si="4"/>
        <v>525.10842105263202</v>
      </c>
      <c r="O158" s="110">
        <v>10088</v>
      </c>
      <c r="P158" s="111">
        <v>709.40000000000055</v>
      </c>
      <c r="Q158" s="111">
        <f t="shared" si="2"/>
        <v>869.94842105263228</v>
      </c>
      <c r="R158" s="110">
        <v>9276</v>
      </c>
      <c r="S158" s="111">
        <v>162.90000000000009</v>
      </c>
      <c r="T158" s="111">
        <f t="shared" si="3"/>
        <v>199.76684210526329</v>
      </c>
    </row>
    <row r="159" spans="1:20" x14ac:dyDescent="0.25">
      <c r="A159" s="97">
        <v>1</v>
      </c>
      <c r="B159" s="97">
        <v>2005</v>
      </c>
      <c r="C159" s="102">
        <f>+E159</f>
        <v>147.31100000000001</v>
      </c>
      <c r="D159" s="97">
        <f>+G159</f>
        <v>133.756</v>
      </c>
      <c r="E159" s="97">
        <v>147.31100000000001</v>
      </c>
      <c r="G159" s="97">
        <v>133.756</v>
      </c>
      <c r="I159" s="111">
        <v>113.7</v>
      </c>
      <c r="J159" s="1">
        <v>1</v>
      </c>
      <c r="K159" s="1">
        <v>2005</v>
      </c>
      <c r="L159" s="110">
        <v>15151</v>
      </c>
      <c r="M159" s="111">
        <v>418</v>
      </c>
      <c r="N159" s="111">
        <f t="shared" si="4"/>
        <v>513.95250659630608</v>
      </c>
      <c r="O159" s="110">
        <v>7287</v>
      </c>
      <c r="P159" s="111">
        <v>715.2</v>
      </c>
      <c r="Q159" s="111">
        <f t="shared" si="2"/>
        <v>879.37519788918212</v>
      </c>
      <c r="R159" s="110">
        <v>7498</v>
      </c>
      <c r="S159" s="111">
        <v>159.69999999999999</v>
      </c>
      <c r="T159" s="111">
        <f t="shared" si="3"/>
        <v>196.35936675461741</v>
      </c>
    </row>
    <row r="160" spans="1:20" x14ac:dyDescent="0.25">
      <c r="A160" s="97">
        <v>2</v>
      </c>
      <c r="B160" s="97"/>
      <c r="C160" s="101">
        <f>+E160-E159</f>
        <v>143.51699999999997</v>
      </c>
      <c r="D160" s="92">
        <f>+G160-G159</f>
        <v>128.79</v>
      </c>
      <c r="E160" s="97">
        <v>290.82799999999997</v>
      </c>
      <c r="G160" s="97">
        <v>262.54599999999999</v>
      </c>
      <c r="I160" s="111">
        <v>115.2</v>
      </c>
      <c r="J160" s="1">
        <v>2</v>
      </c>
      <c r="L160" s="110">
        <v>14855</v>
      </c>
      <c r="M160" s="111">
        <v>323.20000000000005</v>
      </c>
      <c r="N160" s="111">
        <f t="shared" si="4"/>
        <v>392.21666666666675</v>
      </c>
      <c r="O160" s="110">
        <v>6172</v>
      </c>
      <c r="P160" s="111">
        <v>745.5</v>
      </c>
      <c r="Q160" s="111">
        <f t="shared" si="2"/>
        <v>904.6953125</v>
      </c>
      <c r="R160" s="110">
        <v>11610</v>
      </c>
      <c r="S160" s="111">
        <v>152.50000000000006</v>
      </c>
      <c r="T160" s="111">
        <f t="shared" si="3"/>
        <v>185.06510416666677</v>
      </c>
    </row>
    <row r="161" spans="1:20" x14ac:dyDescent="0.25">
      <c r="A161" s="97">
        <v>3</v>
      </c>
      <c r="B161" s="97"/>
      <c r="C161" s="101">
        <f>+E161-E160</f>
        <v>134.78300000000002</v>
      </c>
      <c r="D161" s="92">
        <f>+G161-G160</f>
        <v>120.57100000000003</v>
      </c>
      <c r="E161" s="97">
        <v>425.61099999999999</v>
      </c>
      <c r="G161" s="97">
        <v>383.11700000000002</v>
      </c>
      <c r="I161" s="111">
        <v>115.1</v>
      </c>
      <c r="J161" s="1">
        <v>3</v>
      </c>
      <c r="L161" s="110">
        <v>13014</v>
      </c>
      <c r="M161" s="111">
        <v>448.29999999999995</v>
      </c>
      <c r="N161" s="111">
        <f t="shared" si="4"/>
        <v>544.50338835794958</v>
      </c>
      <c r="O161" s="110">
        <v>6734</v>
      </c>
      <c r="P161" s="111">
        <v>832.10000000000014</v>
      </c>
      <c r="Q161" s="111">
        <f t="shared" si="2"/>
        <v>1010.6653344917466</v>
      </c>
      <c r="R161" s="110">
        <v>8742</v>
      </c>
      <c r="S161" s="111">
        <v>152.99999999999994</v>
      </c>
      <c r="T161" s="111">
        <f t="shared" si="3"/>
        <v>185.8331885317115</v>
      </c>
    </row>
    <row r="162" spans="1:20" x14ac:dyDescent="0.25">
      <c r="A162" s="97">
        <v>4</v>
      </c>
      <c r="B162" s="97"/>
      <c r="C162" s="101">
        <f>+E162-E161</f>
        <v>137.37</v>
      </c>
      <c r="D162" s="92">
        <f>+G162-G161</f>
        <v>124.38200000000001</v>
      </c>
      <c r="E162" s="97">
        <v>562.98099999999999</v>
      </c>
      <c r="G162" s="97">
        <v>507.49900000000002</v>
      </c>
      <c r="I162" s="111">
        <v>116</v>
      </c>
      <c r="J162" s="1">
        <v>4</v>
      </c>
      <c r="L162" s="110">
        <v>22745</v>
      </c>
      <c r="M162" s="111">
        <v>478.79999999999995</v>
      </c>
      <c r="N162" s="111">
        <f t="shared" si="4"/>
        <v>577.03655172413789</v>
      </c>
      <c r="O162" s="110">
        <v>8144</v>
      </c>
      <c r="P162" s="111">
        <v>795.79999999999973</v>
      </c>
      <c r="Q162" s="111">
        <f t="shared" si="2"/>
        <v>959.07620689655141</v>
      </c>
      <c r="R162" s="110">
        <v>11407</v>
      </c>
      <c r="S162" s="111">
        <v>142.00000000000006</v>
      </c>
      <c r="T162" s="111">
        <f t="shared" si="3"/>
        <v>171.13448275862078</v>
      </c>
    </row>
    <row r="163" spans="1:20" x14ac:dyDescent="0.25">
      <c r="A163" s="97">
        <v>1</v>
      </c>
      <c r="B163" s="97">
        <v>2006</v>
      </c>
      <c r="C163" s="102">
        <f>+E163</f>
        <v>155.21299999999999</v>
      </c>
      <c r="D163" s="97">
        <f>+G163</f>
        <v>139.72800000000001</v>
      </c>
      <c r="E163" s="97">
        <v>155.21299999999999</v>
      </c>
      <c r="G163" s="97">
        <v>139.72800000000001</v>
      </c>
      <c r="I163" s="111">
        <v>116.6</v>
      </c>
      <c r="J163" s="1">
        <v>1</v>
      </c>
      <c r="K163" s="1">
        <v>2006</v>
      </c>
      <c r="L163" s="110">
        <v>18196</v>
      </c>
      <c r="M163" s="111">
        <v>585</v>
      </c>
      <c r="N163" s="111">
        <f t="shared" si="4"/>
        <v>701.39794168096068</v>
      </c>
      <c r="O163" s="110">
        <v>6106</v>
      </c>
      <c r="P163" s="111">
        <v>947.2</v>
      </c>
      <c r="Q163" s="111">
        <f t="shared" si="2"/>
        <v>1135.6651801029161</v>
      </c>
      <c r="R163" s="110">
        <v>7106</v>
      </c>
      <c r="S163" s="111">
        <v>150.6</v>
      </c>
      <c r="T163" s="111">
        <f t="shared" si="3"/>
        <v>180.56500857632935</v>
      </c>
    </row>
    <row r="164" spans="1:20" x14ac:dyDescent="0.25">
      <c r="A164" s="97">
        <v>2</v>
      </c>
      <c r="B164" s="97"/>
      <c r="C164" s="101">
        <f>+E164-E163</f>
        <v>147.44399999999999</v>
      </c>
      <c r="D164" s="92">
        <f>+G164-G163</f>
        <v>129.572</v>
      </c>
      <c r="E164" s="97">
        <v>302.65699999999998</v>
      </c>
      <c r="G164" s="97">
        <v>269.3</v>
      </c>
      <c r="I164" s="111">
        <v>117.9</v>
      </c>
      <c r="J164" s="1">
        <v>2</v>
      </c>
      <c r="L164" s="110">
        <v>13943</v>
      </c>
      <c r="M164" s="111">
        <v>433.79999999999995</v>
      </c>
      <c r="N164" s="111">
        <f t="shared" si="4"/>
        <v>514.37862595419836</v>
      </c>
      <c r="O164" s="110">
        <v>5246</v>
      </c>
      <c r="P164" s="111">
        <v>811.2</v>
      </c>
      <c r="Q164" s="111">
        <f t="shared" si="2"/>
        <v>961.88091603053442</v>
      </c>
      <c r="R164" s="110">
        <v>9193</v>
      </c>
      <c r="S164" s="111">
        <v>176.1</v>
      </c>
      <c r="T164" s="111">
        <f t="shared" si="3"/>
        <v>208.81068702290077</v>
      </c>
    </row>
    <row r="165" spans="1:20" x14ac:dyDescent="0.25">
      <c r="A165" s="97">
        <v>3</v>
      </c>
      <c r="B165" s="97"/>
      <c r="C165" s="101">
        <f>+E165-E164</f>
        <v>143.45100000000002</v>
      </c>
      <c r="D165" s="92">
        <f>+G165-G164</f>
        <v>126.00599999999997</v>
      </c>
      <c r="E165" s="97">
        <v>446.108</v>
      </c>
      <c r="G165" s="97">
        <v>395.30599999999998</v>
      </c>
      <c r="I165" s="105">
        <v>117.3</v>
      </c>
      <c r="J165" s="1">
        <v>3</v>
      </c>
      <c r="L165" s="110">
        <v>13690</v>
      </c>
      <c r="M165" s="111">
        <v>496.59999999999991</v>
      </c>
      <c r="N165" s="111">
        <f t="shared" si="4"/>
        <v>591.85575447570329</v>
      </c>
      <c r="O165" s="110">
        <v>9450</v>
      </c>
      <c r="P165" s="111">
        <v>855.90000000000009</v>
      </c>
      <c r="Q165" s="111">
        <f t="shared" si="2"/>
        <v>1020.075191815857</v>
      </c>
      <c r="R165" s="110">
        <v>10840</v>
      </c>
      <c r="S165" s="111">
        <v>167.10000000000002</v>
      </c>
      <c r="T165" s="111">
        <f t="shared" si="3"/>
        <v>199.15242966751921</v>
      </c>
    </row>
    <row r="166" spans="1:20" x14ac:dyDescent="0.25">
      <c r="A166" s="97">
        <v>4</v>
      </c>
      <c r="B166" s="97"/>
      <c r="C166" s="101">
        <f>+E166-E165</f>
        <v>148.56090999999998</v>
      </c>
      <c r="D166" s="92">
        <f>+G166-G165</f>
        <v>131.19532799999996</v>
      </c>
      <c r="E166" s="97">
        <v>594.66890999999998</v>
      </c>
      <c r="G166" s="97">
        <v>526.50132799999994</v>
      </c>
      <c r="I166" s="105">
        <v>119</v>
      </c>
      <c r="J166" s="1">
        <v>4</v>
      </c>
      <c r="L166" s="110">
        <v>16682</v>
      </c>
      <c r="M166" s="111">
        <v>525.60000000000014</v>
      </c>
      <c r="N166" s="111">
        <f t="shared" si="4"/>
        <v>617.46957983193295</v>
      </c>
      <c r="O166" s="110">
        <v>10233</v>
      </c>
      <c r="P166" s="111">
        <v>826</v>
      </c>
      <c r="Q166" s="111">
        <f t="shared" si="2"/>
        <v>970.37647058823541</v>
      </c>
      <c r="R166" s="110">
        <v>9520</v>
      </c>
      <c r="S166" s="111">
        <v>144.09999999999997</v>
      </c>
      <c r="T166" s="111">
        <f t="shared" si="3"/>
        <v>169.28722689075627</v>
      </c>
    </row>
    <row r="167" spans="1:20" x14ac:dyDescent="0.25">
      <c r="A167" s="97">
        <v>1</v>
      </c>
      <c r="B167" s="97">
        <v>2007</v>
      </c>
      <c r="C167" s="102">
        <f>+E167</f>
        <v>158.09976</v>
      </c>
      <c r="D167" s="97">
        <f>+G167</f>
        <v>141.08400800000001</v>
      </c>
      <c r="E167" s="97">
        <v>158.09976</v>
      </c>
      <c r="G167" s="97">
        <v>141.08400800000001</v>
      </c>
      <c r="I167" s="105">
        <v>117.5</v>
      </c>
      <c r="J167" s="1">
        <v>1</v>
      </c>
      <c r="K167" s="1">
        <v>2007</v>
      </c>
      <c r="L167" s="110">
        <v>18623</v>
      </c>
      <c r="M167" s="111">
        <v>649.6</v>
      </c>
      <c r="N167" s="111">
        <f t="shared" si="4"/>
        <v>772.8857872340426</v>
      </c>
      <c r="O167" s="110">
        <v>7737</v>
      </c>
      <c r="P167" s="111">
        <v>1092.1999999999998</v>
      </c>
      <c r="Q167" s="111">
        <f t="shared" si="2"/>
        <v>1299.4856170212765</v>
      </c>
      <c r="R167" s="110">
        <v>8112</v>
      </c>
      <c r="S167" s="111">
        <v>167.4</v>
      </c>
      <c r="T167" s="111">
        <f t="shared" si="3"/>
        <v>199.17038297872341</v>
      </c>
    </row>
    <row r="168" spans="1:20" x14ac:dyDescent="0.25">
      <c r="A168" s="97">
        <v>2</v>
      </c>
      <c r="B168" s="97"/>
      <c r="C168" s="101">
        <f>+E168-E167</f>
        <v>161.61276000000004</v>
      </c>
      <c r="D168" s="92">
        <f>+G168-G167</f>
        <v>142.897008</v>
      </c>
      <c r="E168" s="97">
        <v>319.71252000000004</v>
      </c>
      <c r="G168" s="97">
        <v>283.98101600000001</v>
      </c>
      <c r="I168" s="105">
        <v>118.3</v>
      </c>
      <c r="J168" s="1">
        <v>2</v>
      </c>
      <c r="L168" s="110">
        <v>15831</v>
      </c>
      <c r="M168" s="111">
        <v>514.19999999999993</v>
      </c>
      <c r="N168" s="111">
        <f t="shared" si="4"/>
        <v>607.65139475908711</v>
      </c>
      <c r="O168" s="110">
        <v>5067</v>
      </c>
      <c r="P168" s="111">
        <v>1041.6999999999998</v>
      </c>
      <c r="Q168" s="111">
        <f t="shared" ref="Q168:Q189" si="5">P168/I168*$I$69</f>
        <v>1231.0199492814877</v>
      </c>
      <c r="R168" s="110">
        <v>10608</v>
      </c>
      <c r="S168" s="111">
        <v>160.99999999999997</v>
      </c>
      <c r="T168" s="111">
        <f t="shared" ref="T168:T189" si="6">S168/I168*$I$69</f>
        <v>190.26035502958578</v>
      </c>
    </row>
    <row r="169" spans="1:20" x14ac:dyDescent="0.25">
      <c r="A169" s="97">
        <v>3</v>
      </c>
      <c r="B169" s="97"/>
      <c r="C169" s="101">
        <f>+E169-E168</f>
        <v>135.82058024999998</v>
      </c>
      <c r="D169" s="92">
        <f>+G169-G168</f>
        <v>119.75308425000003</v>
      </c>
      <c r="E169" s="97">
        <v>455.53310025000002</v>
      </c>
      <c r="G169" s="97">
        <v>403.73410025000004</v>
      </c>
      <c r="I169" s="105">
        <v>117.8</v>
      </c>
      <c r="J169" s="1">
        <v>3</v>
      </c>
      <c r="L169" s="110">
        <v>18428</v>
      </c>
      <c r="M169" s="111">
        <v>654.20000000000027</v>
      </c>
      <c r="N169" s="111">
        <f t="shared" si="4"/>
        <v>776.37657045840456</v>
      </c>
      <c r="O169" s="110">
        <v>6417</v>
      </c>
      <c r="P169" s="111">
        <v>679.60000000000036</v>
      </c>
      <c r="Q169" s="111">
        <f t="shared" si="5"/>
        <v>806.52020373514483</v>
      </c>
      <c r="R169" s="110">
        <v>10319</v>
      </c>
      <c r="S169" s="111">
        <v>152.89999999999998</v>
      </c>
      <c r="T169" s="111">
        <f t="shared" si="6"/>
        <v>181.45517826825125</v>
      </c>
    </row>
    <row r="170" spans="1:20" x14ac:dyDescent="0.25">
      <c r="A170" s="107">
        <v>4</v>
      </c>
      <c r="B170" s="97"/>
      <c r="C170" s="101">
        <f>+E170-E169</f>
        <v>149.79139924999998</v>
      </c>
      <c r="D170" s="92">
        <f>+G170-G169</f>
        <v>133.49839924999998</v>
      </c>
      <c r="E170" s="97">
        <v>605.3244995</v>
      </c>
      <c r="G170" s="97">
        <v>537.23249950000002</v>
      </c>
      <c r="I170" s="105">
        <v>120.8</v>
      </c>
      <c r="J170" s="1">
        <v>4</v>
      </c>
      <c r="L170" s="110">
        <v>15870</v>
      </c>
      <c r="M170" s="111">
        <v>567.19999999999959</v>
      </c>
      <c r="N170" s="111">
        <f t="shared" si="4"/>
        <v>656.41192052980102</v>
      </c>
      <c r="O170" s="110">
        <v>5114</v>
      </c>
      <c r="P170" s="111">
        <v>911.69999999999982</v>
      </c>
      <c r="Q170" s="111">
        <f t="shared" si="5"/>
        <v>1055.096523178808</v>
      </c>
      <c r="R170" s="110">
        <v>8645</v>
      </c>
      <c r="S170" s="111">
        <v>142.80000000000007</v>
      </c>
      <c r="T170" s="111">
        <f t="shared" si="6"/>
        <v>165.26026490066235</v>
      </c>
    </row>
    <row r="171" spans="1:20" x14ac:dyDescent="0.25">
      <c r="A171" s="97">
        <v>1</v>
      </c>
      <c r="B171" s="97">
        <v>2008</v>
      </c>
      <c r="C171" s="102">
        <f>+E171</f>
        <v>164.64169099999998</v>
      </c>
      <c r="D171" s="97">
        <f>+G171</f>
        <v>148.61369099999999</v>
      </c>
      <c r="E171" s="97">
        <v>164.64169099999998</v>
      </c>
      <c r="G171" s="97">
        <v>148.61369099999999</v>
      </c>
      <c r="I171" s="105">
        <v>121.9</v>
      </c>
      <c r="J171" s="1">
        <v>1</v>
      </c>
      <c r="K171" s="1">
        <v>2008</v>
      </c>
      <c r="L171" s="110">
        <v>17004</v>
      </c>
      <c r="M171" s="111">
        <v>591.9</v>
      </c>
      <c r="N171" s="111">
        <f t="shared" si="4"/>
        <v>678.81558654634944</v>
      </c>
      <c r="O171" s="110">
        <v>6274</v>
      </c>
      <c r="P171" s="111">
        <v>963.6</v>
      </c>
      <c r="Q171" s="111">
        <f t="shared" si="5"/>
        <v>1105.0966365873669</v>
      </c>
      <c r="R171" s="110">
        <v>7939</v>
      </c>
      <c r="S171" s="111">
        <v>160.1</v>
      </c>
      <c r="T171" s="111">
        <f t="shared" si="6"/>
        <v>183.60935192780968</v>
      </c>
    </row>
    <row r="172" spans="1:20" x14ac:dyDescent="0.25">
      <c r="A172" s="97">
        <v>2</v>
      </c>
      <c r="B172" s="97"/>
      <c r="C172" s="101">
        <f>+E172-E171</f>
        <v>197.28657850000002</v>
      </c>
      <c r="D172" s="92">
        <f>+G172-G171</f>
        <v>175.71357850000001</v>
      </c>
      <c r="E172" s="97">
        <v>361.9282695</v>
      </c>
      <c r="G172" s="97">
        <v>324.3272695</v>
      </c>
      <c r="I172" s="105">
        <v>122</v>
      </c>
      <c r="J172" s="1">
        <v>2</v>
      </c>
      <c r="L172" s="110">
        <v>14987</v>
      </c>
      <c r="M172" s="111">
        <v>548.4</v>
      </c>
      <c r="N172" s="111">
        <f t="shared" ref="N172:N181" si="7">M172/I172*$I$69</f>
        <v>628.41245901639354</v>
      </c>
      <c r="O172" s="110">
        <v>5831</v>
      </c>
      <c r="P172" s="111">
        <v>1153.8000000000002</v>
      </c>
      <c r="Q172" s="111">
        <f t="shared" si="5"/>
        <v>1322.1413114754102</v>
      </c>
      <c r="R172" s="110">
        <v>10207</v>
      </c>
      <c r="S172" s="111">
        <v>188.4</v>
      </c>
      <c r="T172" s="111">
        <f t="shared" si="6"/>
        <v>215.88786885245906</v>
      </c>
    </row>
    <row r="173" spans="1:20" x14ac:dyDescent="0.25">
      <c r="A173" s="97">
        <v>3</v>
      </c>
      <c r="B173" s="97"/>
      <c r="C173" s="101">
        <f>+E173-E172</f>
        <v>159.71767174999997</v>
      </c>
      <c r="D173" s="92">
        <f>+G173-G172</f>
        <v>141.40667174999999</v>
      </c>
      <c r="E173" s="97">
        <v>521.64594124999996</v>
      </c>
      <c r="G173" s="97">
        <v>465.73394124999999</v>
      </c>
      <c r="I173" s="105">
        <v>123.1</v>
      </c>
      <c r="J173" s="1">
        <v>3</v>
      </c>
      <c r="L173" s="110">
        <v>19290</v>
      </c>
      <c r="M173" s="111">
        <v>722.70000000000027</v>
      </c>
      <c r="N173" s="111">
        <f t="shared" si="7"/>
        <v>820.74297319252685</v>
      </c>
      <c r="O173" s="110">
        <v>12252</v>
      </c>
      <c r="P173" s="111">
        <v>1486.4999999999995</v>
      </c>
      <c r="Q173" s="111">
        <f t="shared" si="5"/>
        <v>1688.1616571892766</v>
      </c>
      <c r="R173" s="110">
        <v>11007</v>
      </c>
      <c r="S173" s="111">
        <v>186.29999999999995</v>
      </c>
      <c r="T173" s="111">
        <f t="shared" si="6"/>
        <v>211.57384240454911</v>
      </c>
    </row>
    <row r="174" spans="1:20" x14ac:dyDescent="0.25">
      <c r="A174" s="107">
        <v>4</v>
      </c>
      <c r="B174" s="97"/>
      <c r="C174" s="101">
        <f>+E174-E173</f>
        <v>170.05706974999998</v>
      </c>
      <c r="D174" s="92">
        <f>+G174-G173</f>
        <v>152.54014889999991</v>
      </c>
      <c r="E174" s="97">
        <v>691.70301099999995</v>
      </c>
      <c r="G174" s="97">
        <v>618.27409014999989</v>
      </c>
      <c r="I174" s="111">
        <v>124.7</v>
      </c>
      <c r="J174" s="1">
        <v>4</v>
      </c>
      <c r="L174" s="110">
        <v>16976</v>
      </c>
      <c r="M174" s="111">
        <v>703.10000000000014</v>
      </c>
      <c r="N174" s="111">
        <f t="shared" si="7"/>
        <v>788.23881315156405</v>
      </c>
      <c r="O174" s="110">
        <v>7247</v>
      </c>
      <c r="P174" s="111">
        <v>1160</v>
      </c>
      <c r="Q174" s="111">
        <f t="shared" si="5"/>
        <v>1300.4651162790699</v>
      </c>
      <c r="R174" s="110">
        <v>10145</v>
      </c>
      <c r="S174" s="111">
        <v>269.60000000000014</v>
      </c>
      <c r="T174" s="111">
        <f t="shared" si="6"/>
        <v>302.2460304731357</v>
      </c>
    </row>
    <row r="175" spans="1:20" x14ac:dyDescent="0.25">
      <c r="A175" s="97">
        <v>1</v>
      </c>
      <c r="B175" s="97">
        <v>2009</v>
      </c>
      <c r="C175" s="102">
        <f>+E175</f>
        <v>191.37959499999999</v>
      </c>
      <c r="D175" s="97">
        <f>+G175</f>
        <v>172.55938714999999</v>
      </c>
      <c r="E175" s="97">
        <v>191.37959499999999</v>
      </c>
      <c r="G175" s="97">
        <v>172.55938714999999</v>
      </c>
      <c r="I175" s="111">
        <v>125</v>
      </c>
      <c r="J175" s="1">
        <v>1</v>
      </c>
      <c r="K175" s="1">
        <v>2009</v>
      </c>
      <c r="L175" s="110">
        <v>18865</v>
      </c>
      <c r="M175" s="111">
        <v>739.59999999999991</v>
      </c>
      <c r="N175" s="111">
        <f t="shared" si="7"/>
        <v>827.16863999999998</v>
      </c>
      <c r="O175" s="110">
        <v>6194</v>
      </c>
      <c r="P175" s="111">
        <v>1049.9000000000001</v>
      </c>
      <c r="Q175" s="111">
        <f t="shared" si="5"/>
        <v>1174.2081600000001</v>
      </c>
      <c r="R175" s="110">
        <v>8619</v>
      </c>
      <c r="S175" s="111">
        <v>213.2</v>
      </c>
      <c r="T175" s="111">
        <f t="shared" si="6"/>
        <v>238.44288000000003</v>
      </c>
    </row>
    <row r="176" spans="1:20" x14ac:dyDescent="0.25">
      <c r="A176" s="97">
        <v>2</v>
      </c>
      <c r="B176" s="97"/>
      <c r="C176" s="101">
        <f>+E176-E175</f>
        <v>178.90604250000001</v>
      </c>
      <c r="D176" s="92">
        <f>+G176-G175</f>
        <v>160.765232725</v>
      </c>
      <c r="E176" s="97">
        <v>370.28563750000001</v>
      </c>
      <c r="G176" s="97">
        <v>333.324619875</v>
      </c>
      <c r="I176" s="111">
        <v>125.7</v>
      </c>
      <c r="J176" s="1">
        <v>2</v>
      </c>
      <c r="L176" s="110">
        <v>14610</v>
      </c>
      <c r="M176" s="111">
        <v>603.80000000000018</v>
      </c>
      <c r="N176" s="111">
        <f t="shared" si="7"/>
        <v>671.52935560859203</v>
      </c>
      <c r="O176" s="110">
        <v>5486</v>
      </c>
      <c r="P176" s="111">
        <v>1077.9000000000001</v>
      </c>
      <c r="Q176" s="111">
        <f t="shared" si="5"/>
        <v>1198.8100238663485</v>
      </c>
      <c r="R176" s="110">
        <v>11296</v>
      </c>
      <c r="S176" s="111">
        <v>235.3</v>
      </c>
      <c r="T176" s="111">
        <f t="shared" si="6"/>
        <v>261.69403341288785</v>
      </c>
    </row>
    <row r="177" spans="1:20" x14ac:dyDescent="0.25">
      <c r="A177" s="97">
        <v>3</v>
      </c>
      <c r="B177" s="97"/>
      <c r="C177" s="101">
        <f>+E177-E176</f>
        <v>160.23377500000004</v>
      </c>
      <c r="D177" s="92">
        <f>+G177-G176</f>
        <v>142.31202375000004</v>
      </c>
      <c r="E177" s="97">
        <v>530.51941250000004</v>
      </c>
      <c r="G177" s="97">
        <v>475.63664362500003</v>
      </c>
      <c r="I177" s="111">
        <v>125.4</v>
      </c>
      <c r="J177" s="1">
        <v>3</v>
      </c>
      <c r="L177" s="110">
        <v>19220</v>
      </c>
      <c r="M177" s="111">
        <v>795.69999999999982</v>
      </c>
      <c r="N177" s="111">
        <f t="shared" si="7"/>
        <v>887.07224880382762</v>
      </c>
      <c r="O177" s="110">
        <v>13278</v>
      </c>
      <c r="P177" s="111">
        <v>1278.0999999999999</v>
      </c>
      <c r="Q177" s="111">
        <f t="shared" si="5"/>
        <v>1424.8674641148325</v>
      </c>
      <c r="R177" s="110">
        <v>11383</v>
      </c>
      <c r="S177" s="111">
        <v>231.79999999999995</v>
      </c>
      <c r="T177" s="111">
        <f t="shared" si="6"/>
        <v>258.41818181818178</v>
      </c>
    </row>
    <row r="178" spans="1:20" x14ac:dyDescent="0.25">
      <c r="A178" s="107">
        <v>4</v>
      </c>
      <c r="B178" s="97"/>
      <c r="C178" s="101">
        <f>+E178-E177</f>
        <v>179.8571388695641</v>
      </c>
      <c r="D178" s="92">
        <f>+G178-G177</f>
        <v>163.53199924456408</v>
      </c>
      <c r="E178" s="97">
        <v>710.37655136956414</v>
      </c>
      <c r="G178" s="97">
        <v>639.16864286956411</v>
      </c>
      <c r="I178" s="111">
        <v>126.6</v>
      </c>
      <c r="J178" s="1">
        <v>4</v>
      </c>
      <c r="L178" s="110">
        <v>16838</v>
      </c>
      <c r="M178" s="111">
        <v>759.30000000000018</v>
      </c>
      <c r="N178" s="111">
        <f t="shared" si="7"/>
        <v>838.46872037914727</v>
      </c>
      <c r="O178" s="110">
        <v>6227</v>
      </c>
      <c r="P178" s="111">
        <v>1192.2000000000003</v>
      </c>
      <c r="Q178" s="111">
        <f t="shared" si="5"/>
        <v>1316.5052132701428</v>
      </c>
      <c r="R178" s="110">
        <v>10409</v>
      </c>
      <c r="S178" s="111">
        <v>276.40000000000009</v>
      </c>
      <c r="T178" s="111">
        <f t="shared" si="6"/>
        <v>305.21895734597172</v>
      </c>
    </row>
    <row r="179" spans="1:20" x14ac:dyDescent="0.25">
      <c r="A179" s="97">
        <v>1</v>
      </c>
      <c r="B179" s="97">
        <v>2010</v>
      </c>
      <c r="C179" s="102">
        <f>+E179</f>
        <v>204.63648875000001</v>
      </c>
      <c r="D179" s="97">
        <f>+G179</f>
        <v>186.506571025</v>
      </c>
      <c r="E179" s="97">
        <v>204.63648875000001</v>
      </c>
      <c r="G179" s="97">
        <v>186.506571025</v>
      </c>
      <c r="I179" s="111">
        <v>128.69999999999999</v>
      </c>
      <c r="J179" s="1">
        <v>1</v>
      </c>
      <c r="K179" s="1">
        <v>2010</v>
      </c>
      <c r="L179" s="110">
        <v>40484.70904761905</v>
      </c>
      <c r="M179" s="111">
        <v>1693.2251146266974</v>
      </c>
      <c r="N179" s="111">
        <f t="shared" si="7"/>
        <v>1839.2608471236388</v>
      </c>
      <c r="O179" s="110">
        <v>6690</v>
      </c>
      <c r="P179" s="111">
        <v>1648.5</v>
      </c>
      <c r="Q179" s="111">
        <f t="shared" si="5"/>
        <v>1790.6783216783222</v>
      </c>
      <c r="R179" s="110">
        <v>7227</v>
      </c>
      <c r="S179" s="111">
        <v>243.10000000000002</v>
      </c>
      <c r="T179" s="111">
        <f t="shared" si="6"/>
        <v>264.06666666666672</v>
      </c>
    </row>
    <row r="180" spans="1:20" x14ac:dyDescent="0.25">
      <c r="A180" s="97">
        <v>2</v>
      </c>
      <c r="B180" s="97"/>
      <c r="C180" s="101">
        <f>+E180-E179</f>
        <v>188.95691625000001</v>
      </c>
      <c r="D180" s="92">
        <f>+G180-G179</f>
        <v>170.46253197500002</v>
      </c>
      <c r="E180" s="97">
        <v>393.59340500000002</v>
      </c>
      <c r="G180" s="97">
        <v>356.96910300000002</v>
      </c>
      <c r="I180" s="111">
        <v>128.9</v>
      </c>
      <c r="J180" s="1">
        <v>2</v>
      </c>
      <c r="L180" s="110">
        <v>20633.79583333333</v>
      </c>
      <c r="M180" s="111">
        <v>864.97098885712671</v>
      </c>
      <c r="N180" s="111">
        <f t="shared" si="7"/>
        <v>938.11438512200402</v>
      </c>
      <c r="O180" s="110">
        <v>5716</v>
      </c>
      <c r="P180" s="111">
        <v>1381.6999999999998</v>
      </c>
      <c r="Q180" s="111">
        <f t="shared" si="5"/>
        <v>1498.5388673390223</v>
      </c>
      <c r="R180" s="110">
        <v>10696</v>
      </c>
      <c r="S180" s="111">
        <v>201.60000000000002</v>
      </c>
      <c r="T180" s="111">
        <f t="shared" si="6"/>
        <v>218.64763382467032</v>
      </c>
    </row>
    <row r="181" spans="1:20" x14ac:dyDescent="0.25">
      <c r="A181" s="114">
        <v>3</v>
      </c>
      <c r="B181" s="97"/>
      <c r="C181" s="101">
        <f>+E181-E180</f>
        <v>172.07737875000004</v>
      </c>
      <c r="D181" s="92">
        <f>+G181-G180</f>
        <v>154.15607493749997</v>
      </c>
      <c r="E181" s="97">
        <v>565.67078375000006</v>
      </c>
      <c r="G181" s="97">
        <v>511.12517793749998</v>
      </c>
      <c r="I181" s="111">
        <v>127.8</v>
      </c>
      <c r="J181" s="1">
        <v>3</v>
      </c>
      <c r="L181" s="110">
        <v>19149.335833333338</v>
      </c>
      <c r="M181" s="111">
        <v>861.71516601647909</v>
      </c>
      <c r="N181" s="111">
        <f t="shared" si="7"/>
        <v>942.62738817765103</v>
      </c>
      <c r="O181" s="110">
        <v>9089</v>
      </c>
      <c r="P181" s="111">
        <v>1286.1999999999998</v>
      </c>
      <c r="Q181" s="111">
        <f t="shared" si="5"/>
        <v>1406.9699530516432</v>
      </c>
      <c r="R181" s="110">
        <v>11532</v>
      </c>
      <c r="S181" s="111">
        <v>200.69999999999993</v>
      </c>
      <c r="T181" s="111">
        <f t="shared" si="6"/>
        <v>219.54507042253516</v>
      </c>
    </row>
    <row r="182" spans="1:20" x14ac:dyDescent="0.25">
      <c r="A182" s="114">
        <v>4</v>
      </c>
      <c r="B182" s="97"/>
      <c r="C182" s="101">
        <f>+E182-E181</f>
        <v>192.96143124999992</v>
      </c>
      <c r="D182" s="92">
        <f>+G182-G181</f>
        <v>174.39946771249993</v>
      </c>
      <c r="E182" s="97">
        <v>758.63221499999997</v>
      </c>
      <c r="G182" s="97">
        <v>685.52464564999991</v>
      </c>
      <c r="I182" s="111">
        <v>129</v>
      </c>
      <c r="J182" s="1">
        <v>4</v>
      </c>
      <c r="L182" s="110">
        <v>22322.361666666664</v>
      </c>
      <c r="M182" s="111">
        <v>889.84894905372039</v>
      </c>
      <c r="N182" s="111">
        <f t="shared" ref="N182" si="8">M182/I182*$I$69</f>
        <v>964.3479308349622</v>
      </c>
      <c r="O182" s="110">
        <v>5858</v>
      </c>
      <c r="P182" s="111">
        <v>1310.8000000000011</v>
      </c>
      <c r="Q182" s="111">
        <f t="shared" si="5"/>
        <v>1420.5413953488385</v>
      </c>
      <c r="R182" s="110">
        <v>9548</v>
      </c>
      <c r="S182" s="111">
        <v>205</v>
      </c>
      <c r="T182" s="111">
        <f t="shared" si="6"/>
        <v>222.16279069767444</v>
      </c>
    </row>
    <row r="183" spans="1:20" x14ac:dyDescent="0.25">
      <c r="A183" s="114">
        <v>1</v>
      </c>
      <c r="B183" s="97">
        <v>2011</v>
      </c>
      <c r="C183" s="102">
        <f>+E183</f>
        <v>204.00503875000001</v>
      </c>
      <c r="D183" s="97">
        <f>+G183</f>
        <v>184.8599929625</v>
      </c>
      <c r="E183" s="97">
        <v>204.00503875000001</v>
      </c>
      <c r="G183" s="97">
        <v>184.8599929625</v>
      </c>
      <c r="I183" s="111">
        <v>130.19999999999999</v>
      </c>
      <c r="J183" s="1">
        <v>1</v>
      </c>
      <c r="K183" s="1">
        <v>2011</v>
      </c>
      <c r="L183" s="110">
        <v>26141.662648809524</v>
      </c>
      <c r="M183" s="111">
        <v>1061.4209517567813</v>
      </c>
      <c r="N183" s="111">
        <f t="shared" ref="N183:N186" si="9">M183/I183*$I$69</f>
        <v>1139.6824044208759</v>
      </c>
      <c r="O183" s="110">
        <v>5959</v>
      </c>
      <c r="P183" s="111">
        <v>1698.7</v>
      </c>
      <c r="Q183" s="111">
        <f t="shared" si="5"/>
        <v>1823.9497695852538</v>
      </c>
      <c r="R183" s="110">
        <v>6732</v>
      </c>
      <c r="S183" s="111">
        <v>156.5</v>
      </c>
      <c r="T183" s="111">
        <f t="shared" si="6"/>
        <v>168.03917050691248</v>
      </c>
    </row>
    <row r="184" spans="1:20" x14ac:dyDescent="0.25">
      <c r="A184" s="97">
        <v>2</v>
      </c>
      <c r="B184" s="97"/>
      <c r="C184" s="101">
        <f>+E184-E183</f>
        <v>188.74104374999999</v>
      </c>
      <c r="D184" s="92">
        <f>+G184-G183</f>
        <v>171.33320521249996</v>
      </c>
      <c r="E184" s="1">
        <v>392.7460825</v>
      </c>
      <c r="G184" s="1">
        <v>356.19319817499996</v>
      </c>
      <c r="I184" s="111">
        <v>131</v>
      </c>
      <c r="J184" s="1">
        <v>2</v>
      </c>
      <c r="L184" s="116">
        <v>18851.951101190472</v>
      </c>
      <c r="M184" s="117">
        <v>776.58308820124375</v>
      </c>
      <c r="N184" s="111">
        <f t="shared" si="9"/>
        <v>828.75050175980073</v>
      </c>
      <c r="O184" s="110">
        <v>7524</v>
      </c>
      <c r="P184" s="111">
        <v>1533.4000000000003</v>
      </c>
      <c r="Q184" s="111">
        <f t="shared" si="5"/>
        <v>1636.4070229007636</v>
      </c>
      <c r="R184" s="110">
        <v>10017</v>
      </c>
      <c r="S184" s="111">
        <v>197.79999999999995</v>
      </c>
      <c r="T184" s="111">
        <f t="shared" si="6"/>
        <v>211.08732824427477</v>
      </c>
    </row>
    <row r="185" spans="1:20" x14ac:dyDescent="0.25">
      <c r="A185" s="114">
        <v>3</v>
      </c>
      <c r="C185" s="101">
        <f>+E185-E184</f>
        <v>169.93391749999995</v>
      </c>
      <c r="D185" s="92">
        <f>+G185-G184</f>
        <v>151.69380182500004</v>
      </c>
      <c r="E185" s="1">
        <v>562.67999999999995</v>
      </c>
      <c r="G185" s="1">
        <v>507.887</v>
      </c>
      <c r="I185" s="111">
        <v>129.4</v>
      </c>
      <c r="J185" s="1">
        <v>3</v>
      </c>
      <c r="L185" s="116">
        <v>24107.386250000007</v>
      </c>
      <c r="M185" s="117">
        <v>914.64669811090494</v>
      </c>
      <c r="N185" s="111">
        <f t="shared" si="9"/>
        <v>988.15771557886023</v>
      </c>
      <c r="O185" s="110">
        <v>10171</v>
      </c>
      <c r="P185" s="111">
        <v>1285.3999999999996</v>
      </c>
      <c r="Q185" s="111">
        <f t="shared" si="5"/>
        <v>1388.7088098918082</v>
      </c>
      <c r="R185" s="110">
        <v>10339</v>
      </c>
      <c r="S185" s="111">
        <v>167.29999999999995</v>
      </c>
      <c r="T185" s="111">
        <f t="shared" si="6"/>
        <v>180.746058732612</v>
      </c>
    </row>
    <row r="186" spans="1:20" x14ac:dyDescent="0.25">
      <c r="A186" s="1">
        <v>4</v>
      </c>
      <c r="C186" s="101">
        <f>+E186-E185</f>
        <v>202.17554500000006</v>
      </c>
      <c r="D186" s="92">
        <f>+G186-G185</f>
        <v>178.91908595000001</v>
      </c>
      <c r="E186" s="1">
        <v>764.85554500000001</v>
      </c>
      <c r="G186" s="1">
        <v>686.80608595000001</v>
      </c>
      <c r="I186" s="1">
        <v>130.5</v>
      </c>
      <c r="J186" s="1">
        <v>4</v>
      </c>
      <c r="L186" s="116">
        <v>18022.572976190484</v>
      </c>
      <c r="M186" s="111">
        <v>777.38419736292576</v>
      </c>
      <c r="N186" s="111">
        <f t="shared" si="9"/>
        <v>832.78399073821481</v>
      </c>
      <c r="O186" s="116">
        <v>8775.7956028314002</v>
      </c>
      <c r="P186" s="111">
        <v>1286.8626975018997</v>
      </c>
      <c r="Q186" s="111">
        <f t="shared" si="5"/>
        <v>1378.5701541054834</v>
      </c>
      <c r="R186" s="116">
        <v>9645.4866500746648</v>
      </c>
      <c r="S186" s="111">
        <v>181.103452008619</v>
      </c>
      <c r="T186" s="111">
        <f t="shared" si="6"/>
        <v>194.00967502532521</v>
      </c>
    </row>
    <row r="187" spans="1:20" x14ac:dyDescent="0.25">
      <c r="A187" s="1">
        <v>1</v>
      </c>
      <c r="B187" s="1">
        <v>2012</v>
      </c>
      <c r="C187" s="102">
        <f>+E187</f>
        <v>195.82938625</v>
      </c>
      <c r="D187" s="97">
        <f>+G187</f>
        <v>177.0717714875</v>
      </c>
      <c r="E187" s="1">
        <v>195.82938625</v>
      </c>
      <c r="G187" s="1">
        <v>177.0717714875</v>
      </c>
      <c r="I187" s="1">
        <v>131.69999999999999</v>
      </c>
      <c r="J187" s="1">
        <v>1</v>
      </c>
      <c r="K187" s="1">
        <v>2012</v>
      </c>
      <c r="L187" s="116">
        <v>18517.39324404762</v>
      </c>
      <c r="M187" s="111">
        <v>869.15461769403078</v>
      </c>
      <c r="N187" s="111">
        <f t="shared" ref="N187:N193" si="10">M187/I187*$I$69</f>
        <v>922.61059645881187</v>
      </c>
      <c r="O187" s="110">
        <v>6822.44890070785</v>
      </c>
      <c r="P187" s="111">
        <v>1150.314057295883</v>
      </c>
      <c r="Q187" s="111">
        <f t="shared" si="5"/>
        <v>1221.0623022776344</v>
      </c>
      <c r="R187" s="110">
        <v>7564.3716625186662</v>
      </c>
      <c r="S187" s="111">
        <v>175.73767321176348</v>
      </c>
      <c r="T187" s="111">
        <f t="shared" si="6"/>
        <v>186.54614058469656</v>
      </c>
    </row>
    <row r="188" spans="1:20" x14ac:dyDescent="0.25">
      <c r="A188" s="1">
        <v>2</v>
      </c>
      <c r="C188" s="101">
        <f>+E188-E187</f>
        <v>182.75061374999999</v>
      </c>
      <c r="D188" s="92">
        <f>+G188-G187</f>
        <v>165.12822851249999</v>
      </c>
      <c r="E188" s="90">
        <v>378.58</v>
      </c>
      <c r="G188" s="90">
        <v>342.2</v>
      </c>
      <c r="I188" s="1">
        <v>131.69999999999999</v>
      </c>
      <c r="J188" s="1">
        <v>2</v>
      </c>
      <c r="L188" s="116">
        <v>14087.60675595238</v>
      </c>
      <c r="M188" s="111">
        <v>635.43152402028181</v>
      </c>
      <c r="N188" s="111">
        <f t="shared" si="10"/>
        <v>674.51273392585733</v>
      </c>
      <c r="O188" s="110">
        <v>4838.55109929215</v>
      </c>
      <c r="P188" s="111">
        <v>1037.7970664905204</v>
      </c>
      <c r="Q188" s="111">
        <f t="shared" si="5"/>
        <v>1101.6251320833317</v>
      </c>
      <c r="R188" s="110">
        <v>10002.628337481334</v>
      </c>
      <c r="S188" s="111">
        <v>184.20744441885319</v>
      </c>
      <c r="T188" s="111">
        <f t="shared" si="6"/>
        <v>195.53683166101504</v>
      </c>
    </row>
    <row r="189" spans="1:20" x14ac:dyDescent="0.25">
      <c r="A189" s="114">
        <v>3</v>
      </c>
      <c r="C189" s="101">
        <f>+E189-E188</f>
        <v>165.72960875000007</v>
      </c>
      <c r="D189" s="92">
        <f>+G189-G188</f>
        <v>148.24155396250001</v>
      </c>
      <c r="E189" s="1">
        <v>544.30960875000005</v>
      </c>
      <c r="G189" s="1">
        <v>490.4415539625</v>
      </c>
      <c r="I189" s="1">
        <v>130</v>
      </c>
      <c r="J189" s="1">
        <v>3</v>
      </c>
      <c r="L189" s="124">
        <v>20999.460714285713</v>
      </c>
      <c r="M189" s="125">
        <v>864.77367174435972</v>
      </c>
      <c r="N189" s="111">
        <f t="shared" si="10"/>
        <v>929.96430238354992</v>
      </c>
      <c r="O189" s="124">
        <v>6828.0536397386386</v>
      </c>
      <c r="P189" s="125">
        <v>1132.0609213635664</v>
      </c>
      <c r="Q189" s="111">
        <f t="shared" si="5"/>
        <v>1217.4008985125124</v>
      </c>
      <c r="R189" s="124">
        <v>10877.781177428844</v>
      </c>
      <c r="S189" s="125">
        <v>190.02859425457928</v>
      </c>
      <c r="T189" s="111">
        <f t="shared" si="6"/>
        <v>204.35382674453987</v>
      </c>
    </row>
    <row r="190" spans="1:20" x14ac:dyDescent="0.25">
      <c r="A190" s="114">
        <v>4</v>
      </c>
      <c r="C190" s="101">
        <f>+E190-E189</f>
        <v>166.80539124999996</v>
      </c>
      <c r="D190" s="92">
        <f>+G190-G189</f>
        <v>151.72844603749996</v>
      </c>
      <c r="E190" s="1">
        <v>711.11500000000001</v>
      </c>
      <c r="G190" s="1">
        <v>642.16999999999996</v>
      </c>
      <c r="I190" s="1">
        <v>132</v>
      </c>
      <c r="J190" s="1">
        <v>4</v>
      </c>
      <c r="L190" s="124">
        <v>17946.539285714287</v>
      </c>
      <c r="M190" s="125">
        <v>826.79347775776318</v>
      </c>
      <c r="N190" s="111">
        <f t="shared" si="10"/>
        <v>875.6494559889037</v>
      </c>
      <c r="O190" s="124">
        <v>5621.9463602613596</v>
      </c>
      <c r="P190" s="125">
        <v>1071.0118577206574</v>
      </c>
      <c r="Q190" s="111">
        <f t="shared" ref="Q190:Q204" si="11">P190/I190*$I$69</f>
        <v>1134.2989220405145</v>
      </c>
      <c r="R190" s="124">
        <v>8525.2188225711561</v>
      </c>
      <c r="S190" s="125">
        <v>190.41732478586363</v>
      </c>
      <c r="T190" s="111">
        <f t="shared" ref="T190:T204" si="12">S190/I190*$I$69</f>
        <v>201.6692576141192</v>
      </c>
    </row>
    <row r="191" spans="1:20" x14ac:dyDescent="0.25">
      <c r="A191" s="1">
        <v>1</v>
      </c>
      <c r="B191" s="1">
        <v>2013</v>
      </c>
      <c r="C191" s="102">
        <f>+E191</f>
        <v>199.180995</v>
      </c>
      <c r="D191" s="97">
        <f>+G191</f>
        <v>183.65288545000001</v>
      </c>
      <c r="E191" s="1">
        <v>199.180995</v>
      </c>
      <c r="G191" s="1">
        <v>183.65288545000001</v>
      </c>
      <c r="I191" s="1">
        <v>133</v>
      </c>
      <c r="J191" s="1">
        <v>1</v>
      </c>
      <c r="K191" s="1">
        <f>B191</f>
        <v>2013</v>
      </c>
      <c r="L191" s="124">
        <v>21974.571815476189</v>
      </c>
      <c r="M191" s="125">
        <v>1023.0812127444322</v>
      </c>
      <c r="N191" s="111">
        <f t="shared" si="10"/>
        <v>1075.3891243734708</v>
      </c>
      <c r="O191" s="124">
        <v>5520.4451678348678</v>
      </c>
      <c r="P191" s="125">
        <v>1148.1840804128565</v>
      </c>
      <c r="Q191" s="111">
        <f t="shared" si="11"/>
        <v>1206.888228885093</v>
      </c>
      <c r="R191" s="124">
        <v>5958.3970505452735</v>
      </c>
      <c r="S191" s="125">
        <v>167.84779905693762</v>
      </c>
      <c r="T191" s="111">
        <f t="shared" si="12"/>
        <v>176.4294910387961</v>
      </c>
    </row>
    <row r="192" spans="1:20" x14ac:dyDescent="0.25">
      <c r="A192" s="1">
        <v>2</v>
      </c>
      <c r="C192" s="101">
        <f>+E192-E191</f>
        <v>205.01500500000003</v>
      </c>
      <c r="D192" s="92">
        <f>+G192-G191</f>
        <v>185.63411454999996</v>
      </c>
      <c r="E192" s="1">
        <v>404.19600000000003</v>
      </c>
      <c r="G192" s="1">
        <v>369.28699999999998</v>
      </c>
      <c r="I192" s="1">
        <v>134.30000000000001</v>
      </c>
      <c r="J192" s="1">
        <v>2</v>
      </c>
      <c r="L192" s="124">
        <v>23960.428184523811</v>
      </c>
      <c r="M192" s="125">
        <v>1011.581560458749</v>
      </c>
      <c r="N192" s="111">
        <f t="shared" si="10"/>
        <v>1053.0089512444758</v>
      </c>
      <c r="O192" s="124">
        <v>6388.5548321651322</v>
      </c>
      <c r="P192" s="125">
        <v>1133.7065185307133</v>
      </c>
      <c r="Q192" s="111">
        <f t="shared" si="11"/>
        <v>1180.1353037274289</v>
      </c>
      <c r="R192" s="124">
        <v>10154.602949454726</v>
      </c>
      <c r="S192" s="125">
        <v>176.1673175310234</v>
      </c>
      <c r="T192" s="111">
        <f t="shared" si="12"/>
        <v>183.38191355798267</v>
      </c>
    </row>
    <row r="193" spans="1:20" x14ac:dyDescent="0.25">
      <c r="A193" s="1">
        <v>3</v>
      </c>
      <c r="C193" s="101">
        <f>+E193-E192</f>
        <v>172.04383408071794</v>
      </c>
      <c r="D193" s="92">
        <f>+G193-G192</f>
        <v>153.21019910313902</v>
      </c>
      <c r="E193" s="1">
        <v>576.23983408071797</v>
      </c>
      <c r="G193" s="1">
        <v>522.497199103139</v>
      </c>
      <c r="I193" s="1">
        <v>134.19999999999999</v>
      </c>
      <c r="J193" s="1">
        <v>3</v>
      </c>
      <c r="L193" s="124">
        <v>18388.581422924897</v>
      </c>
      <c r="M193" s="125">
        <v>735.52528494140915</v>
      </c>
      <c r="N193" s="111">
        <f t="shared" si="10"/>
        <v>766.21784526683314</v>
      </c>
      <c r="O193" s="124">
        <v>11492.955434782609</v>
      </c>
      <c r="P193" s="125">
        <v>1323.3889549928699</v>
      </c>
      <c r="Q193" s="111">
        <f t="shared" si="11"/>
        <v>1378.6123391058363</v>
      </c>
      <c r="R193" s="124">
        <v>11786.02326086957</v>
      </c>
      <c r="S193" s="125">
        <v>172.41802435151402</v>
      </c>
      <c r="T193" s="111">
        <f t="shared" si="12"/>
        <v>179.61281523354447</v>
      </c>
    </row>
    <row r="194" spans="1:20" x14ac:dyDescent="0.25">
      <c r="A194" s="114">
        <v>4</v>
      </c>
      <c r="C194" s="101">
        <f>+E194-E193</f>
        <v>204.099832585949</v>
      </c>
      <c r="D194" s="92">
        <f>+G194-G193</f>
        <v>188.07946756352794</v>
      </c>
      <c r="E194" s="1">
        <v>780.33966666666697</v>
      </c>
      <c r="G194" s="1">
        <v>710.57666666666694</v>
      </c>
      <c r="I194" s="1">
        <v>135.30000000000001</v>
      </c>
      <c r="J194" s="1">
        <v>4</v>
      </c>
      <c r="L194" s="124">
        <v>18420.418577075106</v>
      </c>
      <c r="M194" s="124">
        <v>895.71090498583999</v>
      </c>
      <c r="N194" s="111">
        <f>M194/I194*$I$69</f>
        <v>925.50173331131134</v>
      </c>
      <c r="O194" s="124">
        <v>7745.0445652173912</v>
      </c>
      <c r="P194" s="124">
        <v>1212.6630411771803</v>
      </c>
      <c r="Q194" s="111">
        <f t="shared" si="11"/>
        <v>1252.9955148305232</v>
      </c>
      <c r="R194" s="124">
        <v>11621.97673913043</v>
      </c>
      <c r="S194" s="124">
        <v>180.100371437175</v>
      </c>
      <c r="T194" s="111">
        <f t="shared" si="12"/>
        <v>186.09040596391031</v>
      </c>
    </row>
    <row r="195" spans="1:20" x14ac:dyDescent="0.25">
      <c r="A195" s="114">
        <v>1</v>
      </c>
      <c r="B195" s="1">
        <v>2014</v>
      </c>
      <c r="C195" s="101">
        <f>E195</f>
        <v>196.17699999999999</v>
      </c>
      <c r="D195" s="92">
        <f>G195</f>
        <v>179.55199999999999</v>
      </c>
      <c r="E195" s="1">
        <v>196.17699999999999</v>
      </c>
      <c r="G195" s="1">
        <v>179.55199999999999</v>
      </c>
      <c r="I195" s="1">
        <v>135.80000000000001</v>
      </c>
      <c r="J195" s="1">
        <f>A195</f>
        <v>1</v>
      </c>
      <c r="K195" s="1">
        <f>B195</f>
        <v>2014</v>
      </c>
      <c r="L195" s="124">
        <v>19713</v>
      </c>
      <c r="M195" s="124">
        <v>886.67647724495987</v>
      </c>
      <c r="N195" s="111">
        <f>M195/I195*$I$69</f>
        <v>912.79360470431072</v>
      </c>
      <c r="O195" s="124">
        <v>7032</v>
      </c>
      <c r="P195" s="124">
        <v>1484.9150299297401</v>
      </c>
      <c r="Q195" s="111">
        <f t="shared" ref="Q195" si="13">P195/I195*$I$69</f>
        <v>1528.6533224166249</v>
      </c>
      <c r="R195" s="124">
        <v>8004</v>
      </c>
      <c r="S195" s="124">
        <v>165.16263465729782</v>
      </c>
      <c r="T195" s="111">
        <f t="shared" ref="T195" si="14">S195/I195*$I$69</f>
        <v>170.02751343954517</v>
      </c>
    </row>
    <row r="196" spans="1:20" x14ac:dyDescent="0.25">
      <c r="A196" s="1">
        <v>2</v>
      </c>
      <c r="C196" s="101">
        <f>+E196-E195</f>
        <v>197.965</v>
      </c>
      <c r="D196" s="92">
        <f>+G196-G195</f>
        <v>179.76700000000002</v>
      </c>
      <c r="E196" s="1">
        <v>394.142</v>
      </c>
      <c r="G196" s="1">
        <v>359.31900000000002</v>
      </c>
      <c r="I196" s="1">
        <v>136.69999999999999</v>
      </c>
      <c r="J196" s="1">
        <v>2</v>
      </c>
      <c r="L196" s="124">
        <v>16691</v>
      </c>
      <c r="M196" s="124">
        <v>732.96206934555016</v>
      </c>
      <c r="N196" s="111">
        <f t="shared" ref="N196:N204" si="15">M196/I196*$I$69</f>
        <v>749.58374026706599</v>
      </c>
      <c r="O196" s="124">
        <v>6228</v>
      </c>
      <c r="P196" s="124">
        <v>1158.7677611998799</v>
      </c>
      <c r="Q196" s="111">
        <f t="shared" si="11"/>
        <v>1185.0455963112161</v>
      </c>
      <c r="R196" s="124">
        <v>11579</v>
      </c>
      <c r="S196" s="124">
        <v>167.32102845142202</v>
      </c>
      <c r="T196" s="111">
        <f t="shared" si="12"/>
        <v>171.11543363210535</v>
      </c>
    </row>
    <row r="197" spans="1:20" x14ac:dyDescent="0.25">
      <c r="A197" s="1">
        <v>3</v>
      </c>
      <c r="C197" s="101">
        <f>+E197-E196</f>
        <v>192.10452006852</v>
      </c>
      <c r="D197" s="92">
        <f>+G197-G196</f>
        <v>173.47352006851992</v>
      </c>
      <c r="E197" s="1">
        <v>586.24652006852</v>
      </c>
      <c r="G197" s="1">
        <v>532.79252006851993</v>
      </c>
      <c r="I197" s="1">
        <v>137</v>
      </c>
      <c r="J197" s="1">
        <v>3</v>
      </c>
      <c r="L197" s="124">
        <v>21817</v>
      </c>
      <c r="M197" s="124">
        <v>1080.59231996894</v>
      </c>
      <c r="N197" s="111">
        <f t="shared" si="15"/>
        <v>1102.6774184792541</v>
      </c>
      <c r="O197" s="124">
        <v>20407</v>
      </c>
      <c r="P197" s="124">
        <v>1259.8740491119995</v>
      </c>
      <c r="Q197" s="111">
        <f t="shared" si="11"/>
        <v>1285.623299750785</v>
      </c>
      <c r="R197" s="124">
        <v>11684</v>
      </c>
      <c r="S197" s="124">
        <v>177.03184293206914</v>
      </c>
      <c r="T197" s="111">
        <f t="shared" si="12"/>
        <v>180.6500119846954</v>
      </c>
    </row>
    <row r="198" spans="1:20" x14ac:dyDescent="0.25">
      <c r="A198" s="1">
        <v>4</v>
      </c>
      <c r="C198" s="101">
        <f>+E198-E197</f>
        <v>196.808833167682</v>
      </c>
      <c r="D198" s="92">
        <f>+G198-G197</f>
        <v>184.73883316768206</v>
      </c>
      <c r="E198" s="1">
        <v>783.055353236202</v>
      </c>
      <c r="G198" s="1">
        <v>717.53135323620199</v>
      </c>
      <c r="I198" s="1">
        <v>137.9</v>
      </c>
      <c r="J198" s="1">
        <v>4</v>
      </c>
      <c r="L198" s="124">
        <v>20183</v>
      </c>
      <c r="M198" s="124">
        <v>869.67426416194962</v>
      </c>
      <c r="N198" s="111">
        <f t="shared" si="15"/>
        <v>881.65672320406497</v>
      </c>
      <c r="O198" s="124">
        <v>12863</v>
      </c>
      <c r="P198" s="124">
        <v>1106.850761909501</v>
      </c>
      <c r="Q198" s="111">
        <f t="shared" si="11"/>
        <v>1122.1010624724311</v>
      </c>
      <c r="R198" s="124">
        <v>9690</v>
      </c>
      <c r="S198" s="124">
        <v>175.42101671448501</v>
      </c>
      <c r="T198" s="111">
        <f t="shared" si="12"/>
        <v>177.83798503759974</v>
      </c>
    </row>
    <row r="199" spans="1:20" x14ac:dyDescent="0.25">
      <c r="A199" s="1">
        <v>1</v>
      </c>
      <c r="B199" s="1">
        <v>2015</v>
      </c>
      <c r="C199" s="101">
        <f>E199</f>
        <v>219.418599054541</v>
      </c>
      <c r="D199" s="92">
        <f>G199</f>
        <v>202.59159905454101</v>
      </c>
      <c r="E199" s="1">
        <v>219.418599054541</v>
      </c>
      <c r="G199" s="1">
        <v>202.59159905454101</v>
      </c>
      <c r="I199" s="1">
        <v>138.4</v>
      </c>
      <c r="J199" s="1">
        <v>1</v>
      </c>
      <c r="K199" s="1">
        <v>2015</v>
      </c>
      <c r="L199" s="124">
        <v>19630</v>
      </c>
      <c r="M199" s="124">
        <v>957.60520650282388</v>
      </c>
      <c r="N199" s="111">
        <f t="shared" si="15"/>
        <v>967.29196437207213</v>
      </c>
      <c r="O199" s="124">
        <v>9848</v>
      </c>
      <c r="P199" s="124">
        <v>1279.8360091262539</v>
      </c>
      <c r="Q199" s="111">
        <f t="shared" si="11"/>
        <v>1292.7823271376467</v>
      </c>
      <c r="R199" s="124">
        <v>7135</v>
      </c>
      <c r="S199" s="124">
        <v>155.36971992416409</v>
      </c>
      <c r="T199" s="111">
        <f t="shared" si="12"/>
        <v>156.94137894073802</v>
      </c>
    </row>
    <row r="200" spans="1:20" x14ac:dyDescent="0.25">
      <c r="A200" s="1">
        <v>2</v>
      </c>
      <c r="C200" s="101">
        <f>+E200-E199</f>
        <v>188.69592411436798</v>
      </c>
      <c r="D200" s="92">
        <f>+G200-G199</f>
        <v>171.45081948058601</v>
      </c>
      <c r="E200" s="1">
        <v>408.11452316890899</v>
      </c>
      <c r="G200" s="1">
        <v>374.04241853512701</v>
      </c>
      <c r="I200" s="1">
        <v>139.6</v>
      </c>
      <c r="J200" s="1">
        <v>2</v>
      </c>
      <c r="L200" s="124">
        <v>15703.949675889351</v>
      </c>
      <c r="M200" s="124">
        <v>739.71582874915612</v>
      </c>
      <c r="N200" s="111">
        <f t="shared" si="15"/>
        <v>740.77559354679113</v>
      </c>
      <c r="O200" s="124">
        <v>5422.7168724637304</v>
      </c>
      <c r="P200" s="124">
        <v>1206.7408437095464</v>
      </c>
      <c r="Q200" s="111">
        <f t="shared" si="11"/>
        <v>1208.4696987864945</v>
      </c>
      <c r="R200" s="124">
        <v>9988.3050621118018</v>
      </c>
      <c r="S200" s="124">
        <v>168.85276765034422</v>
      </c>
      <c r="T200" s="111">
        <f t="shared" si="12"/>
        <v>169.09467705958542</v>
      </c>
    </row>
    <row r="201" spans="1:20" x14ac:dyDescent="0.25">
      <c r="A201" s="1">
        <v>3</v>
      </c>
      <c r="C201" s="101">
        <f>+E201-E200</f>
        <v>180.38826158445403</v>
      </c>
      <c r="D201" s="92">
        <f>+G201-G200</f>
        <v>162.29720926756397</v>
      </c>
      <c r="E201" s="1">
        <v>588.50278475336302</v>
      </c>
      <c r="G201" s="1">
        <v>536.33962780269098</v>
      </c>
      <c r="I201" s="1">
        <v>139.69999999999999</v>
      </c>
      <c r="J201" s="1">
        <v>3</v>
      </c>
      <c r="L201" s="124">
        <v>22728.974837944646</v>
      </c>
      <c r="M201" s="124">
        <v>979.87465749478997</v>
      </c>
      <c r="N201" s="111">
        <f t="shared" si="15"/>
        <v>980.57607099335485</v>
      </c>
      <c r="O201" s="124">
        <v>8619.8584362319707</v>
      </c>
      <c r="P201" s="124">
        <v>1341.1049733657396</v>
      </c>
      <c r="Q201" s="111">
        <f t="shared" si="11"/>
        <v>1342.0649626093802</v>
      </c>
      <c r="R201" s="124">
        <v>10649.652531055901</v>
      </c>
      <c r="S201" s="124">
        <v>131.16322330640469</v>
      </c>
      <c r="T201" s="111">
        <f t="shared" si="12"/>
        <v>131.25711251421171</v>
      </c>
    </row>
    <row r="202" spans="1:20" x14ac:dyDescent="0.25">
      <c r="A202" s="1">
        <v>4</v>
      </c>
      <c r="C202" s="101">
        <f>+E202-E201</f>
        <v>195.22963867497901</v>
      </c>
      <c r="D202" s="92">
        <f>+G202-G201</f>
        <v>179.89113138755602</v>
      </c>
      <c r="E202" s="1">
        <v>783.73242342834203</v>
      </c>
      <c r="G202" s="1">
        <v>716.230759190247</v>
      </c>
      <c r="I202" s="1">
        <v>141.69999999999999</v>
      </c>
      <c r="J202" s="1">
        <v>4</v>
      </c>
      <c r="L202" s="124">
        <v>17661.404213438705</v>
      </c>
      <c r="M202" s="124">
        <v>882.4718984768997</v>
      </c>
      <c r="N202" s="111">
        <f t="shared" si="15"/>
        <v>870.6391771846902</v>
      </c>
      <c r="O202" s="124">
        <v>7193.856491304301</v>
      </c>
      <c r="P202" s="124">
        <v>1425.3376484527203</v>
      </c>
      <c r="Q202" s="111">
        <f t="shared" si="11"/>
        <v>1406.2258521784779</v>
      </c>
      <c r="R202" s="124">
        <v>9159.825978260902</v>
      </c>
      <c r="S202" s="124">
        <v>158.55842389179503</v>
      </c>
      <c r="T202" s="111">
        <f t="shared" si="12"/>
        <v>156.43237586501729</v>
      </c>
    </row>
    <row r="203" spans="1:20" x14ac:dyDescent="0.25">
      <c r="A203" s="1">
        <v>1</v>
      </c>
      <c r="B203" s="1">
        <v>2016</v>
      </c>
      <c r="C203" s="101">
        <f>E203</f>
        <v>217.297581707322</v>
      </c>
      <c r="D203" s="92">
        <f>G203</f>
        <v>201.19677375494101</v>
      </c>
      <c r="E203" s="1">
        <v>217.297581707322</v>
      </c>
      <c r="G203" s="1">
        <v>201.19677375494101</v>
      </c>
      <c r="I203" s="1">
        <v>142.69999999999999</v>
      </c>
      <c r="J203" s="1">
        <v>1</v>
      </c>
      <c r="K203" s="1">
        <v>2016</v>
      </c>
      <c r="L203" s="124">
        <v>20668.165818181998</v>
      </c>
      <c r="M203" s="124">
        <v>1021.6300324660001</v>
      </c>
      <c r="N203" s="111">
        <f t="shared" si="15"/>
        <v>1000.8681046863829</v>
      </c>
      <c r="O203" s="124">
        <v>6682.5362000000005</v>
      </c>
      <c r="P203" s="124">
        <v>1267.176908724</v>
      </c>
      <c r="Q203" s="111">
        <f t="shared" si="11"/>
        <v>1241.4248902565887</v>
      </c>
      <c r="R203" s="124">
        <v>6340.7358571430004</v>
      </c>
      <c r="S203" s="124">
        <v>128.592957756</v>
      </c>
      <c r="T203" s="111">
        <f t="shared" si="12"/>
        <v>125.9796460706994</v>
      </c>
    </row>
    <row r="204" spans="1:20" x14ac:dyDescent="0.25">
      <c r="A204" s="1">
        <v>2</v>
      </c>
      <c r="C204" s="101">
        <f>+E204-E203</f>
        <v>210.94903078835901</v>
      </c>
      <c r="D204" s="92">
        <f>+G204-G203</f>
        <v>192.89311593057502</v>
      </c>
      <c r="E204" s="1">
        <v>428.24661249568101</v>
      </c>
      <c r="G204" s="1">
        <v>394.08988968551603</v>
      </c>
      <c r="I204" s="1">
        <v>144.30000000000001</v>
      </c>
      <c r="J204" s="1">
        <v>2</v>
      </c>
      <c r="L204" s="124">
        <v>19039.287573122998</v>
      </c>
      <c r="M204" s="124">
        <v>795.20392340999979</v>
      </c>
      <c r="N204" s="111">
        <f t="shared" si="15"/>
        <v>770.4054642599998</v>
      </c>
      <c r="O204" s="124">
        <v>5385.3991579709982</v>
      </c>
      <c r="P204" s="124">
        <v>991.5183596400002</v>
      </c>
      <c r="Q204" s="111">
        <f t="shared" si="11"/>
        <v>960.59782867409581</v>
      </c>
      <c r="R204" s="124">
        <v>10107.700518632999</v>
      </c>
      <c r="S204" s="124">
        <v>152.61472035099999</v>
      </c>
      <c r="T204" s="111">
        <f t="shared" si="12"/>
        <v>147.85542553755926</v>
      </c>
    </row>
    <row r="205" spans="1:20" x14ac:dyDescent="0.25">
      <c r="E205" s="89" t="s">
        <v>110</v>
      </c>
      <c r="J205" s="126"/>
      <c r="K205" s="127" t="s">
        <v>161</v>
      </c>
      <c r="L205" s="115">
        <f>L207-L203</f>
        <v>19039.287573122998</v>
      </c>
      <c r="M205" s="115">
        <f>M207-M203</f>
        <v>795.20392340999979</v>
      </c>
      <c r="N205" s="118" t="s">
        <v>175</v>
      </c>
      <c r="O205" s="115">
        <f>O207-O203</f>
        <v>5385.3991579709982</v>
      </c>
      <c r="P205" s="115">
        <f>P207-P203</f>
        <v>991.5183596400002</v>
      </c>
      <c r="Q205" s="118" t="s">
        <v>175</v>
      </c>
      <c r="R205" s="115">
        <f>R207-R203</f>
        <v>10107.700518632999</v>
      </c>
      <c r="S205" s="115">
        <f>S207-S203</f>
        <v>152.61472035099999</v>
      </c>
      <c r="T205" s="123" t="s">
        <v>175</v>
      </c>
    </row>
    <row r="206" spans="1:20" x14ac:dyDescent="0.25">
      <c r="E206" s="90">
        <f>IF('Tab5'!E8="",'Tab5'!E7,'Tab5'!E8)/1000</f>
        <v>428.24661249568101</v>
      </c>
      <c r="G206" s="90">
        <f>IF('Tab5'!E10="",'Tab5'!E9,'Tab5'!E10)/1000</f>
        <v>394.08988968551603</v>
      </c>
      <c r="K206" s="109" t="s">
        <v>189</v>
      </c>
      <c r="L206" s="110">
        <f>SUM('Tab7'!E11,'Tab11'!E11)</f>
        <v>85358.884552237767</v>
      </c>
      <c r="M206" s="111">
        <f>SUM('Tab7'!E39,'Tab11'!E39)</f>
        <v>3916.3196133090123</v>
      </c>
      <c r="N206" s="119" t="s">
        <v>174</v>
      </c>
      <c r="O206" s="110">
        <f>SUM('Tab7'!E9,'Tab11'!E9)</f>
        <v>30492.493554631277</v>
      </c>
      <c r="P206" s="111">
        <f>SUM('Tab7'!E37,'Tab11'!E37)</f>
        <v>4595.3403423626623</v>
      </c>
      <c r="Q206" s="119" t="s">
        <v>174</v>
      </c>
      <c r="R206" s="110">
        <f>SUM('Tab7'!E13,'Tab11'!E13)</f>
        <v>35144.94200200498</v>
      </c>
      <c r="S206" s="111">
        <f>SUM('Tab7'!E41,'Tab11'!E41)</f>
        <v>548.79609608243936</v>
      </c>
      <c r="T206" s="119" t="s">
        <v>174</v>
      </c>
    </row>
    <row r="207" spans="1:20" x14ac:dyDescent="0.25">
      <c r="K207" s="109" t="s">
        <v>188</v>
      </c>
      <c r="L207" s="110">
        <f>SUM('Tab7'!E12,'Tab11'!E12)</f>
        <v>39707.453391304996</v>
      </c>
      <c r="M207" s="111">
        <f>SUM('Tab7'!E40,'Tab11'!E40)</f>
        <v>1816.8339558759999</v>
      </c>
      <c r="N207" s="119" t="s">
        <v>174</v>
      </c>
      <c r="O207" s="110">
        <f>SUM('Tab7'!E10,'Tab11'!E10)</f>
        <v>12067.935357970999</v>
      </c>
      <c r="P207" s="111">
        <f>SUM('Tab7'!E38,'Tab11'!E38)</f>
        <v>2258.6952683640002</v>
      </c>
      <c r="Q207" s="119" t="s">
        <v>174</v>
      </c>
      <c r="R207" s="110">
        <f>SUM('Tab7'!E14,'Tab11'!E14)</f>
        <v>16448.436375776</v>
      </c>
      <c r="S207" s="111">
        <f>SUM('Tab7'!E42,'Tab11'!E42)</f>
        <v>281.20767810699999</v>
      </c>
      <c r="T207" s="119" t="s">
        <v>174</v>
      </c>
    </row>
  </sheetData>
  <mergeCells count="6">
    <mergeCell ref="AJ61:AJ62"/>
    <mergeCell ref="AC61:AC62"/>
    <mergeCell ref="A4:A5"/>
    <mergeCell ref="H61:H62"/>
    <mergeCell ref="O61:O62"/>
    <mergeCell ref="V61:V62"/>
  </mergeCells>
  <phoneticPr fontId="0" type="noConversion"/>
  <hyperlinks>
    <hyperlink ref="A2" location="Innhold!A1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5" t="s">
        <v>0</v>
      </c>
      <c r="B2" s="2"/>
      <c r="C2" s="2"/>
      <c r="D2" s="2"/>
      <c r="E2" s="2"/>
      <c r="F2" s="2"/>
      <c r="G2" s="2"/>
    </row>
    <row r="3" spans="1:8" ht="6" customHeight="1" x14ac:dyDescent="0.25">
      <c r="A3" s="3"/>
      <c r="B3" s="2"/>
      <c r="C3" s="2"/>
      <c r="D3" s="2"/>
      <c r="E3" s="2"/>
      <c r="F3" s="2"/>
      <c r="G3" s="2"/>
    </row>
    <row r="4" spans="1:8" ht="16.2" thickBot="1" x14ac:dyDescent="0.35">
      <c r="A4" s="4" t="s">
        <v>145</v>
      </c>
      <c r="B4" s="5"/>
      <c r="C4" s="5"/>
      <c r="D4" s="5"/>
      <c r="E4" s="5"/>
      <c r="F4" s="5"/>
      <c r="G4" s="5"/>
      <c r="H4" s="6"/>
    </row>
    <row r="5" spans="1:8" x14ac:dyDescent="0.25">
      <c r="A5" s="7"/>
      <c r="B5" s="8"/>
      <c r="C5" s="9"/>
      <c r="D5" s="8"/>
      <c r="E5" s="10"/>
      <c r="F5" s="11"/>
      <c r="G5" s="197" t="s">
        <v>1</v>
      </c>
      <c r="H5" s="198"/>
    </row>
    <row r="6" spans="1:8" x14ac:dyDescent="0.25">
      <c r="A6" s="12"/>
      <c r="B6" s="13"/>
      <c r="C6" s="14" t="s">
        <v>236</v>
      </c>
      <c r="D6" s="15" t="s">
        <v>237</v>
      </c>
      <c r="E6" s="15" t="s">
        <v>238</v>
      </c>
      <c r="F6" s="16"/>
      <c r="G6" s="17" t="s">
        <v>239</v>
      </c>
      <c r="H6" s="18" t="s">
        <v>240</v>
      </c>
    </row>
    <row r="7" spans="1:8" x14ac:dyDescent="0.25">
      <c r="A7" s="199" t="s">
        <v>2</v>
      </c>
      <c r="B7" s="19" t="s">
        <v>3</v>
      </c>
      <c r="C7" s="20">
        <v>1812537.9694154561</v>
      </c>
      <c r="D7" s="20">
        <v>1873934.291872282</v>
      </c>
      <c r="E7" s="79">
        <v>1934152.7342195252</v>
      </c>
      <c r="F7" s="22" t="s">
        <v>241</v>
      </c>
      <c r="G7" s="23">
        <v>6.7096395692769875</v>
      </c>
      <c r="H7" s="24">
        <v>3.2134767269282491</v>
      </c>
    </row>
    <row r="8" spans="1:8" x14ac:dyDescent="0.25">
      <c r="A8" s="200"/>
      <c r="B8" s="25" t="s">
        <v>242</v>
      </c>
      <c r="C8" s="26">
        <v>832293</v>
      </c>
      <c r="D8" s="26">
        <v>915376.27782905195</v>
      </c>
      <c r="E8" s="26">
        <v>925120.34114164498</v>
      </c>
      <c r="F8" s="27"/>
      <c r="G8" s="28">
        <v>11.153204597617062</v>
      </c>
      <c r="H8" s="29">
        <v>1.0644872003568366</v>
      </c>
    </row>
    <row r="9" spans="1:8" x14ac:dyDescent="0.25">
      <c r="A9" s="30" t="s">
        <v>4</v>
      </c>
      <c r="B9" s="31" t="s">
        <v>3</v>
      </c>
      <c r="C9" s="20">
        <v>634112</v>
      </c>
      <c r="D9" s="20">
        <v>635550.76978571399</v>
      </c>
      <c r="E9" s="20">
        <v>662981.6649710004</v>
      </c>
      <c r="F9" s="22" t="s">
        <v>241</v>
      </c>
      <c r="G9" s="32">
        <v>4.5527706416217342</v>
      </c>
      <c r="H9" s="33">
        <v>4.3160824420895807</v>
      </c>
    </row>
    <row r="10" spans="1:8" x14ac:dyDescent="0.25">
      <c r="A10" s="34"/>
      <c r="B10" s="25" t="s">
        <v>242</v>
      </c>
      <c r="C10" s="26">
        <v>363115</v>
      </c>
      <c r="D10" s="26">
        <v>325667.73423019401</v>
      </c>
      <c r="E10" s="26">
        <v>352064.64966218203</v>
      </c>
      <c r="F10" s="27"/>
      <c r="G10" s="28">
        <v>-3.0432095445844851</v>
      </c>
      <c r="H10" s="29">
        <v>8.1054745857413337</v>
      </c>
    </row>
    <row r="11" spans="1:8" x14ac:dyDescent="0.25">
      <c r="A11" s="30" t="s">
        <v>5</v>
      </c>
      <c r="B11" s="31" t="s">
        <v>3</v>
      </c>
      <c r="C11" s="20">
        <v>148943.35323620201</v>
      </c>
      <c r="D11" s="20">
        <v>148181.65364262799</v>
      </c>
      <c r="E11" s="20">
        <v>213183.64927837046</v>
      </c>
      <c r="F11" s="22" t="s">
        <v>241</v>
      </c>
      <c r="G11" s="37">
        <v>43.130690055227149</v>
      </c>
      <c r="H11" s="33">
        <v>43.866426131610609</v>
      </c>
    </row>
    <row r="12" spans="1:8" x14ac:dyDescent="0.25">
      <c r="A12" s="34"/>
      <c r="B12" s="25" t="s">
        <v>242</v>
      </c>
      <c r="C12" s="26">
        <v>31027</v>
      </c>
      <c r="D12" s="26">
        <v>82446.788938715006</v>
      </c>
      <c r="E12" s="26">
        <v>76181.962833498997</v>
      </c>
      <c r="F12" s="27"/>
      <c r="G12" s="28">
        <v>145.53441465014018</v>
      </c>
      <c r="H12" s="29">
        <v>-7.598629595960162</v>
      </c>
    </row>
    <row r="13" spans="1:8" x14ac:dyDescent="0.25">
      <c r="A13" s="30" t="s">
        <v>6</v>
      </c>
      <c r="B13" s="31" t="s">
        <v>3</v>
      </c>
      <c r="C13" s="20">
        <v>296649</v>
      </c>
      <c r="D13" s="20">
        <v>305854.777466667</v>
      </c>
      <c r="E13" s="20">
        <v>335060.48962466634</v>
      </c>
      <c r="F13" s="22" t="s">
        <v>241</v>
      </c>
      <c r="G13" s="23">
        <v>12.948464220228729</v>
      </c>
      <c r="H13" s="24">
        <v>9.5488821197773319</v>
      </c>
    </row>
    <row r="14" spans="1:8" x14ac:dyDescent="0.25">
      <c r="A14" s="34"/>
      <c r="B14" s="25" t="s">
        <v>242</v>
      </c>
      <c r="C14" s="26">
        <v>133279</v>
      </c>
      <c r="D14" s="26">
        <v>141526.10151903599</v>
      </c>
      <c r="E14" s="26">
        <v>153509.38964753499</v>
      </c>
      <c r="F14" s="27"/>
      <c r="G14" s="38">
        <v>15.178977669051392</v>
      </c>
      <c r="H14" s="24">
        <v>8.467192977040483</v>
      </c>
    </row>
    <row r="15" spans="1:8" x14ac:dyDescent="0.25">
      <c r="A15" s="30" t="s">
        <v>169</v>
      </c>
      <c r="B15" s="31" t="s">
        <v>3</v>
      </c>
      <c r="C15" s="20">
        <v>46146</v>
      </c>
      <c r="D15" s="20">
        <v>42956.936227273</v>
      </c>
      <c r="E15" s="20">
        <v>41027.543295039526</v>
      </c>
      <c r="F15" s="22" t="s">
        <v>241</v>
      </c>
      <c r="G15" s="37">
        <v>-11.09187514618921</v>
      </c>
      <c r="H15" s="33">
        <v>-4.4914584271690217</v>
      </c>
    </row>
    <row r="16" spans="1:8" x14ac:dyDescent="0.25">
      <c r="A16" s="34"/>
      <c r="B16" s="25" t="s">
        <v>242</v>
      </c>
      <c r="C16" s="26">
        <v>20669</v>
      </c>
      <c r="D16" s="26">
        <v>22114.084249084</v>
      </c>
      <c r="E16" s="26">
        <v>20119.271221531999</v>
      </c>
      <c r="F16" s="27"/>
      <c r="G16" s="28">
        <v>-2.6596776741400276</v>
      </c>
      <c r="H16" s="29">
        <v>-9.0205545257187367</v>
      </c>
    </row>
    <row r="17" spans="1:8" x14ac:dyDescent="0.25">
      <c r="A17" s="30" t="s">
        <v>7</v>
      </c>
      <c r="B17" s="31" t="s">
        <v>3</v>
      </c>
      <c r="C17" s="20">
        <v>9129</v>
      </c>
      <c r="D17" s="20">
        <v>9685</v>
      </c>
      <c r="E17" s="20">
        <v>8995.10347284606</v>
      </c>
      <c r="F17" s="22" t="s">
        <v>241</v>
      </c>
      <c r="G17" s="23">
        <v>-1.466716257574106</v>
      </c>
      <c r="H17" s="24">
        <v>-7.1233508224464686</v>
      </c>
    </row>
    <row r="18" spans="1:8" x14ac:dyDescent="0.25">
      <c r="A18" s="30"/>
      <c r="B18" s="25" t="s">
        <v>242</v>
      </c>
      <c r="C18" s="26">
        <v>5922</v>
      </c>
      <c r="D18" s="26">
        <v>4955</v>
      </c>
      <c r="E18" s="26">
        <v>4950.7766367349996</v>
      </c>
      <c r="F18" s="27"/>
      <c r="G18" s="38">
        <v>-16.400259426967239</v>
      </c>
      <c r="H18" s="24">
        <v>-8.5234374672054969E-2</v>
      </c>
    </row>
    <row r="19" spans="1:8" x14ac:dyDescent="0.25">
      <c r="A19" s="39" t="s">
        <v>8</v>
      </c>
      <c r="B19" s="31" t="s">
        <v>3</v>
      </c>
      <c r="C19" s="20">
        <v>4549</v>
      </c>
      <c r="D19" s="20">
        <v>5158</v>
      </c>
      <c r="E19" s="20">
        <v>5009.5952962459251</v>
      </c>
      <c r="F19" s="22" t="s">
        <v>241</v>
      </c>
      <c r="G19" s="37">
        <v>10.125198862297765</v>
      </c>
      <c r="H19" s="33">
        <v>-2.8771753345109516</v>
      </c>
    </row>
    <row r="20" spans="1:8" x14ac:dyDescent="0.25">
      <c r="A20" s="34"/>
      <c r="B20" s="25" t="s">
        <v>242</v>
      </c>
      <c r="C20" s="26">
        <v>2218</v>
      </c>
      <c r="D20" s="26">
        <v>2786</v>
      </c>
      <c r="E20" s="26">
        <v>2612</v>
      </c>
      <c r="F20" s="27"/>
      <c r="G20" s="28">
        <v>17.763751127141575</v>
      </c>
      <c r="H20" s="29">
        <v>-6.2455132806891669</v>
      </c>
    </row>
    <row r="21" spans="1:8" x14ac:dyDescent="0.25">
      <c r="A21" s="39" t="s">
        <v>9</v>
      </c>
      <c r="B21" s="31" t="s">
        <v>3</v>
      </c>
      <c r="C21" s="20">
        <v>22664</v>
      </c>
      <c r="D21" s="20">
        <v>24133</v>
      </c>
      <c r="E21" s="20">
        <v>25542.78029195395</v>
      </c>
      <c r="F21" s="22" t="s">
        <v>241</v>
      </c>
      <c r="G21" s="37">
        <v>12.70199564046041</v>
      </c>
      <c r="H21" s="33">
        <v>5.8417117306341879</v>
      </c>
    </row>
    <row r="22" spans="1:8" x14ac:dyDescent="0.25">
      <c r="A22" s="34"/>
      <c r="B22" s="25" t="s">
        <v>242</v>
      </c>
      <c r="C22" s="26">
        <v>12291</v>
      </c>
      <c r="D22" s="26">
        <v>12649.523333333</v>
      </c>
      <c r="E22" s="26">
        <v>13539.56</v>
      </c>
      <c r="F22" s="27"/>
      <c r="G22" s="28">
        <v>10.158327231307453</v>
      </c>
      <c r="H22" s="29">
        <v>7.0361281070698425</v>
      </c>
    </row>
    <row r="23" spans="1:8" x14ac:dyDescent="0.25">
      <c r="A23" s="39" t="s">
        <v>194</v>
      </c>
      <c r="B23" s="31" t="s">
        <v>3</v>
      </c>
      <c r="C23" s="20">
        <v>4802</v>
      </c>
      <c r="D23" s="20">
        <v>4554</v>
      </c>
      <c r="E23" s="20">
        <v>4882.4534250501574</v>
      </c>
      <c r="F23" s="22" t="s">
        <v>241</v>
      </c>
      <c r="G23" s="37">
        <v>1.6754149323231502</v>
      </c>
      <c r="H23" s="33">
        <v>7.2124160090065317</v>
      </c>
    </row>
    <row r="24" spans="1:8" x14ac:dyDescent="0.25">
      <c r="A24" s="34"/>
      <c r="B24" s="25" t="s">
        <v>242</v>
      </c>
      <c r="C24" s="26">
        <v>2376</v>
      </c>
      <c r="D24" s="26">
        <v>2326</v>
      </c>
      <c r="E24" s="26">
        <v>2476</v>
      </c>
      <c r="F24" s="27"/>
      <c r="G24" s="28">
        <v>4.2087542087542147</v>
      </c>
      <c r="H24" s="29">
        <v>6.4488392089423883</v>
      </c>
    </row>
    <row r="25" spans="1:8" x14ac:dyDescent="0.25">
      <c r="A25" s="39" t="s">
        <v>195</v>
      </c>
      <c r="B25" s="31" t="s">
        <v>3</v>
      </c>
      <c r="C25" s="20">
        <v>575</v>
      </c>
      <c r="D25" s="20">
        <v>733</v>
      </c>
      <c r="E25" s="20">
        <v>1011.339487179487</v>
      </c>
      <c r="F25" s="22" t="s">
        <v>241</v>
      </c>
      <c r="G25" s="37">
        <v>75.885128205128183</v>
      </c>
      <c r="H25" s="33">
        <v>37.972644908524842</v>
      </c>
    </row>
    <row r="26" spans="1:8" x14ac:dyDescent="0.25">
      <c r="A26" s="34"/>
      <c r="B26" s="25" t="s">
        <v>242</v>
      </c>
      <c r="C26" s="26">
        <v>312</v>
      </c>
      <c r="D26" s="26">
        <v>325</v>
      </c>
      <c r="E26" s="26">
        <v>466</v>
      </c>
      <c r="F26" s="27"/>
      <c r="G26" s="28">
        <v>49.358974358974365</v>
      </c>
      <c r="H26" s="29">
        <v>43.384615384615387</v>
      </c>
    </row>
    <row r="27" spans="1:8" x14ac:dyDescent="0.25">
      <c r="A27" s="39" t="s">
        <v>196</v>
      </c>
      <c r="B27" s="31" t="s">
        <v>3</v>
      </c>
      <c r="C27" s="20">
        <v>200240.61617925501</v>
      </c>
      <c r="D27" s="20">
        <v>241263</v>
      </c>
      <c r="E27" s="20">
        <v>268487.79402295878</v>
      </c>
      <c r="F27" s="22" t="s">
        <v>241</v>
      </c>
      <c r="G27" s="37">
        <v>34.082584815165092</v>
      </c>
      <c r="H27" s="33">
        <v>11.284280649315789</v>
      </c>
    </row>
    <row r="28" spans="1:8" x14ac:dyDescent="0.25">
      <c r="A28" s="34"/>
      <c r="B28" s="25" t="s">
        <v>242</v>
      </c>
      <c r="C28" s="26">
        <v>86842</v>
      </c>
      <c r="D28" s="26">
        <v>97648.947142998004</v>
      </c>
      <c r="E28" s="26">
        <v>116037</v>
      </c>
      <c r="F28" s="27"/>
      <c r="G28" s="28">
        <v>33.618525598212869</v>
      </c>
      <c r="H28" s="29">
        <v>18.83077431451909</v>
      </c>
    </row>
    <row r="29" spans="1:8" x14ac:dyDescent="0.25">
      <c r="A29" s="30" t="s">
        <v>10</v>
      </c>
      <c r="B29" s="31" t="s">
        <v>3</v>
      </c>
      <c r="C29" s="20">
        <v>306308</v>
      </c>
      <c r="D29" s="20">
        <v>320739</v>
      </c>
      <c r="E29" s="20">
        <v>305568.30692879308</v>
      </c>
      <c r="F29" s="22" t="s">
        <v>241</v>
      </c>
      <c r="G29" s="37">
        <v>-0.24148669679111379</v>
      </c>
      <c r="H29" s="33">
        <v>-4.7299184293793104</v>
      </c>
    </row>
    <row r="30" spans="1:8" x14ac:dyDescent="0.25">
      <c r="A30" s="30"/>
      <c r="B30" s="25" t="s">
        <v>242</v>
      </c>
      <c r="C30" s="26">
        <v>146608</v>
      </c>
      <c r="D30" s="26">
        <v>158299</v>
      </c>
      <c r="E30" s="26">
        <v>149261.141025641</v>
      </c>
      <c r="F30" s="27"/>
      <c r="G30" s="28">
        <v>1.8096836636752442</v>
      </c>
      <c r="H30" s="29">
        <v>-5.7093594870207625</v>
      </c>
    </row>
    <row r="31" spans="1:8" x14ac:dyDescent="0.25">
      <c r="A31" s="39" t="s">
        <v>11</v>
      </c>
      <c r="B31" s="31" t="s">
        <v>3</v>
      </c>
      <c r="C31" s="20">
        <v>10634</v>
      </c>
      <c r="D31" s="20">
        <v>10720.65475</v>
      </c>
      <c r="E31" s="20">
        <v>9310.4088834790837</v>
      </c>
      <c r="F31" s="22" t="s">
        <v>241</v>
      </c>
      <c r="G31" s="37">
        <v>-12.446784996435184</v>
      </c>
      <c r="H31" s="33">
        <v>-13.154475164130403</v>
      </c>
    </row>
    <row r="32" spans="1:8" x14ac:dyDescent="0.25">
      <c r="A32" s="34"/>
      <c r="B32" s="25" t="s">
        <v>242</v>
      </c>
      <c r="C32" s="26">
        <v>4229</v>
      </c>
      <c r="D32" s="26">
        <v>4932.3952618450003</v>
      </c>
      <c r="E32" s="26">
        <v>4070.6695760600001</v>
      </c>
      <c r="F32" s="27"/>
      <c r="G32" s="28">
        <v>-3.7439211146843263</v>
      </c>
      <c r="H32" s="29">
        <v>-17.470734603346955</v>
      </c>
    </row>
    <row r="33" spans="1:8" x14ac:dyDescent="0.25">
      <c r="A33" s="30" t="s">
        <v>12</v>
      </c>
      <c r="B33" s="31" t="s">
        <v>3</v>
      </c>
      <c r="C33" s="20">
        <v>8890</v>
      </c>
      <c r="D33" s="20">
        <v>9026</v>
      </c>
      <c r="E33" s="20">
        <v>8747.65546631299</v>
      </c>
      <c r="F33" s="22" t="s">
        <v>241</v>
      </c>
      <c r="G33" s="37">
        <v>-1.6011758569967327</v>
      </c>
      <c r="H33" s="33">
        <v>-3.0838082615445472</v>
      </c>
    </row>
    <row r="34" spans="1:8" x14ac:dyDescent="0.25">
      <c r="A34" s="30"/>
      <c r="B34" s="25" t="s">
        <v>242</v>
      </c>
      <c r="C34" s="26">
        <v>4395</v>
      </c>
      <c r="D34" s="26">
        <v>5188.4620000000004</v>
      </c>
      <c r="E34" s="26">
        <v>4769.7039999999997</v>
      </c>
      <c r="F34" s="27"/>
      <c r="G34" s="28">
        <v>8.5256882821387734</v>
      </c>
      <c r="H34" s="29">
        <v>-8.0709466504717682</v>
      </c>
    </row>
    <row r="35" spans="1:8" x14ac:dyDescent="0.25">
      <c r="A35" s="39" t="s">
        <v>13</v>
      </c>
      <c r="B35" s="31" t="s">
        <v>3</v>
      </c>
      <c r="C35" s="20">
        <v>145</v>
      </c>
      <c r="D35" s="20">
        <v>86</v>
      </c>
      <c r="E35" s="20">
        <v>57.239353464963216</v>
      </c>
      <c r="F35" s="22" t="s">
        <v>241</v>
      </c>
      <c r="G35" s="23">
        <v>-60.524583817266745</v>
      </c>
      <c r="H35" s="24">
        <v>-33.442612250042771</v>
      </c>
    </row>
    <row r="36" spans="1:8" x14ac:dyDescent="0.25">
      <c r="A36" s="34"/>
      <c r="B36" s="25" t="s">
        <v>242</v>
      </c>
      <c r="C36" s="26">
        <v>84</v>
      </c>
      <c r="D36" s="26">
        <v>41</v>
      </c>
      <c r="E36" s="26">
        <v>29</v>
      </c>
      <c r="F36" s="27"/>
      <c r="G36" s="28">
        <v>-65.476190476190482</v>
      </c>
      <c r="H36" s="29">
        <v>-29.268292682926827</v>
      </c>
    </row>
    <row r="37" spans="1:8" x14ac:dyDescent="0.25">
      <c r="A37" s="30" t="s">
        <v>14</v>
      </c>
      <c r="B37" s="31" t="s">
        <v>3</v>
      </c>
      <c r="C37" s="40">
        <v>118751</v>
      </c>
      <c r="D37" s="40">
        <v>115292.5</v>
      </c>
      <c r="E37" s="20">
        <v>87680.668659447823</v>
      </c>
      <c r="F37" s="22" t="s">
        <v>241</v>
      </c>
      <c r="G37" s="23">
        <v>-26.164269219250514</v>
      </c>
      <c r="H37" s="24">
        <v>-23.949373411585469</v>
      </c>
    </row>
    <row r="38" spans="1:8" ht="13.8" thickBot="1" x14ac:dyDescent="0.3">
      <c r="A38" s="41"/>
      <c r="B38" s="42" t="s">
        <v>242</v>
      </c>
      <c r="C38" s="43">
        <v>18926</v>
      </c>
      <c r="D38" s="43">
        <v>54470.241153846</v>
      </c>
      <c r="E38" s="43">
        <v>25033.216538461998</v>
      </c>
      <c r="F38" s="44"/>
      <c r="G38" s="45">
        <v>32.268923906065737</v>
      </c>
      <c r="H38" s="46">
        <v>-54.042398182600174</v>
      </c>
    </row>
    <row r="39" spans="1:8" x14ac:dyDescent="0.25">
      <c r="A39" s="47"/>
      <c r="B39" s="48"/>
      <c r="C39" s="49"/>
      <c r="D39" s="49"/>
      <c r="E39" s="49"/>
      <c r="F39" s="49"/>
      <c r="G39" s="50"/>
      <c r="H39" s="51"/>
    </row>
    <row r="40" spans="1:8" x14ac:dyDescent="0.25">
      <c r="A40" s="47"/>
      <c r="B40" s="48"/>
      <c r="C40" s="49"/>
      <c r="D40" s="49"/>
      <c r="E40" s="49"/>
      <c r="F40" s="49"/>
      <c r="G40" s="50"/>
      <c r="H40" s="51"/>
    </row>
    <row r="41" spans="1:8" x14ac:dyDescent="0.25">
      <c r="A41" s="47"/>
      <c r="B41" s="48"/>
      <c r="C41" s="49"/>
      <c r="D41" s="49"/>
      <c r="E41" s="49"/>
      <c r="F41" s="49"/>
      <c r="G41" s="50"/>
      <c r="H41" s="51"/>
    </row>
    <row r="42" spans="1:8" x14ac:dyDescent="0.25">
      <c r="A42" s="47"/>
      <c r="B42" s="48"/>
      <c r="C42" s="49"/>
      <c r="D42" s="49"/>
      <c r="E42" s="49"/>
      <c r="F42" s="49"/>
      <c r="G42" s="50"/>
      <c r="H42" s="51"/>
    </row>
    <row r="43" spans="1:8" x14ac:dyDescent="0.25">
      <c r="A43" s="47"/>
      <c r="B43" s="48"/>
      <c r="C43" s="49"/>
      <c r="D43" s="49"/>
      <c r="E43" s="49"/>
      <c r="F43" s="49"/>
      <c r="G43" s="50"/>
      <c r="H43" s="51"/>
    </row>
    <row r="44" spans="1:8" x14ac:dyDescent="0.25">
      <c r="A44" s="47"/>
      <c r="B44" s="48"/>
      <c r="C44" s="49"/>
      <c r="D44" s="49"/>
      <c r="E44" s="49"/>
      <c r="F44" s="49"/>
      <c r="G44" s="50"/>
      <c r="H44" s="51"/>
    </row>
    <row r="45" spans="1:8" x14ac:dyDescent="0.25">
      <c r="A45" s="47"/>
      <c r="B45" s="48"/>
      <c r="C45" s="49"/>
      <c r="D45" s="49"/>
      <c r="E45" s="49"/>
      <c r="F45" s="49"/>
      <c r="G45" s="50"/>
      <c r="H45" s="51"/>
    </row>
    <row r="46" spans="1:8" x14ac:dyDescent="0.25">
      <c r="A46" s="47"/>
      <c r="B46" s="48"/>
      <c r="C46" s="49"/>
      <c r="D46" s="49"/>
      <c r="E46" s="49"/>
      <c r="F46" s="49"/>
      <c r="G46" s="50"/>
      <c r="H46" s="51"/>
    </row>
    <row r="47" spans="1:8" x14ac:dyDescent="0.25">
      <c r="A47" s="47"/>
      <c r="B47" s="48"/>
      <c r="C47" s="49"/>
      <c r="D47" s="49"/>
      <c r="E47" s="49"/>
      <c r="F47" s="49"/>
      <c r="G47" s="50"/>
      <c r="H47" s="51"/>
    </row>
    <row r="48" spans="1:8" x14ac:dyDescent="0.25">
      <c r="A48" s="47"/>
      <c r="B48" s="48"/>
      <c r="C48" s="49"/>
      <c r="D48" s="49"/>
      <c r="E48" s="49"/>
      <c r="F48" s="49"/>
      <c r="G48" s="50"/>
      <c r="H48" s="51"/>
    </row>
    <row r="49" spans="1:8" x14ac:dyDescent="0.25">
      <c r="A49" s="47"/>
      <c r="B49" s="48"/>
      <c r="C49" s="49"/>
      <c r="D49" s="49"/>
      <c r="E49" s="122"/>
      <c r="F49" s="49"/>
      <c r="G49" s="50"/>
      <c r="H49" s="51"/>
    </row>
    <row r="50" spans="1:8" x14ac:dyDescent="0.25">
      <c r="A50" s="47"/>
      <c r="B50" s="48"/>
      <c r="C50" s="49"/>
      <c r="D50" s="49"/>
      <c r="E50" s="49"/>
      <c r="F50" s="49"/>
      <c r="G50" s="50"/>
      <c r="H50" s="51"/>
    </row>
    <row r="51" spans="1:8" x14ac:dyDescent="0.25">
      <c r="A51" s="47"/>
      <c r="B51" s="48"/>
      <c r="C51" s="49"/>
      <c r="D51" s="49"/>
      <c r="E51" s="49"/>
      <c r="F51" s="49"/>
      <c r="G51" s="50"/>
      <c r="H51" s="51"/>
    </row>
    <row r="52" spans="1:8" x14ac:dyDescent="0.25">
      <c r="A52" s="47"/>
      <c r="B52" s="48"/>
      <c r="C52" s="49"/>
      <c r="D52" s="49"/>
      <c r="E52" s="49"/>
      <c r="F52" s="49"/>
      <c r="G52" s="50"/>
      <c r="H52" s="51"/>
    </row>
    <row r="53" spans="1:8" x14ac:dyDescent="0.25">
      <c r="A53" s="47"/>
      <c r="B53" s="48"/>
      <c r="C53" s="49"/>
      <c r="D53" s="49"/>
      <c r="E53" s="49"/>
      <c r="F53" s="49"/>
      <c r="G53" s="50"/>
      <c r="H53" s="51"/>
    </row>
    <row r="54" spans="1:8" x14ac:dyDescent="0.25">
      <c r="A54" s="47"/>
      <c r="B54" s="48"/>
      <c r="C54" s="49"/>
      <c r="D54" s="49"/>
      <c r="E54" s="49"/>
      <c r="F54" s="49"/>
      <c r="G54" s="50"/>
      <c r="H54" s="51"/>
    </row>
    <row r="55" spans="1:8" x14ac:dyDescent="0.25">
      <c r="A55" s="47"/>
      <c r="B55" s="48"/>
      <c r="C55" s="49"/>
      <c r="D55" s="49"/>
      <c r="E55" s="49"/>
      <c r="F55" s="49"/>
      <c r="G55" s="50"/>
      <c r="H55" s="51"/>
    </row>
    <row r="56" spans="1:8" x14ac:dyDescent="0.25">
      <c r="A56" s="47"/>
      <c r="B56" s="48"/>
      <c r="C56" s="49"/>
      <c r="D56" s="49"/>
      <c r="E56" s="49"/>
      <c r="F56" s="49"/>
      <c r="G56" s="50"/>
      <c r="H56" s="51"/>
    </row>
    <row r="57" spans="1:8" x14ac:dyDescent="0.25">
      <c r="A57" s="47"/>
      <c r="B57" s="48"/>
      <c r="C57" s="49"/>
      <c r="D57" s="49"/>
      <c r="E57" s="49"/>
      <c r="F57" s="49"/>
      <c r="G57" s="50"/>
      <c r="H57" s="51"/>
    </row>
    <row r="58" spans="1:8" x14ac:dyDescent="0.25">
      <c r="A58" s="47"/>
      <c r="B58" s="48"/>
      <c r="C58" s="49"/>
      <c r="D58" s="49"/>
      <c r="E58" s="49"/>
      <c r="F58" s="49"/>
      <c r="G58" s="50"/>
      <c r="H58" s="51"/>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G61" s="53"/>
      <c r="H61" s="202">
        <v>9</v>
      </c>
    </row>
    <row r="62" spans="1:8" ht="12.75" customHeight="1" x14ac:dyDescent="0.25">
      <c r="A62" s="54" t="s">
        <v>244</v>
      </c>
      <c r="G62" s="53"/>
      <c r="H62" s="195"/>
    </row>
    <row r="63" spans="1:8" x14ac:dyDescent="0.25">
      <c r="H63" s="87"/>
    </row>
    <row r="64" spans="1:8" x14ac:dyDescent="0.25">
      <c r="A64" s="201"/>
      <c r="H64" s="53"/>
    </row>
    <row r="65" spans="1:8" x14ac:dyDescent="0.25">
      <c r="A65" s="201"/>
      <c r="H65" s="53"/>
    </row>
    <row r="67" spans="1:8" ht="12.75" customHeight="1" x14ac:dyDescent="0.25"/>
    <row r="68" spans="1:8" ht="12.75" customHeight="1" x14ac:dyDescent="0.25"/>
  </sheetData>
  <mergeCells count="4">
    <mergeCell ref="G5:H5"/>
    <mergeCell ref="A7:A8"/>
    <mergeCell ref="A64:A65"/>
    <mergeCell ref="H61:H62"/>
  </mergeCells>
  <phoneticPr fontId="0" type="noConversion"/>
  <hyperlinks>
    <hyperlink ref="A2" location="Innhold!A2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10" ht="5.25" customHeight="1" x14ac:dyDescent="0.25"/>
    <row r="2" spans="1:10" x14ac:dyDescent="0.25">
      <c r="A2" s="95" t="s">
        <v>0</v>
      </c>
      <c r="B2" s="2"/>
      <c r="C2" s="2"/>
      <c r="D2" s="2"/>
      <c r="E2" s="2"/>
      <c r="F2" s="2"/>
      <c r="G2" s="2"/>
    </row>
    <row r="3" spans="1:10" ht="6" customHeight="1" x14ac:dyDescent="0.25">
      <c r="A3" s="3"/>
      <c r="B3" s="2"/>
      <c r="C3" s="2"/>
      <c r="D3" s="2"/>
      <c r="E3" s="2"/>
      <c r="F3" s="2"/>
      <c r="G3" s="2"/>
    </row>
    <row r="4" spans="1:10" ht="16.2" thickBot="1" x14ac:dyDescent="0.35">
      <c r="A4" s="4" t="s">
        <v>15</v>
      </c>
      <c r="B4" s="5"/>
      <c r="C4" s="5"/>
      <c r="D4" s="5"/>
      <c r="E4" s="5"/>
      <c r="F4" s="5"/>
      <c r="G4" s="5"/>
      <c r="H4" s="6"/>
    </row>
    <row r="5" spans="1:10" x14ac:dyDescent="0.25">
      <c r="A5" s="7"/>
      <c r="B5" s="8"/>
      <c r="C5" s="203" t="s">
        <v>16</v>
      </c>
      <c r="D5" s="197"/>
      <c r="E5" s="197"/>
      <c r="F5" s="204"/>
      <c r="G5" s="197" t="s">
        <v>1</v>
      </c>
      <c r="H5" s="198"/>
    </row>
    <row r="6" spans="1:10" x14ac:dyDescent="0.25">
      <c r="A6" s="12"/>
      <c r="B6" s="13"/>
      <c r="C6" s="14" t="s">
        <v>236</v>
      </c>
      <c r="D6" s="15" t="s">
        <v>237</v>
      </c>
      <c r="E6" s="15" t="s">
        <v>238</v>
      </c>
      <c r="F6" s="16"/>
      <c r="G6" s="17" t="s">
        <v>239</v>
      </c>
      <c r="H6" s="18" t="s">
        <v>240</v>
      </c>
    </row>
    <row r="7" spans="1:10" x14ac:dyDescent="0.25">
      <c r="A7" s="199" t="s">
        <v>2</v>
      </c>
      <c r="B7" s="19" t="s">
        <v>3</v>
      </c>
      <c r="C7" s="80">
        <v>35784.130962898998</v>
      </c>
      <c r="D7" s="80">
        <v>36303.954413655003</v>
      </c>
      <c r="E7" s="81">
        <v>36055.631434160714</v>
      </c>
      <c r="F7" s="22" t="s">
        <v>241</v>
      </c>
      <c r="G7" s="23">
        <v>0.75871752074461085</v>
      </c>
      <c r="H7" s="24">
        <v>-0.68401082886134645</v>
      </c>
    </row>
    <row r="8" spans="1:10" x14ac:dyDescent="0.25">
      <c r="A8" s="200"/>
      <c r="B8" s="25" t="s">
        <v>242</v>
      </c>
      <c r="C8" s="82">
        <v>18067.639600211998</v>
      </c>
      <c r="D8" s="82">
        <v>18663.192439958999</v>
      </c>
      <c r="E8" s="82">
        <v>18423.935603344999</v>
      </c>
      <c r="F8" s="27"/>
      <c r="G8" s="28">
        <v>1.9720119009282229</v>
      </c>
      <c r="H8" s="29">
        <v>-1.2819716529404559</v>
      </c>
      <c r="J8" s="111"/>
    </row>
    <row r="9" spans="1:10" x14ac:dyDescent="0.25">
      <c r="A9" s="30" t="s">
        <v>4</v>
      </c>
      <c r="B9" s="31" t="s">
        <v>3</v>
      </c>
      <c r="C9" s="80">
        <v>9146.2261513070007</v>
      </c>
      <c r="D9" s="80">
        <v>8762.4370246910003</v>
      </c>
      <c r="E9" s="80">
        <v>7893.3386615829959</v>
      </c>
      <c r="F9" s="22" t="s">
        <v>241</v>
      </c>
      <c r="G9" s="32">
        <v>-13.698409256422835</v>
      </c>
      <c r="H9" s="33">
        <v>-9.9184548848572405</v>
      </c>
    </row>
    <row r="10" spans="1:10" x14ac:dyDescent="0.25">
      <c r="A10" s="34"/>
      <c r="B10" s="25" t="s">
        <v>242</v>
      </c>
      <c r="C10" s="82">
        <v>5632.7920454679997</v>
      </c>
      <c r="D10" s="82">
        <v>5249.2704070339996</v>
      </c>
      <c r="E10" s="82">
        <v>4772.0015874889996</v>
      </c>
      <c r="F10" s="27"/>
      <c r="G10" s="35">
        <v>-15.281772361391717</v>
      </c>
      <c r="H10" s="29">
        <v>-9.0920981876921729</v>
      </c>
      <c r="J10" s="111"/>
    </row>
    <row r="11" spans="1:10" x14ac:dyDescent="0.25">
      <c r="A11" s="30" t="s">
        <v>5</v>
      </c>
      <c r="B11" s="31" t="s">
        <v>3</v>
      </c>
      <c r="C11" s="80">
        <v>3477.7495477900002</v>
      </c>
      <c r="D11" s="80">
        <v>3194.3181110219998</v>
      </c>
      <c r="E11" s="80">
        <v>5689.1735105415091</v>
      </c>
      <c r="F11" s="22" t="s">
        <v>241</v>
      </c>
      <c r="G11" s="37">
        <v>63.58778665234243</v>
      </c>
      <c r="H11" s="33">
        <v>78.102910004830335</v>
      </c>
    </row>
    <row r="12" spans="1:10" x14ac:dyDescent="0.25">
      <c r="A12" s="34"/>
      <c r="B12" s="25" t="s">
        <v>242</v>
      </c>
      <c r="C12" s="82">
        <v>934.20871995499999</v>
      </c>
      <c r="D12" s="82">
        <v>1429.439666575</v>
      </c>
      <c r="E12" s="82">
        <v>2083.4381416269998</v>
      </c>
      <c r="F12" s="27"/>
      <c r="G12" s="28">
        <v>123.01634496917958</v>
      </c>
      <c r="H12" s="29">
        <v>45.752086663371301</v>
      </c>
    </row>
    <row r="13" spans="1:10" x14ac:dyDescent="0.25">
      <c r="A13" s="30" t="s">
        <v>6</v>
      </c>
      <c r="B13" s="31" t="s">
        <v>3</v>
      </c>
      <c r="C13" s="80">
        <v>6807.4207896280004</v>
      </c>
      <c r="D13" s="80">
        <v>6790.1078110569997</v>
      </c>
      <c r="E13" s="80">
        <v>6914.4281150125198</v>
      </c>
      <c r="F13" s="22" t="s">
        <v>241</v>
      </c>
      <c r="G13" s="23">
        <v>1.5719217114881161</v>
      </c>
      <c r="H13" s="24">
        <v>1.8309032406389321</v>
      </c>
    </row>
    <row r="14" spans="1:10" x14ac:dyDescent="0.25">
      <c r="A14" s="34"/>
      <c r="B14" s="25" t="s">
        <v>242</v>
      </c>
      <c r="C14" s="82">
        <v>3399.6073315620001</v>
      </c>
      <c r="D14" s="82">
        <v>3306.1813925329998</v>
      </c>
      <c r="E14" s="82">
        <v>3395.008061944</v>
      </c>
      <c r="F14" s="27"/>
      <c r="G14" s="38">
        <v>-0.13528826036173314</v>
      </c>
      <c r="H14" s="24">
        <v>2.6866846934537421</v>
      </c>
    </row>
    <row r="15" spans="1:10" x14ac:dyDescent="0.25">
      <c r="A15" s="30" t="s">
        <v>169</v>
      </c>
      <c r="B15" s="31" t="s">
        <v>3</v>
      </c>
      <c r="C15" s="80">
        <v>5057.4810805440002</v>
      </c>
      <c r="D15" s="80">
        <v>5832.965228219</v>
      </c>
      <c r="E15" s="80">
        <v>5269.4604053561907</v>
      </c>
      <c r="F15" s="22" t="s">
        <v>241</v>
      </c>
      <c r="G15" s="37">
        <v>4.1914012417697393</v>
      </c>
      <c r="H15" s="33">
        <v>-9.6606923034044314</v>
      </c>
    </row>
    <row r="16" spans="1:10" x14ac:dyDescent="0.25">
      <c r="A16" s="34"/>
      <c r="B16" s="25" t="s">
        <v>242</v>
      </c>
      <c r="C16" s="82">
        <v>2400.952199629</v>
      </c>
      <c r="D16" s="82">
        <v>2701.945756992</v>
      </c>
      <c r="E16" s="82">
        <v>2460.811699936</v>
      </c>
      <c r="F16" s="27"/>
      <c r="G16" s="28">
        <v>2.4931566865950003</v>
      </c>
      <c r="H16" s="29">
        <v>-8.9244595836908189</v>
      </c>
    </row>
    <row r="17" spans="1:8" x14ac:dyDescent="0.25">
      <c r="A17" s="30" t="s">
        <v>7</v>
      </c>
      <c r="B17" s="31" t="s">
        <v>3</v>
      </c>
      <c r="C17" s="80">
        <v>2434.703342413</v>
      </c>
      <c r="D17" s="80">
        <v>2427.3984782100001</v>
      </c>
      <c r="E17" s="80">
        <v>2031.6103155379685</v>
      </c>
      <c r="F17" s="22" t="s">
        <v>241</v>
      </c>
      <c r="G17" s="23">
        <v>-16.556145459410743</v>
      </c>
      <c r="H17" s="24">
        <v>-16.305034637901386</v>
      </c>
    </row>
    <row r="18" spans="1:8" x14ac:dyDescent="0.25">
      <c r="A18" s="30"/>
      <c r="B18" s="25" t="s">
        <v>242</v>
      </c>
      <c r="C18" s="82">
        <v>1323.3736207710001</v>
      </c>
      <c r="D18" s="82">
        <v>1149.4538215069999</v>
      </c>
      <c r="E18" s="82">
        <v>1005.193879384</v>
      </c>
      <c r="F18" s="27"/>
      <c r="G18" s="38">
        <v>-24.043077207601286</v>
      </c>
      <c r="H18" s="24">
        <v>-12.550303407044822</v>
      </c>
    </row>
    <row r="19" spans="1:8" x14ac:dyDescent="0.25">
      <c r="A19" s="39" t="s">
        <v>8</v>
      </c>
      <c r="B19" s="31" t="s">
        <v>3</v>
      </c>
      <c r="C19" s="80">
        <v>1700.2929333249999</v>
      </c>
      <c r="D19" s="80">
        <v>1969.2178060450001</v>
      </c>
      <c r="E19" s="80">
        <v>2215.3447703035654</v>
      </c>
      <c r="F19" s="22" t="s">
        <v>241</v>
      </c>
      <c r="G19" s="37">
        <v>30.291947162972576</v>
      </c>
      <c r="H19" s="33">
        <v>12.498717181157801</v>
      </c>
    </row>
    <row r="20" spans="1:8" x14ac:dyDescent="0.25">
      <c r="A20" s="34"/>
      <c r="B20" s="25" t="s">
        <v>242</v>
      </c>
      <c r="C20" s="82">
        <v>902.33012338799995</v>
      </c>
      <c r="D20" s="82">
        <v>1024.114442474</v>
      </c>
      <c r="E20" s="82">
        <v>1159.859386956</v>
      </c>
      <c r="F20" s="27"/>
      <c r="G20" s="28">
        <v>28.540470598615144</v>
      </c>
      <c r="H20" s="29">
        <v>13.254860868290734</v>
      </c>
    </row>
    <row r="21" spans="1:8" x14ac:dyDescent="0.25">
      <c r="A21" s="39" t="s">
        <v>9</v>
      </c>
      <c r="B21" s="31" t="s">
        <v>3</v>
      </c>
      <c r="C21" s="80">
        <v>643.95455599599995</v>
      </c>
      <c r="D21" s="80">
        <v>617.195755996</v>
      </c>
      <c r="E21" s="80">
        <v>550.08438247109109</v>
      </c>
      <c r="F21" s="22" t="s">
        <v>241</v>
      </c>
      <c r="G21" s="37">
        <v>-14.577142540706234</v>
      </c>
      <c r="H21" s="33">
        <v>-10.873596079190122</v>
      </c>
    </row>
    <row r="22" spans="1:8" x14ac:dyDescent="0.25">
      <c r="A22" s="34"/>
      <c r="B22" s="25" t="s">
        <v>242</v>
      </c>
      <c r="C22" s="82">
        <v>349.44877136100001</v>
      </c>
      <c r="D22" s="82">
        <v>320.22656303700001</v>
      </c>
      <c r="E22" s="82">
        <v>289.64428472700001</v>
      </c>
      <c r="F22" s="27"/>
      <c r="G22" s="28">
        <v>-17.113949607285534</v>
      </c>
      <c r="H22" s="29">
        <v>-9.5502003393973354</v>
      </c>
    </row>
    <row r="23" spans="1:8" x14ac:dyDescent="0.25">
      <c r="A23" s="39" t="s">
        <v>194</v>
      </c>
      <c r="B23" s="31" t="s">
        <v>3</v>
      </c>
      <c r="C23" s="80">
        <v>901.02329223499999</v>
      </c>
      <c r="D23" s="80">
        <v>800.24281891500004</v>
      </c>
      <c r="E23" s="80">
        <v>849.2756129717294</v>
      </c>
      <c r="F23" s="22" t="s">
        <v>241</v>
      </c>
      <c r="G23" s="23">
        <v>-5.7432121576912607</v>
      </c>
      <c r="H23" s="24">
        <v>6.127239495033507</v>
      </c>
    </row>
    <row r="24" spans="1:8" x14ac:dyDescent="0.25">
      <c r="A24" s="34"/>
      <c r="B24" s="25" t="s">
        <v>242</v>
      </c>
      <c r="C24" s="82">
        <v>408.467615438</v>
      </c>
      <c r="D24" s="82">
        <v>442.828570528</v>
      </c>
      <c r="E24" s="82">
        <v>453.81565637</v>
      </c>
      <c r="F24" s="27"/>
      <c r="G24" s="38">
        <v>11.101991741346069</v>
      </c>
      <c r="H24" s="24">
        <v>2.481114944525757</v>
      </c>
    </row>
    <row r="25" spans="1:8" x14ac:dyDescent="0.25">
      <c r="A25" s="39" t="s">
        <v>195</v>
      </c>
      <c r="B25" s="31" t="s">
        <v>3</v>
      </c>
      <c r="C25" s="80">
        <v>290.80328065399999</v>
      </c>
      <c r="D25" s="80">
        <v>307.38186722199998</v>
      </c>
      <c r="E25" s="80">
        <v>344.30173178038962</v>
      </c>
      <c r="F25" s="22" t="s">
        <v>241</v>
      </c>
      <c r="G25" s="37">
        <v>18.396783903563502</v>
      </c>
      <c r="H25" s="33">
        <v>12.01107433306241</v>
      </c>
    </row>
    <row r="26" spans="1:8" x14ac:dyDescent="0.25">
      <c r="A26" s="34"/>
      <c r="B26" s="25" t="s">
        <v>242</v>
      </c>
      <c r="C26" s="82">
        <v>115.298669788</v>
      </c>
      <c r="D26" s="82">
        <v>157.750000613</v>
      </c>
      <c r="E26" s="82">
        <v>175.15548435400001</v>
      </c>
      <c r="F26" s="27"/>
      <c r="G26" s="38">
        <v>51.914575143025417</v>
      </c>
      <c r="H26" s="24">
        <v>11.033587114652363</v>
      </c>
    </row>
    <row r="27" spans="1:8" x14ac:dyDescent="0.25">
      <c r="A27" s="39" t="s">
        <v>196</v>
      </c>
      <c r="B27" s="31" t="s">
        <v>3</v>
      </c>
      <c r="C27" s="80">
        <v>698.64237269399996</v>
      </c>
      <c r="D27" s="80">
        <v>802.17088901099999</v>
      </c>
      <c r="E27" s="80">
        <v>884.6338391828682</v>
      </c>
      <c r="F27" s="22" t="s">
        <v>241</v>
      </c>
      <c r="G27" s="37">
        <v>26.621841697301548</v>
      </c>
      <c r="H27" s="33">
        <v>10.279972921173581</v>
      </c>
    </row>
    <row r="28" spans="1:8" x14ac:dyDescent="0.25">
      <c r="A28" s="34"/>
      <c r="B28" s="25" t="s">
        <v>242</v>
      </c>
      <c r="C28" s="82">
        <v>336.19368649199998</v>
      </c>
      <c r="D28" s="82">
        <v>383.18176290700001</v>
      </c>
      <c r="E28" s="82">
        <v>428.955324152</v>
      </c>
      <c r="F28" s="27"/>
      <c r="G28" s="38">
        <v>27.591725064178846</v>
      </c>
      <c r="H28" s="24">
        <v>11.945652344657503</v>
      </c>
    </row>
    <row r="29" spans="1:8" x14ac:dyDescent="0.25">
      <c r="A29" s="30" t="s">
        <v>10</v>
      </c>
      <c r="B29" s="31" t="s">
        <v>3</v>
      </c>
      <c r="C29" s="80">
        <v>1854.3190241750001</v>
      </c>
      <c r="D29" s="80">
        <v>2002.9648543779999</v>
      </c>
      <c r="E29" s="80">
        <v>2073.4321072669281</v>
      </c>
      <c r="F29" s="22" t="s">
        <v>241</v>
      </c>
      <c r="G29" s="37">
        <v>11.816363863786222</v>
      </c>
      <c r="H29" s="33">
        <v>3.5181472473121005</v>
      </c>
    </row>
    <row r="30" spans="1:8" x14ac:dyDescent="0.25">
      <c r="A30" s="30"/>
      <c r="B30" s="25" t="s">
        <v>242</v>
      </c>
      <c r="C30" s="82">
        <v>971.57967528999995</v>
      </c>
      <c r="D30" s="82">
        <v>1003.720588701</v>
      </c>
      <c r="E30" s="82">
        <v>1054.3515800069999</v>
      </c>
      <c r="F30" s="27"/>
      <c r="G30" s="28">
        <v>8.5193120875335353</v>
      </c>
      <c r="H30" s="29">
        <v>5.0443312487517886</v>
      </c>
    </row>
    <row r="31" spans="1:8" x14ac:dyDescent="0.25">
      <c r="A31" s="39" t="s">
        <v>11</v>
      </c>
      <c r="B31" s="31" t="s">
        <v>3</v>
      </c>
      <c r="C31" s="80">
        <v>477.56383193200003</v>
      </c>
      <c r="D31" s="80">
        <v>470.83394949500001</v>
      </c>
      <c r="E31" s="80">
        <v>400.59822075801435</v>
      </c>
      <c r="F31" s="22" t="s">
        <v>241</v>
      </c>
      <c r="G31" s="23">
        <v>-16.116298184185922</v>
      </c>
      <c r="H31" s="24">
        <v>-14.91730339588257</v>
      </c>
    </row>
    <row r="32" spans="1:8" x14ac:dyDescent="0.25">
      <c r="A32" s="34"/>
      <c r="B32" s="25" t="s">
        <v>242</v>
      </c>
      <c r="C32" s="82">
        <v>187.188588004</v>
      </c>
      <c r="D32" s="82">
        <v>233.82959979200001</v>
      </c>
      <c r="E32" s="82">
        <v>182.68802268300001</v>
      </c>
      <c r="F32" s="27"/>
      <c r="G32" s="38">
        <v>-2.4042947110129376</v>
      </c>
      <c r="H32" s="24">
        <v>-21.871301646366547</v>
      </c>
    </row>
    <row r="33" spans="1:8" x14ac:dyDescent="0.25">
      <c r="A33" s="30" t="s">
        <v>12</v>
      </c>
      <c r="B33" s="31" t="s">
        <v>3</v>
      </c>
      <c r="C33" s="80">
        <v>1175.4142453750001</v>
      </c>
      <c r="D33" s="80">
        <v>1175.9397378880001</v>
      </c>
      <c r="E33" s="80">
        <v>868.94560376578636</v>
      </c>
      <c r="F33" s="22" t="s">
        <v>241</v>
      </c>
      <c r="G33" s="37">
        <v>-26.073245480484957</v>
      </c>
      <c r="H33" s="33">
        <v>-26.106281149540735</v>
      </c>
    </row>
    <row r="34" spans="1:8" x14ac:dyDescent="0.25">
      <c r="A34" s="30"/>
      <c r="B34" s="25" t="s">
        <v>242</v>
      </c>
      <c r="C34" s="82">
        <v>699.334525461</v>
      </c>
      <c r="D34" s="82">
        <v>713.79925433300002</v>
      </c>
      <c r="E34" s="82">
        <v>523.92029056199999</v>
      </c>
      <c r="F34" s="27"/>
      <c r="G34" s="28">
        <v>-25.083022289421123</v>
      </c>
      <c r="H34" s="29">
        <v>-26.601171494418253</v>
      </c>
    </row>
    <row r="35" spans="1:8" x14ac:dyDescent="0.25">
      <c r="A35" s="39" t="s">
        <v>13</v>
      </c>
      <c r="B35" s="31" t="s">
        <v>3</v>
      </c>
      <c r="C35" s="80">
        <v>238.074885722</v>
      </c>
      <c r="D35" s="80">
        <v>239.90116805900001</v>
      </c>
      <c r="E35" s="80">
        <v>170.75684084186955</v>
      </c>
      <c r="F35" s="22" t="s">
        <v>241</v>
      </c>
      <c r="G35" s="23">
        <v>-28.275995880866546</v>
      </c>
      <c r="H35" s="24">
        <v>-28.822005235141447</v>
      </c>
    </row>
    <row r="36" spans="1:8" x14ac:dyDescent="0.25">
      <c r="A36" s="34"/>
      <c r="B36" s="25" t="s">
        <v>242</v>
      </c>
      <c r="C36" s="82">
        <v>83.202140635999996</v>
      </c>
      <c r="D36" s="82">
        <v>114.06111092</v>
      </c>
      <c r="E36" s="82">
        <v>72.478043400999994</v>
      </c>
      <c r="F36" s="27"/>
      <c r="G36" s="28">
        <v>-12.889208322075177</v>
      </c>
      <c r="H36" s="29">
        <v>-36.456831941752235</v>
      </c>
    </row>
    <row r="37" spans="1:8" x14ac:dyDescent="0.25">
      <c r="A37" s="30" t="s">
        <v>14</v>
      </c>
      <c r="B37" s="31" t="s">
        <v>3</v>
      </c>
      <c r="C37" s="85">
        <v>880.461629109</v>
      </c>
      <c r="D37" s="85">
        <v>910.87891344699995</v>
      </c>
      <c r="E37" s="83">
        <v>846.12405022115479</v>
      </c>
      <c r="F37" s="22" t="s">
        <v>241</v>
      </c>
      <c r="G37" s="23">
        <v>-3.8999517699134429</v>
      </c>
      <c r="H37" s="24">
        <v>-7.1090528356613447</v>
      </c>
    </row>
    <row r="38" spans="1:8" ht="13.8" thickBot="1" x14ac:dyDescent="0.3">
      <c r="A38" s="41"/>
      <c r="B38" s="42" t="s">
        <v>242</v>
      </c>
      <c r="C38" s="86">
        <v>323.66188697100006</v>
      </c>
      <c r="D38" s="86">
        <v>433.38950201299997</v>
      </c>
      <c r="E38" s="86">
        <v>366.61415975100005</v>
      </c>
      <c r="F38" s="44"/>
      <c r="G38" s="45">
        <v>13.270723093772403</v>
      </c>
      <c r="H38" s="46">
        <v>-15.407697221977685</v>
      </c>
    </row>
    <row r="39" spans="1:8" x14ac:dyDescent="0.25">
      <c r="A39" s="47"/>
      <c r="B39" s="48"/>
      <c r="C39" s="49"/>
      <c r="D39" s="49"/>
      <c r="E39" s="49"/>
      <c r="F39" s="49"/>
      <c r="G39" s="50"/>
      <c r="H39" s="51"/>
    </row>
    <row r="40" spans="1:8" x14ac:dyDescent="0.25">
      <c r="A40" s="47"/>
      <c r="B40" s="48"/>
      <c r="C40" s="49"/>
      <c r="D40" s="49"/>
      <c r="E40" s="49"/>
      <c r="F40" s="49"/>
      <c r="G40" s="50"/>
      <c r="H40" s="51"/>
    </row>
    <row r="41" spans="1:8" x14ac:dyDescent="0.25">
      <c r="A41" s="47"/>
      <c r="B41" s="48"/>
      <c r="C41" s="49"/>
      <c r="D41" s="49"/>
      <c r="E41" s="49"/>
      <c r="F41" s="49"/>
      <c r="G41" s="50"/>
      <c r="H41" s="51"/>
    </row>
    <row r="42" spans="1:8" x14ac:dyDescent="0.25">
      <c r="A42" s="47"/>
      <c r="B42" s="48"/>
      <c r="C42" s="49"/>
      <c r="D42" s="49"/>
      <c r="E42" s="49"/>
      <c r="F42" s="49"/>
      <c r="G42" s="50"/>
      <c r="H42" s="51"/>
    </row>
    <row r="43" spans="1:8" x14ac:dyDescent="0.25">
      <c r="A43" s="47"/>
      <c r="B43" s="48"/>
      <c r="C43" s="49"/>
      <c r="D43" s="49"/>
      <c r="E43" s="49"/>
      <c r="F43" s="49"/>
      <c r="G43" s="50"/>
      <c r="H43" s="51"/>
    </row>
    <row r="44" spans="1:8" x14ac:dyDescent="0.25">
      <c r="A44" s="47"/>
      <c r="B44" s="48"/>
      <c r="C44" s="49"/>
      <c r="D44" s="49"/>
      <c r="E44" s="49"/>
      <c r="F44" s="49"/>
      <c r="G44" s="50"/>
      <c r="H44" s="51"/>
    </row>
    <row r="45" spans="1:8" x14ac:dyDescent="0.25">
      <c r="A45" s="47"/>
      <c r="B45" s="48"/>
      <c r="C45" s="49"/>
      <c r="D45" s="49"/>
      <c r="E45" s="49"/>
      <c r="F45" s="49"/>
      <c r="G45" s="50"/>
      <c r="H45" s="51"/>
    </row>
    <row r="46" spans="1:8" x14ac:dyDescent="0.25">
      <c r="A46" s="47"/>
      <c r="B46" s="48"/>
      <c r="C46" s="49"/>
      <c r="D46" s="49"/>
      <c r="E46" s="49"/>
      <c r="F46" s="49"/>
      <c r="G46" s="50"/>
      <c r="H46" s="51"/>
    </row>
    <row r="47" spans="1:8" x14ac:dyDescent="0.25">
      <c r="A47" s="47"/>
      <c r="B47" s="48"/>
      <c r="C47" s="49"/>
      <c r="D47" s="49"/>
      <c r="E47" s="49"/>
      <c r="F47" s="49"/>
      <c r="G47" s="50"/>
      <c r="H47" s="51"/>
    </row>
    <row r="48" spans="1:8" x14ac:dyDescent="0.25">
      <c r="A48" s="47"/>
      <c r="B48" s="48"/>
      <c r="C48" s="49"/>
      <c r="D48" s="49"/>
      <c r="E48" s="49"/>
      <c r="F48" s="49"/>
      <c r="G48" s="50"/>
      <c r="H48" s="51"/>
    </row>
    <row r="49" spans="1:8" x14ac:dyDescent="0.25">
      <c r="A49" s="47"/>
      <c r="B49" s="48"/>
      <c r="C49" s="49"/>
      <c r="D49" s="49"/>
      <c r="E49" s="122"/>
      <c r="F49" s="49"/>
      <c r="G49" s="50"/>
      <c r="H49" s="51"/>
    </row>
    <row r="50" spans="1:8" x14ac:dyDescent="0.25">
      <c r="A50" s="47"/>
      <c r="B50" s="48"/>
      <c r="C50" s="49"/>
      <c r="D50" s="49"/>
      <c r="E50" s="49"/>
      <c r="F50" s="49"/>
      <c r="G50" s="50"/>
      <c r="H50" s="51"/>
    </row>
    <row r="51" spans="1:8" x14ac:dyDescent="0.25">
      <c r="A51" s="47"/>
      <c r="B51" s="48"/>
      <c r="C51" s="49"/>
      <c r="D51" s="49"/>
      <c r="E51" s="49"/>
      <c r="F51" s="49"/>
      <c r="G51" s="50"/>
      <c r="H51" s="51"/>
    </row>
    <row r="52" spans="1:8" x14ac:dyDescent="0.25">
      <c r="A52" s="47"/>
      <c r="B52" s="48"/>
      <c r="C52" s="49"/>
      <c r="D52" s="49"/>
      <c r="E52" s="49"/>
      <c r="F52" s="49"/>
      <c r="G52" s="50"/>
      <c r="H52" s="51"/>
    </row>
    <row r="53" spans="1:8" x14ac:dyDescent="0.25">
      <c r="A53" s="47"/>
      <c r="B53" s="48"/>
      <c r="C53" s="49"/>
      <c r="D53" s="49"/>
      <c r="E53" s="49"/>
      <c r="F53" s="49"/>
      <c r="G53" s="50"/>
      <c r="H53" s="51"/>
    </row>
    <row r="54" spans="1:8" x14ac:dyDescent="0.25">
      <c r="A54" s="47"/>
      <c r="B54" s="48"/>
      <c r="C54" s="49"/>
      <c r="D54" s="49"/>
      <c r="E54" s="49"/>
      <c r="F54" s="49"/>
      <c r="G54" s="50"/>
      <c r="H54" s="51"/>
    </row>
    <row r="55" spans="1:8" x14ac:dyDescent="0.25">
      <c r="A55" s="47"/>
      <c r="B55" s="48"/>
      <c r="C55" s="49"/>
      <c r="D55" s="49"/>
      <c r="E55" s="49"/>
      <c r="F55" s="49"/>
      <c r="G55" s="50"/>
      <c r="H55" s="51"/>
    </row>
    <row r="56" spans="1:8" x14ac:dyDescent="0.25">
      <c r="A56" s="47"/>
      <c r="B56" s="48"/>
      <c r="C56" s="49"/>
      <c r="D56" s="49"/>
      <c r="E56" s="49"/>
      <c r="F56" s="49"/>
      <c r="G56" s="50"/>
      <c r="H56" s="51"/>
    </row>
    <row r="57" spans="1:8" x14ac:dyDescent="0.25">
      <c r="A57" s="47"/>
      <c r="B57" s="48"/>
      <c r="C57" s="49"/>
      <c r="D57" s="49"/>
      <c r="E57" s="49"/>
      <c r="F57" s="49"/>
      <c r="G57" s="50"/>
      <c r="H57" s="51"/>
    </row>
    <row r="58" spans="1:8" x14ac:dyDescent="0.25">
      <c r="A58" s="47"/>
      <c r="B58" s="48"/>
      <c r="C58" s="49"/>
      <c r="D58" s="49"/>
      <c r="E58" s="49"/>
      <c r="F58" s="49"/>
      <c r="G58" s="50"/>
      <c r="H58" s="51"/>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H61" s="194">
        <v>10</v>
      </c>
    </row>
    <row r="62" spans="1:8" ht="12.75" customHeight="1" x14ac:dyDescent="0.25">
      <c r="A62" s="54" t="s">
        <v>244</v>
      </c>
      <c r="H62" s="195"/>
    </row>
    <row r="67" ht="12.75" customHeight="1" x14ac:dyDescent="0.25"/>
    <row r="68" ht="12.75" customHeight="1" x14ac:dyDescent="0.25"/>
  </sheetData>
  <mergeCells count="4">
    <mergeCell ref="G5:H5"/>
    <mergeCell ref="A7:A8"/>
    <mergeCell ref="C5:F5"/>
    <mergeCell ref="H61:H62"/>
  </mergeCells>
  <phoneticPr fontId="0" type="noConversion"/>
  <hyperlinks>
    <hyperlink ref="A2" location="Innhold!A24"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5" t="s">
        <v>0</v>
      </c>
      <c r="B2" s="2"/>
      <c r="C2" s="2"/>
      <c r="D2" s="2"/>
      <c r="E2" s="2"/>
      <c r="F2" s="2"/>
      <c r="G2" s="2"/>
    </row>
    <row r="3" spans="1:8" ht="6" customHeight="1" x14ac:dyDescent="0.25">
      <c r="A3" s="3"/>
      <c r="B3" s="2"/>
      <c r="C3" s="2"/>
      <c r="D3" s="2"/>
      <c r="E3" s="2"/>
      <c r="F3" s="2"/>
      <c r="G3" s="2"/>
    </row>
    <row r="4" spans="1:8" ht="16.2" thickBot="1" x14ac:dyDescent="0.35">
      <c r="A4" s="4" t="s">
        <v>146</v>
      </c>
      <c r="B4" s="5"/>
      <c r="C4" s="5"/>
      <c r="D4" s="5"/>
      <c r="E4" s="5"/>
      <c r="F4" s="5"/>
      <c r="G4" s="5"/>
      <c r="H4" s="6"/>
    </row>
    <row r="5" spans="1:8" x14ac:dyDescent="0.25">
      <c r="A5" s="7"/>
      <c r="B5" s="8"/>
      <c r="C5" s="9"/>
      <c r="D5" s="8"/>
      <c r="E5" s="10"/>
      <c r="F5" s="11"/>
      <c r="G5" s="197" t="s">
        <v>1</v>
      </c>
      <c r="H5" s="198"/>
    </row>
    <row r="6" spans="1:8" x14ac:dyDescent="0.25">
      <c r="A6" s="12"/>
      <c r="B6" s="13"/>
      <c r="C6" s="14" t="s">
        <v>236</v>
      </c>
      <c r="D6" s="15" t="s">
        <v>237</v>
      </c>
      <c r="E6" s="15" t="s">
        <v>238</v>
      </c>
      <c r="F6" s="16"/>
      <c r="G6" s="17" t="s">
        <v>239</v>
      </c>
      <c r="H6" s="18" t="s">
        <v>240</v>
      </c>
    </row>
    <row r="7" spans="1:8" x14ac:dyDescent="0.25">
      <c r="A7" s="199" t="s">
        <v>26</v>
      </c>
      <c r="B7" s="19" t="s">
        <v>3</v>
      </c>
      <c r="C7" s="20">
        <v>783055.35323620203</v>
      </c>
      <c r="D7" s="20">
        <v>783732.42342834198</v>
      </c>
      <c r="E7" s="21">
        <v>831866.42306690325</v>
      </c>
      <c r="F7" s="22" t="s">
        <v>241</v>
      </c>
      <c r="G7" s="23">
        <v>6.2334124438298488</v>
      </c>
      <c r="H7" s="24">
        <v>6.1416368903056195</v>
      </c>
    </row>
    <row r="8" spans="1:8" x14ac:dyDescent="0.25">
      <c r="A8" s="200"/>
      <c r="B8" s="25" t="s">
        <v>242</v>
      </c>
      <c r="C8" s="26">
        <v>394142</v>
      </c>
      <c r="D8" s="26">
        <v>408114.52316890901</v>
      </c>
      <c r="E8" s="26">
        <v>428246.61249568098</v>
      </c>
      <c r="F8" s="27"/>
      <c r="G8" s="28">
        <v>8.6528744705413203</v>
      </c>
      <c r="H8" s="29">
        <v>4.93295096936302</v>
      </c>
    </row>
    <row r="9" spans="1:8" x14ac:dyDescent="0.25">
      <c r="A9" s="30" t="s">
        <v>28</v>
      </c>
      <c r="B9" s="31" t="s">
        <v>3</v>
      </c>
      <c r="C9" s="20">
        <v>717531.35323620203</v>
      </c>
      <c r="D9" s="20">
        <v>716230.75919024704</v>
      </c>
      <c r="E9" s="21">
        <v>765400.96476890752</v>
      </c>
      <c r="F9" s="22" t="s">
        <v>241</v>
      </c>
      <c r="G9" s="32">
        <v>6.6714313342273357</v>
      </c>
      <c r="H9" s="33">
        <v>6.8651345879435723</v>
      </c>
    </row>
    <row r="10" spans="1:8" x14ac:dyDescent="0.25">
      <c r="A10" s="34"/>
      <c r="B10" s="25" t="s">
        <v>242</v>
      </c>
      <c r="C10" s="26">
        <v>359319</v>
      </c>
      <c r="D10" s="26">
        <v>374042.41853512701</v>
      </c>
      <c r="E10" s="26">
        <v>394089.88968551601</v>
      </c>
      <c r="F10" s="27"/>
      <c r="G10" s="35">
        <v>9.6768859107133238</v>
      </c>
      <c r="H10" s="29">
        <v>5.3596785169183363</v>
      </c>
    </row>
    <row r="11" spans="1:8" x14ac:dyDescent="0.25">
      <c r="A11" s="30" t="s">
        <v>29</v>
      </c>
      <c r="B11" s="31" t="s">
        <v>3</v>
      </c>
      <c r="C11" s="20">
        <v>33203</v>
      </c>
      <c r="D11" s="20">
        <v>34516.146404762003</v>
      </c>
      <c r="E11" s="21">
        <v>34671.411187703306</v>
      </c>
      <c r="F11" s="22" t="s">
        <v>241</v>
      </c>
      <c r="G11" s="37">
        <v>4.4225256383559071</v>
      </c>
      <c r="H11" s="33">
        <v>0.4498323223008498</v>
      </c>
    </row>
    <row r="12" spans="1:8" x14ac:dyDescent="0.25">
      <c r="A12" s="34"/>
      <c r="B12" s="25" t="s">
        <v>242</v>
      </c>
      <c r="C12" s="26">
        <v>16983</v>
      </c>
      <c r="D12" s="26">
        <v>18173.052316891</v>
      </c>
      <c r="E12" s="26">
        <v>18077.861405082</v>
      </c>
      <c r="F12" s="27"/>
      <c r="G12" s="28">
        <v>6.4468080143790871</v>
      </c>
      <c r="H12" s="29">
        <v>-0.52380255198255554</v>
      </c>
    </row>
    <row r="13" spans="1:8" x14ac:dyDescent="0.25">
      <c r="A13" s="30" t="s">
        <v>27</v>
      </c>
      <c r="B13" s="31" t="s">
        <v>3</v>
      </c>
      <c r="C13" s="20">
        <v>8788</v>
      </c>
      <c r="D13" s="20">
        <v>8654.8519285710008</v>
      </c>
      <c r="E13" s="21">
        <v>9042.1338398049938</v>
      </c>
      <c r="F13" s="22" t="s">
        <v>241</v>
      </c>
      <c r="G13" s="23">
        <v>2.8918279449817277</v>
      </c>
      <c r="H13" s="24">
        <v>4.4747375741405477</v>
      </c>
    </row>
    <row r="14" spans="1:8" x14ac:dyDescent="0.25">
      <c r="A14" s="34"/>
      <c r="B14" s="25" t="s">
        <v>242</v>
      </c>
      <c r="C14" s="26">
        <v>3796</v>
      </c>
      <c r="D14" s="26">
        <v>3609.315695067</v>
      </c>
      <c r="E14" s="26">
        <v>3814.7584215249999</v>
      </c>
      <c r="F14" s="27"/>
      <c r="G14" s="38">
        <v>0.49416284312432879</v>
      </c>
      <c r="H14" s="24">
        <v>5.6920132184277179</v>
      </c>
    </row>
    <row r="15" spans="1:8" x14ac:dyDescent="0.25">
      <c r="A15" s="30" t="s">
        <v>30</v>
      </c>
      <c r="B15" s="31" t="s">
        <v>3</v>
      </c>
      <c r="C15" s="20">
        <v>11190</v>
      </c>
      <c r="D15" s="20">
        <v>11511.665904762</v>
      </c>
      <c r="E15" s="21">
        <v>12080.299350125177</v>
      </c>
      <c r="F15" s="22" t="s">
        <v>241</v>
      </c>
      <c r="G15" s="37">
        <v>7.9562050949524235</v>
      </c>
      <c r="H15" s="33">
        <v>4.9396277660208341</v>
      </c>
    </row>
    <row r="16" spans="1:8" x14ac:dyDescent="0.25">
      <c r="A16" s="34"/>
      <c r="B16" s="25" t="s">
        <v>242</v>
      </c>
      <c r="C16" s="26">
        <v>5874</v>
      </c>
      <c r="D16" s="26">
        <v>6031.420926756</v>
      </c>
      <c r="E16" s="26">
        <v>6333.3445620330003</v>
      </c>
      <c r="F16" s="27"/>
      <c r="G16" s="28">
        <v>7.8199619004596599</v>
      </c>
      <c r="H16" s="29">
        <v>5.0058458685520861</v>
      </c>
    </row>
    <row r="17" spans="1:9" x14ac:dyDescent="0.25">
      <c r="A17" s="30" t="s">
        <v>31</v>
      </c>
      <c r="B17" s="31" t="s">
        <v>3</v>
      </c>
      <c r="C17" s="20">
        <v>12343</v>
      </c>
      <c r="D17" s="20">
        <v>12819</v>
      </c>
      <c r="E17" s="21">
        <v>11085.379251028313</v>
      </c>
      <c r="F17" s="22" t="s">
        <v>241</v>
      </c>
      <c r="G17" s="37">
        <v>-10.188939066448086</v>
      </c>
      <c r="H17" s="33">
        <v>-13.523837654822429</v>
      </c>
    </row>
    <row r="18" spans="1:9" ht="13.8" thickBot="1" x14ac:dyDescent="0.3">
      <c r="A18" s="56"/>
      <c r="B18" s="42" t="s">
        <v>242</v>
      </c>
      <c r="C18" s="43">
        <v>8170</v>
      </c>
      <c r="D18" s="43">
        <v>6258.315695067</v>
      </c>
      <c r="E18" s="43">
        <v>5930.7584215249999</v>
      </c>
      <c r="F18" s="44"/>
      <c r="G18" s="57">
        <v>-27.408097655752755</v>
      </c>
      <c r="H18" s="46">
        <v>-5.2339525441356614</v>
      </c>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32</v>
      </c>
      <c r="B32" s="5"/>
      <c r="C32" s="5"/>
      <c r="D32" s="5"/>
      <c r="E32" s="5"/>
      <c r="F32" s="5"/>
      <c r="G32" s="5"/>
      <c r="H32" s="6"/>
    </row>
    <row r="33" spans="1:9" x14ac:dyDescent="0.25">
      <c r="A33" s="7"/>
      <c r="B33" s="8"/>
      <c r="C33" s="203" t="s">
        <v>16</v>
      </c>
      <c r="D33" s="197"/>
      <c r="E33" s="197"/>
      <c r="F33" s="204"/>
      <c r="G33" s="197" t="s">
        <v>1</v>
      </c>
      <c r="H33" s="198"/>
    </row>
    <row r="34" spans="1:9" x14ac:dyDescent="0.25">
      <c r="A34" s="12"/>
      <c r="B34" s="13"/>
      <c r="C34" s="14" t="s">
        <v>236</v>
      </c>
      <c r="D34" s="15" t="s">
        <v>237</v>
      </c>
      <c r="E34" s="15" t="s">
        <v>238</v>
      </c>
      <c r="F34" s="16"/>
      <c r="G34" s="17" t="s">
        <v>239</v>
      </c>
      <c r="H34" s="18" t="s">
        <v>240</v>
      </c>
    </row>
    <row r="35" spans="1:9" ht="12.75" customHeight="1" x14ac:dyDescent="0.25">
      <c r="A35" s="199" t="s">
        <v>26</v>
      </c>
      <c r="B35" s="19" t="s">
        <v>3</v>
      </c>
      <c r="C35" s="80">
        <v>12623.975699097</v>
      </c>
      <c r="D35" s="80">
        <v>11956.755135713</v>
      </c>
      <c r="E35" s="83">
        <v>12574.917706480663</v>
      </c>
      <c r="F35" s="22" t="s">
        <v>241</v>
      </c>
      <c r="G35" s="23">
        <v>-0.38860968830799436</v>
      </c>
      <c r="H35" s="24">
        <v>5.1699860351016582</v>
      </c>
    </row>
    <row r="36" spans="1:9" ht="12.75" customHeight="1" x14ac:dyDescent="0.25">
      <c r="A36" s="200"/>
      <c r="B36" s="25" t="s">
        <v>242</v>
      </c>
      <c r="C36" s="82">
        <v>6567.0007654219999</v>
      </c>
      <c r="D36" s="82">
        <v>6678.7100736089997</v>
      </c>
      <c r="E36" s="82">
        <v>6855.4397291160003</v>
      </c>
      <c r="F36" s="27"/>
      <c r="G36" s="28">
        <v>4.3922480596127116</v>
      </c>
      <c r="H36" s="29">
        <v>2.646164507205512</v>
      </c>
    </row>
    <row r="37" spans="1:9" x14ac:dyDescent="0.25">
      <c r="A37" s="30" t="s">
        <v>28</v>
      </c>
      <c r="B37" s="31" t="s">
        <v>3</v>
      </c>
      <c r="C37" s="80">
        <v>10502.614219315001</v>
      </c>
      <c r="D37" s="80">
        <v>9841.7234037479993</v>
      </c>
      <c r="E37" s="83">
        <v>10473.792684704671</v>
      </c>
      <c r="F37" s="22" t="s">
        <v>241</v>
      </c>
      <c r="G37" s="32">
        <v>-0.27442248195049501</v>
      </c>
      <c r="H37" s="33">
        <v>6.422343476102597</v>
      </c>
    </row>
    <row r="38" spans="1:9" x14ac:dyDescent="0.25">
      <c r="A38" s="34"/>
      <c r="B38" s="25" t="s">
        <v>242</v>
      </c>
      <c r="C38" s="82">
        <v>5510.2070211589999</v>
      </c>
      <c r="D38" s="82">
        <v>5627.5051154479997</v>
      </c>
      <c r="E38" s="82">
        <v>5814.7349713929998</v>
      </c>
      <c r="F38" s="27"/>
      <c r="G38" s="35">
        <v>5.526615407817232</v>
      </c>
      <c r="H38" s="29">
        <v>3.3270490582236505</v>
      </c>
    </row>
    <row r="39" spans="1:9" x14ac:dyDescent="0.25">
      <c r="A39" s="30" t="s">
        <v>29</v>
      </c>
      <c r="B39" s="31" t="s">
        <v>3</v>
      </c>
      <c r="C39" s="80">
        <v>999.78531446399995</v>
      </c>
      <c r="D39" s="80">
        <v>945.74782281</v>
      </c>
      <c r="E39" s="83">
        <v>963.23340658456243</v>
      </c>
      <c r="F39" s="22" t="s">
        <v>241</v>
      </c>
      <c r="G39" s="37">
        <v>-3.6559756730407287</v>
      </c>
      <c r="H39" s="33">
        <v>1.8488632331829677</v>
      </c>
    </row>
    <row r="40" spans="1:9" x14ac:dyDescent="0.25">
      <c r="A40" s="34"/>
      <c r="B40" s="25" t="s">
        <v>242</v>
      </c>
      <c r="C40" s="82">
        <v>497.33199241599999</v>
      </c>
      <c r="D40" s="82">
        <v>503.49370183299999</v>
      </c>
      <c r="E40" s="82">
        <v>501.07172931700001</v>
      </c>
      <c r="F40" s="27"/>
      <c r="G40" s="28">
        <v>0.75195984936190996</v>
      </c>
      <c r="H40" s="29">
        <v>-0.48103332915241026</v>
      </c>
    </row>
    <row r="41" spans="1:9" x14ac:dyDescent="0.25">
      <c r="A41" s="30" t="s">
        <v>27</v>
      </c>
      <c r="B41" s="31" t="s">
        <v>3</v>
      </c>
      <c r="C41" s="80">
        <v>261.28511093200001</v>
      </c>
      <c r="D41" s="80">
        <v>310.81555923600001</v>
      </c>
      <c r="E41" s="83">
        <v>251.62607950824287</v>
      </c>
      <c r="F41" s="22" t="s">
        <v>241</v>
      </c>
      <c r="G41" s="23">
        <v>-3.6967400818605824</v>
      </c>
      <c r="H41" s="24">
        <v>-19.043280803975122</v>
      </c>
    </row>
    <row r="42" spans="1:9" x14ac:dyDescent="0.25">
      <c r="A42" s="34"/>
      <c r="B42" s="25" t="s">
        <v>242</v>
      </c>
      <c r="C42" s="82">
        <v>122.585024308</v>
      </c>
      <c r="D42" s="82">
        <v>128.718532275</v>
      </c>
      <c r="E42" s="82">
        <v>108.44637422</v>
      </c>
      <c r="F42" s="27"/>
      <c r="G42" s="38">
        <v>-11.533749875087565</v>
      </c>
      <c r="H42" s="24">
        <v>-15.749214737540413</v>
      </c>
    </row>
    <row r="43" spans="1:9" x14ac:dyDescent="0.25">
      <c r="A43" s="30" t="s">
        <v>30</v>
      </c>
      <c r="B43" s="31" t="s">
        <v>3</v>
      </c>
      <c r="C43" s="80">
        <v>534.2553805</v>
      </c>
      <c r="D43" s="80">
        <v>549.290368758</v>
      </c>
      <c r="E43" s="83">
        <v>554.142243207364</v>
      </c>
      <c r="F43" s="22" t="s">
        <v>241</v>
      </c>
      <c r="G43" s="37">
        <v>3.7223514134293367</v>
      </c>
      <c r="H43" s="33">
        <v>0.88329865683509468</v>
      </c>
    </row>
    <row r="44" spans="1:9" x14ac:dyDescent="0.25">
      <c r="A44" s="34"/>
      <c r="B44" s="25" t="s">
        <v>242</v>
      </c>
      <c r="C44" s="82">
        <v>259.90143961000001</v>
      </c>
      <c r="D44" s="82">
        <v>272.80547952900002</v>
      </c>
      <c r="E44" s="82">
        <v>273.30937222900002</v>
      </c>
      <c r="F44" s="27"/>
      <c r="G44" s="28">
        <v>5.1588527709271403</v>
      </c>
      <c r="H44" s="29">
        <v>0.1847076902084126</v>
      </c>
    </row>
    <row r="45" spans="1:9" x14ac:dyDescent="0.25">
      <c r="A45" s="30" t="s">
        <v>31</v>
      </c>
      <c r="B45" s="31" t="s">
        <v>3</v>
      </c>
      <c r="C45" s="80">
        <v>326.03567388599998</v>
      </c>
      <c r="D45" s="80">
        <v>309.17798116199998</v>
      </c>
      <c r="E45" s="83">
        <v>319.55186290731831</v>
      </c>
      <c r="F45" s="22" t="s">
        <v>241</v>
      </c>
      <c r="G45" s="37">
        <v>-1.9886814535972377</v>
      </c>
      <c r="H45" s="33">
        <v>3.3553106551539145</v>
      </c>
    </row>
    <row r="46" spans="1:9" ht="13.8" thickBot="1" x14ac:dyDescent="0.3">
      <c r="A46" s="56"/>
      <c r="B46" s="42" t="s">
        <v>242</v>
      </c>
      <c r="C46" s="86">
        <v>176.975287928</v>
      </c>
      <c r="D46" s="86">
        <v>146.18724452399999</v>
      </c>
      <c r="E46" s="86">
        <v>157.87728195700001</v>
      </c>
      <c r="F46" s="44"/>
      <c r="G46" s="57">
        <v>-10.791340528158798</v>
      </c>
      <c r="H46" s="46">
        <v>7.99661931590812</v>
      </c>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121"/>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58"/>
      <c r="B58" s="58"/>
      <c r="C58" s="64"/>
      <c r="D58" s="64"/>
      <c r="E58" s="21"/>
      <c r="F58" s="59"/>
      <c r="G58" s="38"/>
      <c r="H58" s="60"/>
      <c r="I58" s="61"/>
    </row>
    <row r="59" spans="1:9" x14ac:dyDescent="0.25">
      <c r="A59" s="65"/>
      <c r="B59" s="62"/>
      <c r="C59" s="21"/>
      <c r="D59" s="21"/>
      <c r="E59" s="21"/>
      <c r="F59" s="63"/>
      <c r="G59" s="38"/>
      <c r="H59" s="60"/>
      <c r="I59" s="61"/>
    </row>
    <row r="60" spans="1:9" x14ac:dyDescent="0.25">
      <c r="A60" s="52"/>
      <c r="B60" s="52"/>
      <c r="C60" s="52"/>
      <c r="D60" s="52"/>
      <c r="E60" s="52"/>
      <c r="F60" s="52"/>
      <c r="G60" s="52"/>
      <c r="H60" s="52"/>
    </row>
    <row r="61" spans="1:9" ht="12.75" customHeight="1" x14ac:dyDescent="0.25">
      <c r="A61" s="54" t="s">
        <v>243</v>
      </c>
      <c r="G61" s="53"/>
      <c r="H61" s="202">
        <v>11</v>
      </c>
    </row>
    <row r="62" spans="1:9" ht="12.75" customHeight="1" x14ac:dyDescent="0.25">
      <c r="A62" s="54" t="s">
        <v>244</v>
      </c>
      <c r="G62" s="53"/>
      <c r="H62" s="195"/>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2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5" t="s">
        <v>0</v>
      </c>
      <c r="B2" s="2"/>
      <c r="C2" s="2"/>
      <c r="D2" s="2"/>
      <c r="E2" s="2"/>
      <c r="F2" s="2"/>
      <c r="G2" s="2"/>
    </row>
    <row r="3" spans="1:8" ht="6" customHeight="1" x14ac:dyDescent="0.25">
      <c r="A3" s="3"/>
      <c r="B3" s="2"/>
      <c r="C3" s="2"/>
      <c r="D3" s="2"/>
      <c r="E3" s="2"/>
      <c r="F3" s="2"/>
      <c r="G3" s="2"/>
    </row>
    <row r="4" spans="1:8" ht="16.2" thickBot="1" x14ac:dyDescent="0.35">
      <c r="A4" s="4" t="s">
        <v>147</v>
      </c>
      <c r="B4" s="5"/>
      <c r="C4" s="5"/>
      <c r="D4" s="5"/>
      <c r="E4" s="5"/>
      <c r="F4" s="5"/>
      <c r="G4" s="5"/>
      <c r="H4" s="6"/>
    </row>
    <row r="5" spans="1:8" x14ac:dyDescent="0.25">
      <c r="A5" s="7"/>
      <c r="B5" s="8"/>
      <c r="C5" s="9"/>
      <c r="D5" s="8"/>
      <c r="E5" s="10"/>
      <c r="F5" s="11"/>
      <c r="G5" s="197" t="s">
        <v>1</v>
      </c>
      <c r="H5" s="198"/>
    </row>
    <row r="6" spans="1:8" x14ac:dyDescent="0.25">
      <c r="A6" s="12"/>
      <c r="B6" s="13"/>
      <c r="C6" s="14" t="s">
        <v>236</v>
      </c>
      <c r="D6" s="15" t="s">
        <v>237</v>
      </c>
      <c r="E6" s="15" t="s">
        <v>238</v>
      </c>
      <c r="F6" s="16"/>
      <c r="G6" s="17" t="s">
        <v>239</v>
      </c>
      <c r="H6" s="18" t="s">
        <v>240</v>
      </c>
    </row>
    <row r="7" spans="1:8" ht="12.75" customHeight="1" x14ac:dyDescent="0.25">
      <c r="A7" s="199" t="s">
        <v>26</v>
      </c>
      <c r="B7" s="19" t="s">
        <v>3</v>
      </c>
      <c r="C7" s="20">
        <v>783055.35323620203</v>
      </c>
      <c r="D7" s="20">
        <v>783732.42342834198</v>
      </c>
      <c r="E7" s="21">
        <v>831866.42306690325</v>
      </c>
      <c r="F7" s="22" t="s">
        <v>241</v>
      </c>
      <c r="G7" s="23">
        <v>6.2334124438298488</v>
      </c>
      <c r="H7" s="24">
        <v>6.1416368903056195</v>
      </c>
    </row>
    <row r="8" spans="1:8" ht="12.75" customHeight="1" x14ac:dyDescent="0.25">
      <c r="A8" s="200"/>
      <c r="B8" s="25" t="s">
        <v>242</v>
      </c>
      <c r="C8" s="26">
        <v>394142</v>
      </c>
      <c r="D8" s="26">
        <v>408114.52316890901</v>
      </c>
      <c r="E8" s="26">
        <v>428246.61249568098</v>
      </c>
      <c r="F8" s="27"/>
      <c r="G8" s="28">
        <v>8.6528744705413203</v>
      </c>
      <c r="H8" s="29">
        <v>4.93295096936302</v>
      </c>
    </row>
    <row r="9" spans="1:8" x14ac:dyDescent="0.25">
      <c r="A9" s="30" t="s">
        <v>34</v>
      </c>
      <c r="B9" s="31" t="s">
        <v>3</v>
      </c>
      <c r="C9" s="20">
        <v>11411</v>
      </c>
      <c r="D9" s="20">
        <v>10374.36</v>
      </c>
      <c r="E9" s="21">
        <v>10987.627549474317</v>
      </c>
      <c r="F9" s="22" t="s">
        <v>241</v>
      </c>
      <c r="G9" s="32">
        <v>-3.7102133951948417</v>
      </c>
      <c r="H9" s="33">
        <v>5.9113771786820166</v>
      </c>
    </row>
    <row r="10" spans="1:8" x14ac:dyDescent="0.25">
      <c r="A10" s="34"/>
      <c r="B10" s="25" t="s">
        <v>242</v>
      </c>
      <c r="C10" s="26">
        <v>5722</v>
      </c>
      <c r="D10" s="26">
        <v>5211.6049999999996</v>
      </c>
      <c r="E10" s="26">
        <v>5516.3516</v>
      </c>
      <c r="F10" s="27"/>
      <c r="G10" s="35">
        <v>-3.5939951066060871</v>
      </c>
      <c r="H10" s="29">
        <v>5.8474615785348476</v>
      </c>
    </row>
    <row r="11" spans="1:8" x14ac:dyDescent="0.25">
      <c r="A11" s="30" t="s">
        <v>35</v>
      </c>
      <c r="B11" s="31" t="s">
        <v>3</v>
      </c>
      <c r="C11" s="20">
        <v>4110</v>
      </c>
      <c r="D11" s="20">
        <v>3596.4288000000001</v>
      </c>
      <c r="E11" s="21">
        <v>3666.1173443299172</v>
      </c>
      <c r="F11" s="22" t="s">
        <v>241</v>
      </c>
      <c r="G11" s="37">
        <v>-10.800064614843862</v>
      </c>
      <c r="H11" s="33">
        <v>1.9377151114438078</v>
      </c>
    </row>
    <row r="12" spans="1:8" x14ac:dyDescent="0.25">
      <c r="A12" s="34"/>
      <c r="B12" s="25" t="s">
        <v>242</v>
      </c>
      <c r="C12" s="26">
        <v>2150</v>
      </c>
      <c r="D12" s="26">
        <v>1783.4084</v>
      </c>
      <c r="E12" s="26">
        <v>1850.0681279999999</v>
      </c>
      <c r="F12" s="27"/>
      <c r="G12" s="28">
        <v>-13.950319627906978</v>
      </c>
      <c r="H12" s="29">
        <v>3.7377713371766106</v>
      </c>
    </row>
    <row r="13" spans="1:8" x14ac:dyDescent="0.25">
      <c r="A13" s="30" t="s">
        <v>36</v>
      </c>
      <c r="B13" s="31" t="s">
        <v>3</v>
      </c>
      <c r="C13" s="20">
        <v>149580</v>
      </c>
      <c r="D13" s="20">
        <v>154955.770666667</v>
      </c>
      <c r="E13" s="21">
        <v>162043.33781351533</v>
      </c>
      <c r="F13" s="22" t="s">
        <v>241</v>
      </c>
      <c r="G13" s="23">
        <v>8.3322220975500301</v>
      </c>
      <c r="H13" s="24">
        <v>4.5739291388474612</v>
      </c>
    </row>
    <row r="14" spans="1:8" x14ac:dyDescent="0.25">
      <c r="A14" s="34"/>
      <c r="B14" s="25" t="s">
        <v>242</v>
      </c>
      <c r="C14" s="26">
        <v>75261</v>
      </c>
      <c r="D14" s="26">
        <v>78348.988666667006</v>
      </c>
      <c r="E14" s="26">
        <v>81798.611573332993</v>
      </c>
      <c r="F14" s="27"/>
      <c r="G14" s="38">
        <v>8.6865861114428355</v>
      </c>
      <c r="H14" s="24">
        <v>4.4028939816215029</v>
      </c>
    </row>
    <row r="15" spans="1:8" x14ac:dyDescent="0.25">
      <c r="A15" s="30" t="s">
        <v>18</v>
      </c>
      <c r="B15" s="31" t="s">
        <v>3</v>
      </c>
      <c r="C15" s="20">
        <v>3451</v>
      </c>
      <c r="D15" s="20">
        <v>3159.1634285710002</v>
      </c>
      <c r="E15" s="21">
        <v>3429.7951538950356</v>
      </c>
      <c r="F15" s="22" t="s">
        <v>241</v>
      </c>
      <c r="G15" s="37">
        <v>-0.61445511750115145</v>
      </c>
      <c r="H15" s="33">
        <v>8.5665629981811975</v>
      </c>
    </row>
    <row r="16" spans="1:8" x14ac:dyDescent="0.25">
      <c r="A16" s="34"/>
      <c r="B16" s="25" t="s">
        <v>242</v>
      </c>
      <c r="C16" s="26">
        <v>1834</v>
      </c>
      <c r="D16" s="26">
        <v>1574.0060000000001</v>
      </c>
      <c r="E16" s="26">
        <v>1745.1915200000001</v>
      </c>
      <c r="F16" s="27"/>
      <c r="G16" s="28">
        <v>-4.8423380588876768</v>
      </c>
      <c r="H16" s="29">
        <v>10.875785733980692</v>
      </c>
    </row>
    <row r="17" spans="1:9" x14ac:dyDescent="0.25">
      <c r="A17" s="30" t="s">
        <v>37</v>
      </c>
      <c r="B17" s="31" t="s">
        <v>3</v>
      </c>
      <c r="C17" s="20">
        <v>4973</v>
      </c>
      <c r="D17" s="20">
        <v>4523.6432000000004</v>
      </c>
      <c r="E17" s="21">
        <v>3582.2528355647833</v>
      </c>
      <c r="F17" s="22" t="s">
        <v>241</v>
      </c>
      <c r="G17" s="37">
        <v>-27.965959469841479</v>
      </c>
      <c r="H17" s="33">
        <v>-20.810446863608007</v>
      </c>
    </row>
    <row r="18" spans="1:9" x14ac:dyDescent="0.25">
      <c r="A18" s="34"/>
      <c r="B18" s="25" t="s">
        <v>242</v>
      </c>
      <c r="C18" s="26">
        <v>2357</v>
      </c>
      <c r="D18" s="26">
        <v>2134.1125999999999</v>
      </c>
      <c r="E18" s="26">
        <v>1692.6021920000001</v>
      </c>
      <c r="F18" s="27"/>
      <c r="G18" s="28">
        <v>-28.188282053457783</v>
      </c>
      <c r="H18" s="29">
        <v>-20.688243347609685</v>
      </c>
    </row>
    <row r="19" spans="1:9" x14ac:dyDescent="0.25">
      <c r="A19" s="30" t="s">
        <v>38</v>
      </c>
      <c r="B19" s="31" t="s">
        <v>3</v>
      </c>
      <c r="C19" s="20">
        <v>5924</v>
      </c>
      <c r="D19" s="20">
        <v>5706.3813333329999</v>
      </c>
      <c r="E19" s="21">
        <v>4458.9025110993962</v>
      </c>
      <c r="F19" s="22" t="s">
        <v>241</v>
      </c>
      <c r="G19" s="23">
        <v>-24.731557881509175</v>
      </c>
      <c r="H19" s="24">
        <v>-21.861119146500727</v>
      </c>
    </row>
    <row r="20" spans="1:9" x14ac:dyDescent="0.25">
      <c r="A20" s="30"/>
      <c r="B20" s="25" t="s">
        <v>242</v>
      </c>
      <c r="C20" s="26">
        <v>2878</v>
      </c>
      <c r="D20" s="26">
        <v>2724.3473333329998</v>
      </c>
      <c r="E20" s="26">
        <v>2141.1135466669998</v>
      </c>
      <c r="F20" s="27"/>
      <c r="G20" s="38">
        <v>-25.604115821160534</v>
      </c>
      <c r="H20" s="24">
        <v>-21.408202233614048</v>
      </c>
    </row>
    <row r="21" spans="1:9" x14ac:dyDescent="0.25">
      <c r="A21" s="39" t="s">
        <v>39</v>
      </c>
      <c r="B21" s="31" t="s">
        <v>3</v>
      </c>
      <c r="C21" s="20">
        <v>232256</v>
      </c>
      <c r="D21" s="20">
        <v>237578.008</v>
      </c>
      <c r="E21" s="21">
        <v>249075.82006478438</v>
      </c>
      <c r="F21" s="22" t="s">
        <v>241</v>
      </c>
      <c r="G21" s="37">
        <v>7.2419313450607916</v>
      </c>
      <c r="H21" s="33">
        <v>4.839594439559562</v>
      </c>
    </row>
    <row r="22" spans="1:9" x14ac:dyDescent="0.25">
      <c r="A22" s="34"/>
      <c r="B22" s="25" t="s">
        <v>242</v>
      </c>
      <c r="C22" s="26">
        <v>126572</v>
      </c>
      <c r="D22" s="26">
        <v>132554.29399999999</v>
      </c>
      <c r="E22" s="26">
        <v>137875.38448000001</v>
      </c>
      <c r="F22" s="27"/>
      <c r="G22" s="28">
        <v>8.9303988875896891</v>
      </c>
      <c r="H22" s="29">
        <v>4.0142724308878286</v>
      </c>
    </row>
    <row r="23" spans="1:9" x14ac:dyDescent="0.25">
      <c r="A23" s="39" t="s">
        <v>40</v>
      </c>
      <c r="B23" s="31" t="s">
        <v>3</v>
      </c>
      <c r="C23" s="20">
        <v>171062.35323620201</v>
      </c>
      <c r="D23" s="20">
        <v>175910.12266620799</v>
      </c>
      <c r="E23" s="21">
        <v>183428.3740762629</v>
      </c>
      <c r="F23" s="22" t="s">
        <v>241</v>
      </c>
      <c r="G23" s="23">
        <v>7.2289551769382854</v>
      </c>
      <c r="H23" s="24">
        <v>4.2739163023158824</v>
      </c>
    </row>
    <row r="24" spans="1:9" x14ac:dyDescent="0.25">
      <c r="A24" s="34"/>
      <c r="B24" s="25" t="s">
        <v>242</v>
      </c>
      <c r="C24" s="26">
        <v>88072.476983920002</v>
      </c>
      <c r="D24" s="26">
        <v>87544.42</v>
      </c>
      <c r="E24" s="26">
        <v>92313.403289716996</v>
      </c>
      <c r="F24" s="27"/>
      <c r="G24" s="38">
        <v>4.8152685731449196</v>
      </c>
      <c r="H24" s="24">
        <v>5.447501153947897</v>
      </c>
    </row>
    <row r="25" spans="1:9" x14ac:dyDescent="0.25">
      <c r="A25" s="30" t="s">
        <v>41</v>
      </c>
      <c r="B25" s="31" t="s">
        <v>3</v>
      </c>
      <c r="C25" s="20">
        <v>257888</v>
      </c>
      <c r="D25" s="20">
        <v>264970.76</v>
      </c>
      <c r="E25" s="21">
        <v>262078.28193089808</v>
      </c>
      <c r="F25" s="22" t="s">
        <v>241</v>
      </c>
      <c r="G25" s="37">
        <v>1.6248456426425832</v>
      </c>
      <c r="H25" s="33">
        <v>-1.0916216072678822</v>
      </c>
    </row>
    <row r="26" spans="1:9" x14ac:dyDescent="0.25">
      <c r="A26" s="34"/>
      <c r="B26" s="25" t="s">
        <v>242</v>
      </c>
      <c r="C26" s="26">
        <v>128318</v>
      </c>
      <c r="D26" s="26">
        <v>135105.61749999999</v>
      </c>
      <c r="E26" s="26">
        <v>132537.23060000001</v>
      </c>
      <c r="F26" s="27"/>
      <c r="G26" s="28">
        <v>3.2881050203400974</v>
      </c>
      <c r="H26" s="29">
        <v>-1.9010215470870406</v>
      </c>
    </row>
    <row r="27" spans="1:9" x14ac:dyDescent="0.25">
      <c r="A27" s="30" t="s">
        <v>24</v>
      </c>
      <c r="B27" s="31" t="s">
        <v>3</v>
      </c>
      <c r="C27" s="20">
        <v>176845</v>
      </c>
      <c r="D27" s="20">
        <v>188967.626666667</v>
      </c>
      <c r="E27" s="21">
        <v>199584.06786459879</v>
      </c>
      <c r="F27" s="22" t="s">
        <v>241</v>
      </c>
      <c r="G27" s="23">
        <v>12.858190994712189</v>
      </c>
      <c r="H27" s="24">
        <v>5.6181269697898557</v>
      </c>
    </row>
    <row r="28" spans="1:9" ht="13.8" thickBot="1" x14ac:dyDescent="0.3">
      <c r="A28" s="56"/>
      <c r="B28" s="42" t="s">
        <v>242</v>
      </c>
      <c r="C28" s="43">
        <v>81380</v>
      </c>
      <c r="D28" s="43">
        <v>95045.946666667005</v>
      </c>
      <c r="E28" s="43">
        <v>97367.270933332999</v>
      </c>
      <c r="F28" s="44"/>
      <c r="G28" s="57">
        <v>19.645208814614151</v>
      </c>
      <c r="H28" s="46">
        <v>2.4423180031096337</v>
      </c>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33</v>
      </c>
      <c r="B32" s="5"/>
      <c r="C32" s="5"/>
      <c r="D32" s="5"/>
      <c r="E32" s="5"/>
      <c r="F32" s="5"/>
      <c r="G32" s="5"/>
      <c r="H32" s="6"/>
    </row>
    <row r="33" spans="1:8" x14ac:dyDescent="0.25">
      <c r="A33" s="7"/>
      <c r="B33" s="8"/>
      <c r="C33" s="203" t="s">
        <v>16</v>
      </c>
      <c r="D33" s="197"/>
      <c r="E33" s="197"/>
      <c r="F33" s="204"/>
      <c r="G33" s="197" t="s">
        <v>1</v>
      </c>
      <c r="H33" s="198"/>
    </row>
    <row r="34" spans="1:8" x14ac:dyDescent="0.25">
      <c r="A34" s="12"/>
      <c r="B34" s="13"/>
      <c r="C34" s="14" t="s">
        <v>236</v>
      </c>
      <c r="D34" s="15" t="s">
        <v>237</v>
      </c>
      <c r="E34" s="15" t="s">
        <v>238</v>
      </c>
      <c r="F34" s="16"/>
      <c r="G34" s="17" t="s">
        <v>239</v>
      </c>
      <c r="H34" s="18" t="s">
        <v>240</v>
      </c>
    </row>
    <row r="35" spans="1:8" ht="12.75" customHeight="1" x14ac:dyDescent="0.25">
      <c r="A35" s="199" t="s">
        <v>26</v>
      </c>
      <c r="B35" s="19" t="s">
        <v>3</v>
      </c>
      <c r="C35" s="80">
        <v>12623.975699097</v>
      </c>
      <c r="D35" s="80">
        <v>11956.755135713</v>
      </c>
      <c r="E35" s="83">
        <v>12574.917706480663</v>
      </c>
      <c r="F35" s="22" t="s">
        <v>241</v>
      </c>
      <c r="G35" s="23">
        <v>-0.38860968830799436</v>
      </c>
      <c r="H35" s="24">
        <v>5.1699860351016582</v>
      </c>
    </row>
    <row r="36" spans="1:8" ht="12.75" customHeight="1" x14ac:dyDescent="0.25">
      <c r="A36" s="200"/>
      <c r="B36" s="25" t="s">
        <v>242</v>
      </c>
      <c r="C36" s="82">
        <v>6567.0007654219999</v>
      </c>
      <c r="D36" s="82">
        <v>6678.7100736089997</v>
      </c>
      <c r="E36" s="82">
        <v>6855.4397291160003</v>
      </c>
      <c r="F36" s="27"/>
      <c r="G36" s="28">
        <v>4.3922480596127116</v>
      </c>
      <c r="H36" s="29">
        <v>2.646164507205512</v>
      </c>
    </row>
    <row r="37" spans="1:8" x14ac:dyDescent="0.25">
      <c r="A37" s="30" t="s">
        <v>34</v>
      </c>
      <c r="B37" s="31" t="s">
        <v>3</v>
      </c>
      <c r="C37" s="84">
        <v>1871.226720527</v>
      </c>
      <c r="D37" s="84">
        <v>1319.5820462839999</v>
      </c>
      <c r="E37" s="83">
        <v>1246.9772435741154</v>
      </c>
      <c r="F37" s="22" t="s">
        <v>241</v>
      </c>
      <c r="G37" s="32">
        <v>-33.360440512364804</v>
      </c>
      <c r="H37" s="33">
        <v>-5.5021059822951344</v>
      </c>
    </row>
    <row r="38" spans="1:8" x14ac:dyDescent="0.25">
      <c r="A38" s="34"/>
      <c r="B38" s="25" t="s">
        <v>242</v>
      </c>
      <c r="C38" s="82">
        <v>986.269317538</v>
      </c>
      <c r="D38" s="82">
        <v>928.503778979</v>
      </c>
      <c r="E38" s="82">
        <v>789.28248065599996</v>
      </c>
      <c r="F38" s="27"/>
      <c r="G38" s="35">
        <v>-19.972925587276052</v>
      </c>
      <c r="H38" s="29">
        <v>-14.994155271623171</v>
      </c>
    </row>
    <row r="39" spans="1:8" x14ac:dyDescent="0.25">
      <c r="A39" s="30" t="s">
        <v>35</v>
      </c>
      <c r="B39" s="31" t="s">
        <v>3</v>
      </c>
      <c r="C39" s="84">
        <v>55.670048815000001</v>
      </c>
      <c r="D39" s="84">
        <v>47.751041209999997</v>
      </c>
      <c r="E39" s="83">
        <v>39.719784271050678</v>
      </c>
      <c r="F39" s="22" t="s">
        <v>241</v>
      </c>
      <c r="G39" s="37">
        <v>-28.651429060093818</v>
      </c>
      <c r="H39" s="33">
        <v>-16.819019513374329</v>
      </c>
    </row>
    <row r="40" spans="1:8" x14ac:dyDescent="0.25">
      <c r="A40" s="34"/>
      <c r="B40" s="25" t="s">
        <v>242</v>
      </c>
      <c r="C40" s="82">
        <v>37.850455994999997</v>
      </c>
      <c r="D40" s="82">
        <v>34.146290077000003</v>
      </c>
      <c r="E40" s="82">
        <v>27.921601794000001</v>
      </c>
      <c r="F40" s="27"/>
      <c r="G40" s="28">
        <v>-26.231795469813065</v>
      </c>
      <c r="H40" s="29">
        <v>-18.229471690667737</v>
      </c>
    </row>
    <row r="41" spans="1:8" x14ac:dyDescent="0.25">
      <c r="A41" s="30" t="s">
        <v>36</v>
      </c>
      <c r="B41" s="31" t="s">
        <v>3</v>
      </c>
      <c r="C41" s="84">
        <v>2476.9249229030002</v>
      </c>
      <c r="D41" s="84">
        <v>2456.5618422779999</v>
      </c>
      <c r="E41" s="83">
        <v>2601.4177431569337</v>
      </c>
      <c r="F41" s="22" t="s">
        <v>241</v>
      </c>
      <c r="G41" s="23">
        <v>5.0261039041920412</v>
      </c>
      <c r="H41" s="24">
        <v>5.8966926207975092</v>
      </c>
    </row>
    <row r="42" spans="1:8" x14ac:dyDescent="0.25">
      <c r="A42" s="34"/>
      <c r="B42" s="25" t="s">
        <v>242</v>
      </c>
      <c r="C42" s="82">
        <v>1242.2089133510001</v>
      </c>
      <c r="D42" s="82">
        <v>1291.594409351</v>
      </c>
      <c r="E42" s="82">
        <v>1346.050693383</v>
      </c>
      <c r="F42" s="27"/>
      <c r="G42" s="38">
        <v>8.3594457354097358</v>
      </c>
      <c r="H42" s="24">
        <v>4.2162062360863786</v>
      </c>
    </row>
    <row r="43" spans="1:8" x14ac:dyDescent="0.25">
      <c r="A43" s="30" t="s">
        <v>18</v>
      </c>
      <c r="B43" s="31" t="s">
        <v>3</v>
      </c>
      <c r="C43" s="84">
        <v>221.26991658099999</v>
      </c>
      <c r="D43" s="84">
        <v>194.72224163300001</v>
      </c>
      <c r="E43" s="83">
        <v>192.17765794269457</v>
      </c>
      <c r="F43" s="22" t="s">
        <v>241</v>
      </c>
      <c r="G43" s="37">
        <v>-13.147859902435343</v>
      </c>
      <c r="H43" s="33">
        <v>-1.3067760872953187</v>
      </c>
    </row>
    <row r="44" spans="1:8" x14ac:dyDescent="0.25">
      <c r="A44" s="34"/>
      <c r="B44" s="25" t="s">
        <v>242</v>
      </c>
      <c r="C44" s="82">
        <v>120.847808482</v>
      </c>
      <c r="D44" s="82">
        <v>100.37597523399999</v>
      </c>
      <c r="E44" s="82">
        <v>100.954190002</v>
      </c>
      <c r="F44" s="27"/>
      <c r="G44" s="28">
        <v>-16.46171223945953</v>
      </c>
      <c r="H44" s="29">
        <v>0.57604896655006144</v>
      </c>
    </row>
    <row r="45" spans="1:8" x14ac:dyDescent="0.25">
      <c r="A45" s="30" t="s">
        <v>37</v>
      </c>
      <c r="B45" s="31" t="s">
        <v>3</v>
      </c>
      <c r="C45" s="84">
        <v>192.07964608699999</v>
      </c>
      <c r="D45" s="84">
        <v>168.51131024700001</v>
      </c>
      <c r="E45" s="83">
        <v>131.11493544262979</v>
      </c>
      <c r="F45" s="22" t="s">
        <v>241</v>
      </c>
      <c r="G45" s="37">
        <v>-31.739287262512462</v>
      </c>
      <c r="H45" s="33">
        <v>-22.192204635733631</v>
      </c>
    </row>
    <row r="46" spans="1:8" x14ac:dyDescent="0.25">
      <c r="A46" s="34"/>
      <c r="B46" s="25" t="s">
        <v>242</v>
      </c>
      <c r="C46" s="82">
        <v>87.915349453000005</v>
      </c>
      <c r="D46" s="82">
        <v>83.566612255999999</v>
      </c>
      <c r="E46" s="82">
        <v>63.261022515999997</v>
      </c>
      <c r="F46" s="27"/>
      <c r="G46" s="28">
        <v>-28.043256485240192</v>
      </c>
      <c r="H46" s="29">
        <v>-24.298687229051907</v>
      </c>
    </row>
    <row r="47" spans="1:8" x14ac:dyDescent="0.25">
      <c r="A47" s="30" t="s">
        <v>38</v>
      </c>
      <c r="B47" s="31" t="s">
        <v>3</v>
      </c>
      <c r="C47" s="84">
        <v>79.424079148000004</v>
      </c>
      <c r="D47" s="84">
        <v>77.686620947999998</v>
      </c>
      <c r="E47" s="83">
        <v>62.127179377742145</v>
      </c>
      <c r="F47" s="22" t="s">
        <v>241</v>
      </c>
      <c r="G47" s="23">
        <v>-21.777904076201565</v>
      </c>
      <c r="H47" s="24">
        <v>-20.028469999580309</v>
      </c>
    </row>
    <row r="48" spans="1:8" x14ac:dyDescent="0.25">
      <c r="A48" s="30"/>
      <c r="B48" s="25" t="s">
        <v>242</v>
      </c>
      <c r="C48" s="82">
        <v>43.648797405000003</v>
      </c>
      <c r="D48" s="82">
        <v>39.203868931000002</v>
      </c>
      <c r="E48" s="82">
        <v>32.230168055</v>
      </c>
      <c r="F48" s="27"/>
      <c r="G48" s="38">
        <v>-26.160238148261087</v>
      </c>
      <c r="H48" s="24">
        <v>-17.788297599591331</v>
      </c>
    </row>
    <row r="49" spans="1:9" x14ac:dyDescent="0.25">
      <c r="A49" s="39" t="s">
        <v>39</v>
      </c>
      <c r="B49" s="31" t="s">
        <v>3</v>
      </c>
      <c r="C49" s="84">
        <v>1413.4321085219999</v>
      </c>
      <c r="D49" s="84">
        <v>1361.081784921</v>
      </c>
      <c r="E49" s="83">
        <v>1457.6982027546192</v>
      </c>
      <c r="F49" s="22" t="s">
        <v>241</v>
      </c>
      <c r="G49" s="37">
        <v>3.1318160925965799</v>
      </c>
      <c r="H49" s="33">
        <v>7.0985020080352541</v>
      </c>
    </row>
    <row r="50" spans="1:9" x14ac:dyDescent="0.25">
      <c r="A50" s="34"/>
      <c r="B50" s="25" t="s">
        <v>242</v>
      </c>
      <c r="C50" s="82">
        <v>747.48192637299996</v>
      </c>
      <c r="D50" s="82">
        <v>761.78507246900006</v>
      </c>
      <c r="E50" s="82">
        <v>800.29901959899996</v>
      </c>
      <c r="F50" s="27"/>
      <c r="G50" s="28">
        <v>7.0660027169197122</v>
      </c>
      <c r="H50" s="29">
        <v>5.0557497806006353</v>
      </c>
    </row>
    <row r="51" spans="1:9" x14ac:dyDescent="0.25">
      <c r="A51" s="39" t="s">
        <v>40</v>
      </c>
      <c r="B51" s="31" t="s">
        <v>3</v>
      </c>
      <c r="C51" s="84">
        <v>516.95530979900002</v>
      </c>
      <c r="D51" s="84">
        <v>509.45798247300002</v>
      </c>
      <c r="E51" s="83">
        <v>655.87392595383005</v>
      </c>
      <c r="F51" s="22" t="s">
        <v>241</v>
      </c>
      <c r="G51" s="23">
        <v>26.872461414284274</v>
      </c>
      <c r="H51" s="24">
        <v>28.739552331695904</v>
      </c>
    </row>
    <row r="52" spans="1:9" x14ac:dyDescent="0.25">
      <c r="A52" s="34"/>
      <c r="B52" s="25" t="s">
        <v>242</v>
      </c>
      <c r="C52" s="82">
        <v>263.031724467</v>
      </c>
      <c r="D52" s="82">
        <v>271.30876662399999</v>
      </c>
      <c r="E52" s="82">
        <v>343.93383920899998</v>
      </c>
      <c r="F52" s="27"/>
      <c r="G52" s="38">
        <v>30.757550217920567</v>
      </c>
      <c r="H52" s="24">
        <v>26.768420898705884</v>
      </c>
    </row>
    <row r="53" spans="1:9" x14ac:dyDescent="0.25">
      <c r="A53" s="30" t="s">
        <v>41</v>
      </c>
      <c r="B53" s="31" t="s">
        <v>3</v>
      </c>
      <c r="C53" s="84">
        <v>5163.9192047639999</v>
      </c>
      <c r="D53" s="84">
        <v>5167.8049845570004</v>
      </c>
      <c r="E53" s="83">
        <v>5548.336648062269</v>
      </c>
      <c r="F53" s="22" t="s">
        <v>241</v>
      </c>
      <c r="G53" s="37">
        <v>7.4442962419633147</v>
      </c>
      <c r="H53" s="33">
        <v>7.3635066462920804</v>
      </c>
    </row>
    <row r="54" spans="1:9" x14ac:dyDescent="0.25">
      <c r="A54" s="34"/>
      <c r="B54" s="25" t="s">
        <v>242</v>
      </c>
      <c r="C54" s="82">
        <v>2727.8372537179998</v>
      </c>
      <c r="D54" s="82">
        <v>2842.3659101650001</v>
      </c>
      <c r="E54" s="82">
        <v>3010.3203150260001</v>
      </c>
      <c r="F54" s="27"/>
      <c r="G54" s="28">
        <v>10.355568717414513</v>
      </c>
      <c r="H54" s="29">
        <v>5.9089649316561861</v>
      </c>
    </row>
    <row r="55" spans="1:9" x14ac:dyDescent="0.25">
      <c r="A55" s="30" t="s">
        <v>24</v>
      </c>
      <c r="B55" s="31" t="s">
        <v>3</v>
      </c>
      <c r="C55" s="84">
        <v>633.07374195099999</v>
      </c>
      <c r="D55" s="84">
        <v>653.59528116299998</v>
      </c>
      <c r="E55" s="83">
        <v>688.54700044698438</v>
      </c>
      <c r="F55" s="22" t="s">
        <v>241</v>
      </c>
      <c r="G55" s="23">
        <v>8.7625271465260113</v>
      </c>
      <c r="H55" s="24">
        <v>5.3476088783553877</v>
      </c>
    </row>
    <row r="56" spans="1:9" ht="13.8" thickBot="1" x14ac:dyDescent="0.3">
      <c r="A56" s="56"/>
      <c r="B56" s="42" t="s">
        <v>242</v>
      </c>
      <c r="C56" s="86">
        <v>309.909218641</v>
      </c>
      <c r="D56" s="86">
        <v>325.85938952599997</v>
      </c>
      <c r="E56" s="86">
        <v>341.186398876</v>
      </c>
      <c r="F56" s="44"/>
      <c r="G56" s="57">
        <v>10.09236845943316</v>
      </c>
      <c r="H56" s="46">
        <v>4.7035653544600819</v>
      </c>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c r="I59" s="61"/>
    </row>
    <row r="60" spans="1:9" x14ac:dyDescent="0.25">
      <c r="A60" s="52"/>
      <c r="B60" s="52"/>
      <c r="C60" s="52"/>
      <c r="D60" s="52"/>
      <c r="E60" s="52"/>
      <c r="F60" s="52"/>
      <c r="G60" s="52"/>
      <c r="H60" s="52"/>
    </row>
    <row r="61" spans="1:9" ht="12.75" customHeight="1" x14ac:dyDescent="0.25">
      <c r="A61" s="54" t="s">
        <v>243</v>
      </c>
      <c r="H61" s="194">
        <v>12</v>
      </c>
    </row>
    <row r="62" spans="1:9" ht="12.75" customHeight="1" x14ac:dyDescent="0.25">
      <c r="A62" s="54" t="s">
        <v>244</v>
      </c>
      <c r="H62" s="195"/>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2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5" t="s">
        <v>0</v>
      </c>
      <c r="B2" s="2"/>
      <c r="C2" s="2"/>
      <c r="D2" s="2"/>
      <c r="E2" s="2"/>
      <c r="F2" s="2"/>
      <c r="G2" s="2"/>
    </row>
    <row r="3" spans="1:8" ht="6" customHeight="1" x14ac:dyDescent="0.25">
      <c r="A3" s="3"/>
      <c r="B3" s="2"/>
      <c r="C3" s="2"/>
      <c r="D3" s="2"/>
      <c r="E3" s="2"/>
      <c r="F3" s="2"/>
      <c r="G3" s="2"/>
    </row>
    <row r="4" spans="1:8" ht="16.2" thickBot="1" x14ac:dyDescent="0.35">
      <c r="A4" s="4" t="s">
        <v>148</v>
      </c>
      <c r="B4" s="5"/>
      <c r="C4" s="5"/>
      <c r="D4" s="5"/>
      <c r="E4" s="5"/>
      <c r="F4" s="5"/>
      <c r="G4" s="5"/>
      <c r="H4" s="6"/>
    </row>
    <row r="5" spans="1:8" x14ac:dyDescent="0.25">
      <c r="A5" s="7"/>
      <c r="B5" s="8"/>
      <c r="C5" s="9"/>
      <c r="D5" s="8"/>
      <c r="E5" s="10"/>
      <c r="F5" s="11"/>
      <c r="G5" s="197" t="s">
        <v>1</v>
      </c>
      <c r="H5" s="198"/>
    </row>
    <row r="6" spans="1:8" x14ac:dyDescent="0.25">
      <c r="A6" s="12"/>
      <c r="B6" s="13"/>
      <c r="C6" s="14" t="s">
        <v>236</v>
      </c>
      <c r="D6" s="15" t="s">
        <v>237</v>
      </c>
      <c r="E6" s="15" t="s">
        <v>238</v>
      </c>
      <c r="F6" s="16"/>
      <c r="G6" s="17" t="s">
        <v>239</v>
      </c>
      <c r="H6" s="18" t="s">
        <v>240</v>
      </c>
    </row>
    <row r="7" spans="1:8" x14ac:dyDescent="0.25">
      <c r="A7" s="199" t="s">
        <v>17</v>
      </c>
      <c r="B7" s="19" t="s">
        <v>3</v>
      </c>
      <c r="C7" s="20">
        <v>296649</v>
      </c>
      <c r="D7" s="20">
        <v>305854.777466667</v>
      </c>
      <c r="E7" s="21">
        <v>335060.48962466634</v>
      </c>
      <c r="F7" s="22" t="s">
        <v>241</v>
      </c>
      <c r="G7" s="23">
        <v>12.948464220228729</v>
      </c>
      <c r="H7" s="24">
        <v>9.5488821197773319</v>
      </c>
    </row>
    <row r="8" spans="1:8" x14ac:dyDescent="0.25">
      <c r="A8" s="200"/>
      <c r="B8" s="25" t="s">
        <v>242</v>
      </c>
      <c r="C8" s="26">
        <v>133279</v>
      </c>
      <c r="D8" s="26">
        <v>141526.10151903599</v>
      </c>
      <c r="E8" s="26">
        <v>153509.38964753499</v>
      </c>
      <c r="F8" s="27"/>
      <c r="G8" s="28">
        <v>15.178977669051392</v>
      </c>
      <c r="H8" s="29">
        <v>8.467192977040483</v>
      </c>
    </row>
    <row r="9" spans="1:8" x14ac:dyDescent="0.25">
      <c r="A9" s="30" t="s">
        <v>18</v>
      </c>
      <c r="B9" s="31" t="s">
        <v>3</v>
      </c>
      <c r="C9" s="20">
        <v>38637</v>
      </c>
      <c r="D9" s="20">
        <v>25038.106800000001</v>
      </c>
      <c r="E9" s="21">
        <v>24965.797812508499</v>
      </c>
      <c r="F9" s="22" t="s">
        <v>241</v>
      </c>
      <c r="G9" s="32">
        <v>-35.383705224244892</v>
      </c>
      <c r="H9" s="33">
        <v>-0.28879574669559815</v>
      </c>
    </row>
    <row r="10" spans="1:8" x14ac:dyDescent="0.25">
      <c r="A10" s="34"/>
      <c r="B10" s="25" t="s">
        <v>242</v>
      </c>
      <c r="C10" s="26">
        <v>10621</v>
      </c>
      <c r="D10" s="26">
        <v>12109.458539130001</v>
      </c>
      <c r="E10" s="26">
        <v>9635.4716260869991</v>
      </c>
      <c r="F10" s="27"/>
      <c r="G10" s="35">
        <v>-9.2790544573298206</v>
      </c>
      <c r="H10" s="29">
        <v>-20.430202597817754</v>
      </c>
    </row>
    <row r="11" spans="1:8" x14ac:dyDescent="0.25">
      <c r="A11" s="30" t="s">
        <v>19</v>
      </c>
      <c r="B11" s="31" t="s">
        <v>3</v>
      </c>
      <c r="C11" s="20">
        <v>59334</v>
      </c>
      <c r="D11" s="20">
        <v>57478.356</v>
      </c>
      <c r="E11" s="21">
        <v>66148.275414141171</v>
      </c>
      <c r="F11" s="22" t="s">
        <v>241</v>
      </c>
      <c r="G11" s="37">
        <v>11.48460480355476</v>
      </c>
      <c r="H11" s="33">
        <v>15.083798524337013</v>
      </c>
    </row>
    <row r="12" spans="1:8" x14ac:dyDescent="0.25">
      <c r="A12" s="34"/>
      <c r="B12" s="25" t="s">
        <v>242</v>
      </c>
      <c r="C12" s="26">
        <v>27318</v>
      </c>
      <c r="D12" s="26">
        <v>26178.195130435</v>
      </c>
      <c r="E12" s="26">
        <v>30235.572086957</v>
      </c>
      <c r="F12" s="27"/>
      <c r="G12" s="28">
        <v>10.680035459978782</v>
      </c>
      <c r="H12" s="29">
        <v>15.499070643739145</v>
      </c>
    </row>
    <row r="13" spans="1:8" x14ac:dyDescent="0.25">
      <c r="A13" s="30" t="s">
        <v>20</v>
      </c>
      <c r="B13" s="31" t="s">
        <v>3</v>
      </c>
      <c r="C13" s="20">
        <v>37089</v>
      </c>
      <c r="D13" s="20">
        <v>33529.788571429002</v>
      </c>
      <c r="E13" s="21">
        <v>32149.829771678978</v>
      </c>
      <c r="F13" s="22" t="s">
        <v>241</v>
      </c>
      <c r="G13" s="23">
        <v>-13.317075759176632</v>
      </c>
      <c r="H13" s="24">
        <v>-4.1156203440122425</v>
      </c>
    </row>
    <row r="14" spans="1:8" x14ac:dyDescent="0.25">
      <c r="A14" s="34"/>
      <c r="B14" s="25" t="s">
        <v>242</v>
      </c>
      <c r="C14" s="26">
        <v>17597</v>
      </c>
      <c r="D14" s="26">
        <v>15392.950062112001</v>
      </c>
      <c r="E14" s="26">
        <v>14920.558136645999</v>
      </c>
      <c r="F14" s="27"/>
      <c r="G14" s="38">
        <v>-15.209648595521969</v>
      </c>
      <c r="H14" s="24">
        <v>-3.0688849347256735</v>
      </c>
    </row>
    <row r="15" spans="1:8" x14ac:dyDescent="0.25">
      <c r="A15" s="30" t="s">
        <v>21</v>
      </c>
      <c r="B15" s="31" t="s">
        <v>3</v>
      </c>
      <c r="C15" s="20">
        <v>4933</v>
      </c>
      <c r="D15" s="20">
        <v>4967.9383333329997</v>
      </c>
      <c r="E15" s="21">
        <v>5302.3888959794485</v>
      </c>
      <c r="F15" s="22" t="s">
        <v>241</v>
      </c>
      <c r="G15" s="37">
        <v>7.4881187103070772</v>
      </c>
      <c r="H15" s="33">
        <v>6.7321802366670198</v>
      </c>
    </row>
    <row r="16" spans="1:8" x14ac:dyDescent="0.25">
      <c r="A16" s="34"/>
      <c r="B16" s="25" t="s">
        <v>242</v>
      </c>
      <c r="C16" s="26">
        <v>2414</v>
      </c>
      <c r="D16" s="26">
        <v>2438.6937681159998</v>
      </c>
      <c r="E16" s="26">
        <v>2600.162789855</v>
      </c>
      <c r="F16" s="27"/>
      <c r="G16" s="28">
        <v>7.7117974256421036</v>
      </c>
      <c r="H16" s="29">
        <v>6.621127418705882</v>
      </c>
    </row>
    <row r="17" spans="1:8" x14ac:dyDescent="0.25">
      <c r="A17" s="30" t="s">
        <v>22</v>
      </c>
      <c r="B17" s="31" t="s">
        <v>3</v>
      </c>
      <c r="C17" s="20">
        <v>6603</v>
      </c>
      <c r="D17" s="20">
        <v>5735.9383333329997</v>
      </c>
      <c r="E17" s="21">
        <v>5473.0794693436765</v>
      </c>
      <c r="F17" s="22" t="s">
        <v>241</v>
      </c>
      <c r="G17" s="37">
        <v>-17.112229753995507</v>
      </c>
      <c r="H17" s="33">
        <v>-4.5826654457176375</v>
      </c>
    </row>
    <row r="18" spans="1:8" x14ac:dyDescent="0.25">
      <c r="A18" s="34"/>
      <c r="B18" s="25" t="s">
        <v>242</v>
      </c>
      <c r="C18" s="26">
        <v>2418</v>
      </c>
      <c r="D18" s="26">
        <v>2582.6937681159998</v>
      </c>
      <c r="E18" s="26">
        <v>2289.162789855</v>
      </c>
      <c r="F18" s="27"/>
      <c r="G18" s="28">
        <v>-5.3282551755583114</v>
      </c>
      <c r="H18" s="29">
        <v>-11.365303230476371</v>
      </c>
    </row>
    <row r="19" spans="1:8" x14ac:dyDescent="0.25">
      <c r="A19" s="30" t="s">
        <v>190</v>
      </c>
      <c r="B19" s="31" t="s">
        <v>3</v>
      </c>
      <c r="C19" s="20">
        <v>100920</v>
      </c>
      <c r="D19" s="20">
        <v>117767.47142857101</v>
      </c>
      <c r="E19" s="21">
        <v>138650.91216401046</v>
      </c>
      <c r="F19" s="22" t="s">
        <v>241</v>
      </c>
      <c r="G19" s="23">
        <v>37.386952203736087</v>
      </c>
      <c r="H19" s="24">
        <v>17.732775003245109</v>
      </c>
    </row>
    <row r="20" spans="1:8" x14ac:dyDescent="0.25">
      <c r="A20" s="30"/>
      <c r="B20" s="25" t="s">
        <v>242</v>
      </c>
      <c r="C20" s="26">
        <v>49221</v>
      </c>
      <c r="D20" s="26">
        <v>53895.375155280002</v>
      </c>
      <c r="E20" s="26">
        <v>64784.395341615003</v>
      </c>
      <c r="F20" s="27"/>
      <c r="G20" s="38">
        <v>31.619421266563052</v>
      </c>
      <c r="H20" s="24">
        <v>20.203997383749964</v>
      </c>
    </row>
    <row r="21" spans="1:8" x14ac:dyDescent="0.25">
      <c r="A21" s="39" t="s">
        <v>12</v>
      </c>
      <c r="B21" s="31" t="s">
        <v>3</v>
      </c>
      <c r="C21" s="20">
        <v>2013</v>
      </c>
      <c r="D21" s="20">
        <v>1933.3630000000001</v>
      </c>
      <c r="E21" s="21">
        <v>1695.9010324346773</v>
      </c>
      <c r="F21" s="22" t="s">
        <v>241</v>
      </c>
      <c r="G21" s="37">
        <v>-15.752556759330488</v>
      </c>
      <c r="H21" s="33">
        <v>-12.28232709353199</v>
      </c>
    </row>
    <row r="22" spans="1:8" x14ac:dyDescent="0.25">
      <c r="A22" s="34"/>
      <c r="B22" s="25" t="s">
        <v>242</v>
      </c>
      <c r="C22" s="26">
        <v>954</v>
      </c>
      <c r="D22" s="26">
        <v>907.01626087</v>
      </c>
      <c r="E22" s="26">
        <v>798.29767391300004</v>
      </c>
      <c r="F22" s="27"/>
      <c r="G22" s="28">
        <v>-16.320998541614244</v>
      </c>
      <c r="H22" s="29">
        <v>-11.986398882498349</v>
      </c>
    </row>
    <row r="23" spans="1:8" x14ac:dyDescent="0.25">
      <c r="A23" s="39" t="s">
        <v>23</v>
      </c>
      <c r="B23" s="31" t="s">
        <v>3</v>
      </c>
      <c r="C23" s="20">
        <v>11293</v>
      </c>
      <c r="D23" s="20">
        <v>11701.938333333001</v>
      </c>
      <c r="E23" s="21">
        <v>12127.536576179235</v>
      </c>
      <c r="F23" s="22" t="s">
        <v>241</v>
      </c>
      <c r="G23" s="23">
        <v>7.3898572228746673</v>
      </c>
      <c r="H23" s="24">
        <v>3.6369892809460254</v>
      </c>
    </row>
    <row r="24" spans="1:8" x14ac:dyDescent="0.25">
      <c r="A24" s="34"/>
      <c r="B24" s="25" t="s">
        <v>242</v>
      </c>
      <c r="C24" s="26">
        <v>5805</v>
      </c>
      <c r="D24" s="26">
        <v>5588.6937681159998</v>
      </c>
      <c r="E24" s="26">
        <v>5932.1627898549996</v>
      </c>
      <c r="F24" s="27"/>
      <c r="G24" s="28">
        <v>2.190573468647699</v>
      </c>
      <c r="H24" s="29">
        <v>6.1457835406642118</v>
      </c>
    </row>
    <row r="25" spans="1:8" x14ac:dyDescent="0.25">
      <c r="A25" s="30" t="s">
        <v>24</v>
      </c>
      <c r="B25" s="31" t="s">
        <v>3</v>
      </c>
      <c r="C25" s="20">
        <v>41291</v>
      </c>
      <c r="D25" s="20">
        <v>54000.876666666998</v>
      </c>
      <c r="E25" s="21">
        <v>53010.153358835189</v>
      </c>
      <c r="F25" s="22" t="s">
        <v>241</v>
      </c>
      <c r="G25" s="23">
        <v>28.381858901056376</v>
      </c>
      <c r="H25" s="24">
        <v>-1.8346430076446296</v>
      </c>
    </row>
    <row r="26" spans="1:8" ht="13.8" thickBot="1" x14ac:dyDescent="0.3">
      <c r="A26" s="41"/>
      <c r="B26" s="42" t="s">
        <v>242</v>
      </c>
      <c r="C26" s="43">
        <v>19351</v>
      </c>
      <c r="D26" s="43">
        <v>25167.387536232</v>
      </c>
      <c r="E26" s="43">
        <v>24751.325579709999</v>
      </c>
      <c r="F26" s="44"/>
      <c r="G26" s="45">
        <v>27.907217093225142</v>
      </c>
      <c r="H26" s="46">
        <v>-1.6531789639390269</v>
      </c>
    </row>
    <row r="31" spans="1:8" x14ac:dyDescent="0.25">
      <c r="A31" s="47"/>
      <c r="B31" s="48"/>
      <c r="C31" s="49"/>
      <c r="D31" s="55"/>
      <c r="E31" s="49"/>
      <c r="F31" s="49"/>
      <c r="G31" s="50"/>
      <c r="H31" s="51"/>
    </row>
    <row r="32" spans="1:8" ht="16.2" thickBot="1" x14ac:dyDescent="0.35">
      <c r="A32" s="4" t="s">
        <v>25</v>
      </c>
      <c r="B32" s="5"/>
      <c r="C32" s="5"/>
      <c r="D32" s="5"/>
      <c r="E32" s="5"/>
      <c r="F32" s="5"/>
      <c r="G32" s="5"/>
      <c r="H32" s="6"/>
    </row>
    <row r="33" spans="1:8" x14ac:dyDescent="0.25">
      <c r="A33" s="7"/>
      <c r="B33" s="8"/>
      <c r="C33" s="203" t="s">
        <v>16</v>
      </c>
      <c r="D33" s="197"/>
      <c r="E33" s="197"/>
      <c r="F33" s="204"/>
      <c r="G33" s="197" t="s">
        <v>1</v>
      </c>
      <c r="H33" s="198"/>
    </row>
    <row r="34" spans="1:8" x14ac:dyDescent="0.25">
      <c r="A34" s="12"/>
      <c r="B34" s="13"/>
      <c r="C34" s="14" t="s">
        <v>236</v>
      </c>
      <c r="D34" s="15" t="s">
        <v>237</v>
      </c>
      <c r="E34" s="15" t="s">
        <v>238</v>
      </c>
      <c r="F34" s="16"/>
      <c r="G34" s="17" t="s">
        <v>239</v>
      </c>
      <c r="H34" s="18" t="s">
        <v>240</v>
      </c>
    </row>
    <row r="35" spans="1:8" x14ac:dyDescent="0.25">
      <c r="A35" s="199" t="s">
        <v>17</v>
      </c>
      <c r="B35" s="19" t="s">
        <v>3</v>
      </c>
      <c r="C35" s="80">
        <v>6807.4207896280004</v>
      </c>
      <c r="D35" s="80">
        <v>6790.1078110569997</v>
      </c>
      <c r="E35" s="83">
        <v>6914.4281150125198</v>
      </c>
      <c r="F35" s="22" t="s">
        <v>241</v>
      </c>
      <c r="G35" s="23">
        <v>1.5719217114881161</v>
      </c>
      <c r="H35" s="24">
        <v>1.8309032406389321</v>
      </c>
    </row>
    <row r="36" spans="1:8" x14ac:dyDescent="0.25">
      <c r="A36" s="200"/>
      <c r="B36" s="25" t="s">
        <v>242</v>
      </c>
      <c r="C36" s="82">
        <v>3399.6073315620001</v>
      </c>
      <c r="D36" s="82">
        <v>3306.1813925329998</v>
      </c>
      <c r="E36" s="82">
        <v>3395.008061944</v>
      </c>
      <c r="F36" s="27"/>
      <c r="G36" s="28">
        <v>-0.13528826036173314</v>
      </c>
      <c r="H36" s="29">
        <v>2.6866846934537421</v>
      </c>
    </row>
    <row r="37" spans="1:8" x14ac:dyDescent="0.25">
      <c r="A37" s="30" t="s">
        <v>18</v>
      </c>
      <c r="B37" s="31" t="s">
        <v>3</v>
      </c>
      <c r="C37" s="80">
        <v>2830.8001216910002</v>
      </c>
      <c r="D37" s="80">
        <v>2564.4249916889999</v>
      </c>
      <c r="E37" s="83">
        <v>2398.3006087538524</v>
      </c>
      <c r="F37" s="22" t="s">
        <v>241</v>
      </c>
      <c r="G37" s="32">
        <v>-15.278348676867765</v>
      </c>
      <c r="H37" s="33">
        <v>-6.4780363423978855</v>
      </c>
    </row>
    <row r="38" spans="1:8" x14ac:dyDescent="0.25">
      <c r="A38" s="34"/>
      <c r="B38" s="25" t="s">
        <v>242</v>
      </c>
      <c r="C38" s="82">
        <v>1508.510118183</v>
      </c>
      <c r="D38" s="82">
        <v>1368.797364733</v>
      </c>
      <c r="E38" s="82">
        <v>1279.428249975</v>
      </c>
      <c r="F38" s="27"/>
      <c r="G38" s="35">
        <v>-15.185968290615719</v>
      </c>
      <c r="H38" s="29">
        <v>-6.52902446049292</v>
      </c>
    </row>
    <row r="39" spans="1:8" x14ac:dyDescent="0.25">
      <c r="A39" s="30" t="s">
        <v>19</v>
      </c>
      <c r="B39" s="31" t="s">
        <v>3</v>
      </c>
      <c r="C39" s="80">
        <v>2120.99150964</v>
      </c>
      <c r="D39" s="80">
        <v>2088.270554571</v>
      </c>
      <c r="E39" s="83">
        <v>2550.7463257723011</v>
      </c>
      <c r="F39" s="22" t="s">
        <v>241</v>
      </c>
      <c r="G39" s="37">
        <v>20.261977201655284</v>
      </c>
      <c r="H39" s="33">
        <v>22.146353124071567</v>
      </c>
    </row>
    <row r="40" spans="1:8" x14ac:dyDescent="0.25">
      <c r="A40" s="34"/>
      <c r="B40" s="25" t="s">
        <v>242</v>
      </c>
      <c r="C40" s="82">
        <v>931.21095586800004</v>
      </c>
      <c r="D40" s="82">
        <v>915.39273333999995</v>
      </c>
      <c r="E40" s="82">
        <v>1118.709504791</v>
      </c>
      <c r="F40" s="27"/>
      <c r="G40" s="28">
        <v>20.134916555854815</v>
      </c>
      <c r="H40" s="29">
        <v>22.210878898847781</v>
      </c>
    </row>
    <row r="41" spans="1:8" x14ac:dyDescent="0.25">
      <c r="A41" s="30" t="s">
        <v>20</v>
      </c>
      <c r="B41" s="31" t="s">
        <v>3</v>
      </c>
      <c r="C41" s="80">
        <v>485.46638707900001</v>
      </c>
      <c r="D41" s="80">
        <v>448.54219735800001</v>
      </c>
      <c r="E41" s="83">
        <v>407.52709588173951</v>
      </c>
      <c r="F41" s="22" t="s">
        <v>241</v>
      </c>
      <c r="G41" s="23">
        <v>-16.054518556107041</v>
      </c>
      <c r="H41" s="24">
        <v>-9.1440898354374127</v>
      </c>
    </row>
    <row r="42" spans="1:8" x14ac:dyDescent="0.25">
      <c r="A42" s="34"/>
      <c r="B42" s="25" t="s">
        <v>242</v>
      </c>
      <c r="C42" s="82">
        <v>241.964698207</v>
      </c>
      <c r="D42" s="82">
        <v>230.576947805</v>
      </c>
      <c r="E42" s="82">
        <v>207.32400623199999</v>
      </c>
      <c r="F42" s="27"/>
      <c r="G42" s="38">
        <v>-14.316423937745256</v>
      </c>
      <c r="H42" s="24">
        <v>-10.084677498925501</v>
      </c>
    </row>
    <row r="43" spans="1:8" x14ac:dyDescent="0.25">
      <c r="A43" s="30" t="s">
        <v>21</v>
      </c>
      <c r="B43" s="31" t="s">
        <v>3</v>
      </c>
      <c r="C43" s="80">
        <v>39.793208067999998</v>
      </c>
      <c r="D43" s="80">
        <v>39.498257234</v>
      </c>
      <c r="E43" s="83">
        <v>39.90724044740044</v>
      </c>
      <c r="F43" s="22" t="s">
        <v>241</v>
      </c>
      <c r="G43" s="37">
        <v>0.28656241840461405</v>
      </c>
      <c r="H43" s="33">
        <v>1.035446224823275</v>
      </c>
    </row>
    <row r="44" spans="1:8" x14ac:dyDescent="0.25">
      <c r="A44" s="34"/>
      <c r="B44" s="25" t="s">
        <v>242</v>
      </c>
      <c r="C44" s="82">
        <v>17.359642567000002</v>
      </c>
      <c r="D44" s="82">
        <v>19.824907223</v>
      </c>
      <c r="E44" s="82">
        <v>19.073100650000001</v>
      </c>
      <c r="F44" s="27"/>
      <c r="G44" s="28">
        <v>9.8703534729293096</v>
      </c>
      <c r="H44" s="29">
        <v>-3.7922324908929994</v>
      </c>
    </row>
    <row r="45" spans="1:8" x14ac:dyDescent="0.25">
      <c r="A45" s="30" t="s">
        <v>22</v>
      </c>
      <c r="B45" s="31" t="s">
        <v>3</v>
      </c>
      <c r="C45" s="80">
        <v>34.833901992999998</v>
      </c>
      <c r="D45" s="80">
        <v>29.563462560000001</v>
      </c>
      <c r="E45" s="83">
        <v>26.931356554523507</v>
      </c>
      <c r="F45" s="22" t="s">
        <v>241</v>
      </c>
      <c r="G45" s="37">
        <v>-22.686362957743114</v>
      </c>
      <c r="H45" s="33">
        <v>-8.9032399372521098</v>
      </c>
    </row>
    <row r="46" spans="1:8" x14ac:dyDescent="0.25">
      <c r="A46" s="34"/>
      <c r="B46" s="25" t="s">
        <v>242</v>
      </c>
      <c r="C46" s="82">
        <v>13.54562907</v>
      </c>
      <c r="D46" s="82">
        <v>13.876723696000001</v>
      </c>
      <c r="E46" s="82">
        <v>11.825020024000001</v>
      </c>
      <c r="F46" s="27"/>
      <c r="G46" s="28">
        <v>-12.70231922864842</v>
      </c>
      <c r="H46" s="29">
        <v>-14.785216719357237</v>
      </c>
    </row>
    <row r="47" spans="1:8" x14ac:dyDescent="0.25">
      <c r="A47" s="30" t="s">
        <v>190</v>
      </c>
      <c r="B47" s="31" t="s">
        <v>3</v>
      </c>
      <c r="C47" s="80">
        <v>637.97423078500003</v>
      </c>
      <c r="D47" s="80">
        <v>771.24210641699995</v>
      </c>
      <c r="E47" s="83">
        <v>799.17518483338335</v>
      </c>
      <c r="F47" s="22" t="s">
        <v>241</v>
      </c>
      <c r="G47" s="23">
        <v>25.26762779274523</v>
      </c>
      <c r="H47" s="24">
        <v>3.6218300562132839</v>
      </c>
    </row>
    <row r="48" spans="1:8" x14ac:dyDescent="0.25">
      <c r="A48" s="30"/>
      <c r="B48" s="25" t="s">
        <v>242</v>
      </c>
      <c r="C48" s="82">
        <v>328.92480925400002</v>
      </c>
      <c r="D48" s="82">
        <v>372.89976166899999</v>
      </c>
      <c r="E48" s="82">
        <v>394.58733530900003</v>
      </c>
      <c r="F48" s="27"/>
      <c r="G48" s="38">
        <v>19.962776965326</v>
      </c>
      <c r="H48" s="24">
        <v>5.8159258517442396</v>
      </c>
    </row>
    <row r="49" spans="1:8" x14ac:dyDescent="0.25">
      <c r="A49" s="39" t="s">
        <v>12</v>
      </c>
      <c r="B49" s="31" t="s">
        <v>3</v>
      </c>
      <c r="C49" s="80">
        <v>24.998838828</v>
      </c>
      <c r="D49" s="80">
        <v>19.986266241999999</v>
      </c>
      <c r="E49" s="83">
        <v>17.184565449392796</v>
      </c>
      <c r="F49" s="22" t="s">
        <v>241</v>
      </c>
      <c r="G49" s="37">
        <v>-31.258545376334894</v>
      </c>
      <c r="H49" s="33">
        <v>-14.018130043317385</v>
      </c>
    </row>
    <row r="50" spans="1:8" x14ac:dyDescent="0.25">
      <c r="A50" s="34"/>
      <c r="B50" s="25" t="s">
        <v>242</v>
      </c>
      <c r="C50" s="82">
        <v>11.598342719</v>
      </c>
      <c r="D50" s="82">
        <v>10.376843318000001</v>
      </c>
      <c r="E50" s="82">
        <v>8.5815985379999997</v>
      </c>
      <c r="F50" s="27"/>
      <c r="G50" s="28">
        <v>-26.010131396256071</v>
      </c>
      <c r="H50" s="29">
        <v>-17.300490380209482</v>
      </c>
    </row>
    <row r="51" spans="1:8" x14ac:dyDescent="0.25">
      <c r="A51" s="39" t="s">
        <v>23</v>
      </c>
      <c r="B51" s="31" t="s">
        <v>3</v>
      </c>
      <c r="C51" s="80">
        <v>272.01475705500002</v>
      </c>
      <c r="D51" s="80">
        <v>279.49904548299997</v>
      </c>
      <c r="E51" s="83">
        <v>265.34522365565732</v>
      </c>
      <c r="F51" s="22" t="s">
        <v>241</v>
      </c>
      <c r="G51" s="23">
        <v>-2.4519013128372933</v>
      </c>
      <c r="H51" s="24">
        <v>-5.0639964808765399</v>
      </c>
    </row>
    <row r="52" spans="1:8" x14ac:dyDescent="0.25">
      <c r="A52" s="34"/>
      <c r="B52" s="25" t="s">
        <v>242</v>
      </c>
      <c r="C52" s="82">
        <v>141.73733311399999</v>
      </c>
      <c r="D52" s="82">
        <v>132.55255183200001</v>
      </c>
      <c r="E52" s="82">
        <v>129.72508993400001</v>
      </c>
      <c r="F52" s="27"/>
      <c r="G52" s="28">
        <v>-8.4750029622318976</v>
      </c>
      <c r="H52" s="29">
        <v>-2.1330874878844952</v>
      </c>
    </row>
    <row r="53" spans="1:8" x14ac:dyDescent="0.25">
      <c r="A53" s="30" t="s">
        <v>24</v>
      </c>
      <c r="B53" s="31" t="s">
        <v>3</v>
      </c>
      <c r="C53" s="80">
        <v>360.54683448999998</v>
      </c>
      <c r="D53" s="80">
        <v>549.080929502</v>
      </c>
      <c r="E53" s="83">
        <v>474.15190740988254</v>
      </c>
      <c r="F53" s="22" t="s">
        <v>241</v>
      </c>
      <c r="G53" s="23">
        <v>31.509102854994978</v>
      </c>
      <c r="H53" s="24">
        <v>-13.64626197454642</v>
      </c>
    </row>
    <row r="54" spans="1:8" ht="13.8" thickBot="1" x14ac:dyDescent="0.3">
      <c r="A54" s="41"/>
      <c r="B54" s="42" t="s">
        <v>242</v>
      </c>
      <c r="C54" s="86">
        <v>204.755802579</v>
      </c>
      <c r="D54" s="86">
        <v>241.88355891699999</v>
      </c>
      <c r="E54" s="86">
        <v>225.75415649000001</v>
      </c>
      <c r="F54" s="44"/>
      <c r="G54" s="45">
        <v>10.255315671895701</v>
      </c>
      <c r="H54" s="46">
        <v>-6.6682508307787032</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G61" s="53"/>
      <c r="H61" s="202">
        <v>13</v>
      </c>
    </row>
    <row r="62" spans="1:8" ht="12.75" customHeight="1" x14ac:dyDescent="0.25">
      <c r="A62" s="54" t="s">
        <v>244</v>
      </c>
      <c r="G62" s="53"/>
      <c r="H62" s="195"/>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8</vt:i4>
      </vt:variant>
    </vt:vector>
  </HeadingPairs>
  <TitlesOfParts>
    <vt:vector size="31"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aar</vt:lpstr>
      <vt:lpstr>aar_1</vt:lpstr>
      <vt:lpstr>aar_2</vt:lpstr>
      <vt:lpstr>aaret_i_alt</vt:lpstr>
      <vt:lpstr>hittil_i_aar</vt:lpstr>
      <vt:lpstr>Print_Area</vt:lpstr>
      <vt:lpstr>pros_1</vt:lpstr>
      <vt:lpstr>pros_2</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Harald Moseby</cp:lastModifiedBy>
  <cp:lastPrinted>2014-09-12T11:46:46Z</cp:lastPrinted>
  <dcterms:created xsi:type="dcterms:W3CDTF">2002-02-09T09:48:14Z</dcterms:created>
  <dcterms:modified xsi:type="dcterms:W3CDTF">2016-09-02T05:57:45Z</dcterms:modified>
</cp:coreProperties>
</file>