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forsikringsdrift.sharepoint.com/sites/soa/Delte dokumenter/Kvartalstatistikkene/Skadestatistikk/Rapport/"/>
    </mc:Choice>
  </mc:AlternateContent>
  <xr:revisionPtr revIDLastSave="160" documentId="13_ncr:1_{FE2B8D8F-7032-46BE-AC1B-DA9C89CACA40}" xr6:coauthVersionLast="47" xr6:coauthVersionMax="47" xr10:uidLastSave="{7F43BF03-3994-4493-AA9D-0089F9DC0A7E}"/>
  <bookViews>
    <workbookView xWindow="-108" yWindow="-108" windowWidth="23256" windowHeight="13896" tabRatio="914" activeTab="2" xr2:uid="{00000000-000D-0000-FFFF-FFFF00000000}"/>
  </bookViews>
  <sheets>
    <sheet name="Forside" sheetId="46" r:id="rId1"/>
    <sheet name="Innhold" sheetId="21" r:id="rId2"/>
    <sheet name="Tab1" sheetId="23" r:id="rId3"/>
    <sheet name="Tab2" sheetId="19" r:id="rId4"/>
    <sheet name="Tab3" sheetId="1" r:id="rId5"/>
    <sheet name="Tab4" sheetId="2" r:id="rId6"/>
    <sheet name="Tab5" sheetId="4" r:id="rId7"/>
    <sheet name="Tab6" sheetId="5" r:id="rId8"/>
    <sheet name="Tab7" sheetId="6" r:id="rId9"/>
    <sheet name="Tab8" sheetId="7" r:id="rId10"/>
    <sheet name="Tab9" sheetId="8" r:id="rId11"/>
    <sheet name="Tab10" sheetId="9" r:id="rId12"/>
    <sheet name="Tab11" sheetId="10" r:id="rId13"/>
    <sheet name="Tab12" sheetId="12" r:id="rId14"/>
    <sheet name="Tab13" sheetId="13" r:id="rId15"/>
    <sheet name="Tab14" sheetId="14" r:id="rId16"/>
    <sheet name="Tab15" sheetId="43" r:id="rId17"/>
    <sheet name="Tab16" sheetId="44" r:id="rId18"/>
    <sheet name="Tab17" sheetId="45" r:id="rId19"/>
    <sheet name="Tab18" sheetId="15" r:id="rId20"/>
    <sheet name="Tab19" sheetId="16" r:id="rId21"/>
    <sheet name="Tab20" sheetId="17" r:id="rId22"/>
    <sheet name="Tab21" sheetId="24" r:id="rId23"/>
  </sheets>
  <externalReferences>
    <externalReference r:id="rId24"/>
    <externalReference r:id="rId25"/>
  </externalReferences>
  <definedNames>
    <definedName name="_xlnm._FilterDatabase" localSheetId="3" hidden="1">'Tab2'!$A$2</definedName>
    <definedName name="DATA_0">#REF!</definedName>
    <definedName name="DATA_AN">#REF!</definedName>
    <definedName name="DATA_B">#REF!</definedName>
    <definedName name="DATA_BEH">#REF!</definedName>
    <definedName name="DATA_BKN">#REF!</definedName>
    <definedName name="DATA_BKP">#REF!</definedName>
    <definedName name="DATA_FB">#REF!</definedName>
    <definedName name="DATA_K">#REF!</definedName>
    <definedName name="DATA_M1">#REF!</definedName>
    <definedName name="DATA_M2">#REF!</definedName>
    <definedName name="DATA_P">#REF!</definedName>
    <definedName name="DATA_RS">#REF!</definedName>
    <definedName name="Dato_1årsiden">[1]Tab5!$C$6</definedName>
    <definedName name="Dato_2årsiden">[1]Tab5!$B$6</definedName>
    <definedName name="Dato_nå">[1]Tab5!$D$6</definedName>
    <definedName name="hittil_i_aar">'Tab3'!$B$8</definedName>
    <definedName name="kvartal" localSheetId="0">#REF!</definedName>
    <definedName name="kvartal">#REF!</definedName>
    <definedName name="pros_1">'Tab3'!$H$6</definedName>
    <definedName name="pros_2">'Tab3'!$G$6</definedName>
    <definedName name="_xlnm.Print_Area" localSheetId="3">'Tab2'!$A$1:$AJ$62</definedName>
    <definedName name="_xlnm.Print_Area" localSheetId="4">'Tab3'!$A$1:$H$62</definedName>
    <definedName name="_xlnm.Print_Area">'Tab9'!$A$4:$H$62</definedName>
    <definedName name="aar">'Tab3'!$E$6</definedName>
    <definedName name="aar_1">'Tab3'!$D$6</definedName>
    <definedName name="aar_2">'Tab3'!$C$6</definedName>
    <definedName name="aaret_i_alt">'Tab3'!$B$7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23" l="1"/>
  <c r="A51" i="23"/>
  <c r="N243" i="19" l="1"/>
  <c r="S247" i="19"/>
  <c r="R247" i="19"/>
  <c r="R245" i="19" s="1"/>
  <c r="P247" i="19"/>
  <c r="O247" i="19"/>
  <c r="O245" i="19" s="1"/>
  <c r="M247" i="19"/>
  <c r="L247" i="19"/>
  <c r="L245" i="19" s="1"/>
  <c r="S245" i="19"/>
  <c r="P245" i="19"/>
  <c r="M245" i="19"/>
  <c r="S246" i="19" l="1"/>
  <c r="R246" i="19"/>
  <c r="P246" i="19"/>
  <c r="O246" i="19"/>
  <c r="M246" i="19"/>
  <c r="L246" i="19"/>
  <c r="G246" i="19"/>
  <c r="E246" i="19"/>
  <c r="Y133" i="19"/>
  <c r="X133" i="19"/>
  <c r="W133" i="19"/>
  <c r="Y132" i="19"/>
  <c r="X132" i="19"/>
  <c r="W132" i="19"/>
  <c r="Y131" i="19"/>
  <c r="X131" i="19"/>
  <c r="W131" i="19"/>
  <c r="Y130" i="19"/>
  <c r="X130" i="19"/>
  <c r="W130" i="19"/>
  <c r="Y129" i="19"/>
  <c r="X129" i="19"/>
  <c r="W129" i="19"/>
  <c r="Y128" i="19"/>
  <c r="X128" i="19"/>
  <c r="W128" i="19"/>
  <c r="Y125" i="19"/>
  <c r="X125" i="19"/>
  <c r="W125" i="19"/>
  <c r="Y124" i="19"/>
  <c r="X124" i="19"/>
  <c r="W124" i="19"/>
  <c r="Y123" i="19"/>
  <c r="X123" i="19"/>
  <c r="W123" i="19"/>
  <c r="Y122" i="19"/>
  <c r="X122" i="19"/>
  <c r="W122" i="19"/>
  <c r="Y121" i="19"/>
  <c r="X121" i="19"/>
  <c r="W121" i="19"/>
  <c r="Y117" i="19"/>
  <c r="X117" i="19"/>
  <c r="W117" i="19"/>
  <c r="Y114" i="19"/>
  <c r="X114" i="19"/>
  <c r="W114" i="19"/>
  <c r="Y113" i="19"/>
  <c r="X113" i="19"/>
  <c r="W113" i="19"/>
  <c r="Y112" i="19"/>
  <c r="X112" i="19"/>
  <c r="W112" i="19"/>
  <c r="Y106" i="19"/>
  <c r="X106" i="19"/>
  <c r="W106" i="19"/>
  <c r="Y103" i="19"/>
  <c r="X103" i="19"/>
  <c r="W103" i="19"/>
  <c r="Y102" i="19"/>
  <c r="X102" i="19"/>
  <c r="W102" i="19"/>
  <c r="Y101" i="19"/>
  <c r="X101" i="19"/>
  <c r="W101" i="19"/>
  <c r="Y92" i="19"/>
  <c r="X92" i="19"/>
  <c r="W92" i="19"/>
  <c r="Y91" i="19"/>
  <c r="X91" i="19"/>
  <c r="W91" i="19"/>
  <c r="Y90" i="19"/>
  <c r="X90" i="19"/>
  <c r="W90" i="19"/>
  <c r="Y89" i="19"/>
  <c r="X89" i="19"/>
  <c r="W89" i="19"/>
  <c r="Y88" i="19"/>
  <c r="X88" i="19"/>
  <c r="W88" i="19"/>
  <c r="Y87" i="19"/>
  <c r="X87" i="19"/>
  <c r="W87" i="19"/>
  <c r="Y86" i="19"/>
  <c r="X86" i="19"/>
  <c r="W86" i="19"/>
  <c r="Y85" i="19"/>
  <c r="X85" i="19"/>
  <c r="W85" i="19"/>
  <c r="Y84" i="19"/>
  <c r="X84" i="19"/>
  <c r="W84" i="19"/>
  <c r="Y83" i="19"/>
  <c r="X83" i="19"/>
  <c r="W83" i="19"/>
  <c r="W93" i="19" s="1"/>
  <c r="Y82" i="19"/>
  <c r="Y100" i="19" s="1"/>
  <c r="Y111" i="19" s="1"/>
  <c r="X82" i="19"/>
  <c r="X100" i="19" s="1"/>
  <c r="X111" i="19" s="1"/>
  <c r="W82" i="19"/>
  <c r="W100" i="19" s="1"/>
  <c r="W111" i="19" s="1"/>
  <c r="Z77" i="19"/>
  <c r="Y77" i="19"/>
  <c r="X77" i="19"/>
  <c r="Z76" i="19"/>
  <c r="Y76" i="19"/>
  <c r="X76" i="19"/>
  <c r="Z75" i="19"/>
  <c r="Y75" i="19"/>
  <c r="X75" i="19"/>
  <c r="Z74" i="19"/>
  <c r="Y74" i="19"/>
  <c r="X74" i="19"/>
  <c r="Z72" i="19"/>
  <c r="Y72" i="19"/>
  <c r="X72" i="19"/>
  <c r="Z70" i="19"/>
  <c r="Y70" i="19"/>
  <c r="X70" i="19"/>
  <c r="T243" i="19"/>
  <c r="Q243" i="19"/>
  <c r="D243" i="19"/>
  <c r="C243" i="19"/>
  <c r="C239" i="19"/>
  <c r="T242" i="19"/>
  <c r="Q242" i="19"/>
  <c r="N242" i="19"/>
  <c r="D242" i="19"/>
  <c r="C242" i="19"/>
  <c r="T241" i="19"/>
  <c r="Q241" i="19"/>
  <c r="N241" i="19"/>
  <c r="D241" i="19"/>
  <c r="C241" i="19"/>
  <c r="T240" i="19"/>
  <c r="Q240" i="19"/>
  <c r="N240" i="19"/>
  <c r="D240" i="19"/>
  <c r="C240" i="19"/>
  <c r="T239" i="19"/>
  <c r="Q239" i="19"/>
  <c r="N239" i="19"/>
  <c r="D239" i="19"/>
  <c r="T238" i="19"/>
  <c r="Q238" i="19"/>
  <c r="N238" i="19"/>
  <c r="D238" i="19"/>
  <c r="C238" i="19"/>
  <c r="T237" i="19"/>
  <c r="Q237" i="19"/>
  <c r="N237" i="19"/>
  <c r="D237" i="19"/>
  <c r="C237" i="19"/>
  <c r="T236" i="19"/>
  <c r="Q236" i="19"/>
  <c r="N236" i="19"/>
  <c r="D236" i="19"/>
  <c r="C236" i="19"/>
  <c r="T235" i="19"/>
  <c r="Q235" i="19"/>
  <c r="N235" i="19"/>
  <c r="D235" i="19"/>
  <c r="C235" i="19"/>
  <c r="T234" i="19"/>
  <c r="Q234" i="19"/>
  <c r="N234" i="19"/>
  <c r="D234" i="19"/>
  <c r="C234" i="19"/>
  <c r="T233" i="19"/>
  <c r="Q233" i="19"/>
  <c r="N233" i="19"/>
  <c r="D233" i="19"/>
  <c r="C233" i="19"/>
  <c r="T232" i="19"/>
  <c r="Q232" i="19"/>
  <c r="N232" i="19"/>
  <c r="D232" i="19"/>
  <c r="C232" i="19"/>
  <c r="T231" i="19"/>
  <c r="Q231" i="19"/>
  <c r="N231" i="19"/>
  <c r="D231" i="19"/>
  <c r="C231" i="19"/>
  <c r="T230" i="19"/>
  <c r="Q230" i="19"/>
  <c r="N230" i="19"/>
  <c r="D230" i="19"/>
  <c r="C230" i="19"/>
  <c r="T229" i="19"/>
  <c r="Q229" i="19"/>
  <c r="N229" i="19"/>
  <c r="D229" i="19"/>
  <c r="C229" i="19"/>
  <c r="T228" i="19"/>
  <c r="Q228" i="19"/>
  <c r="N228" i="19"/>
  <c r="D228" i="19"/>
  <c r="C228" i="19"/>
  <c r="T227" i="19"/>
  <c r="Q227" i="19"/>
  <c r="N227" i="19"/>
  <c r="D227" i="19"/>
  <c r="C227" i="19"/>
  <c r="T226" i="19"/>
  <c r="Q226" i="19"/>
  <c r="N226" i="19"/>
  <c r="D226" i="19"/>
  <c r="C226" i="19"/>
  <c r="T225" i="19"/>
  <c r="Q225" i="19"/>
  <c r="N225" i="19"/>
  <c r="D225" i="19"/>
  <c r="C225" i="19"/>
  <c r="T224" i="19"/>
  <c r="Q224" i="19"/>
  <c r="N224" i="19"/>
  <c r="D224" i="19"/>
  <c r="C224" i="19"/>
  <c r="T223" i="19"/>
  <c r="Q223" i="19"/>
  <c r="N223" i="19"/>
  <c r="D223" i="19"/>
  <c r="C223" i="19"/>
  <c r="T222" i="19"/>
  <c r="Q222" i="19"/>
  <c r="N222" i="19"/>
  <c r="D222" i="19"/>
  <c r="C222" i="19"/>
  <c r="T221" i="19"/>
  <c r="Q221" i="19"/>
  <c r="N221" i="19"/>
  <c r="D221" i="19"/>
  <c r="C221" i="19"/>
  <c r="T220" i="19"/>
  <c r="Q220" i="19"/>
  <c r="N220" i="19"/>
  <c r="D220" i="19"/>
  <c r="C220" i="19"/>
  <c r="T219" i="19"/>
  <c r="Q219" i="19"/>
  <c r="N219" i="19"/>
  <c r="D219" i="19"/>
  <c r="C219" i="19"/>
  <c r="T218" i="19"/>
  <c r="Q218" i="19"/>
  <c r="N218" i="19"/>
  <c r="D218" i="19"/>
  <c r="C218" i="19"/>
  <c r="T217" i="19"/>
  <c r="Q217" i="19"/>
  <c r="N217" i="19"/>
  <c r="D217" i="19"/>
  <c r="C217" i="19"/>
  <c r="T216" i="19"/>
  <c r="Q216" i="19"/>
  <c r="N216" i="19"/>
  <c r="D216" i="19"/>
  <c r="C216" i="19"/>
  <c r="T215" i="19"/>
  <c r="Q215" i="19"/>
  <c r="N215" i="19"/>
  <c r="D215" i="19"/>
  <c r="C215" i="19"/>
  <c r="T214" i="19"/>
  <c r="Q214" i="19"/>
  <c r="N214" i="19"/>
  <c r="D214" i="19"/>
  <c r="C214" i="19"/>
  <c r="T213" i="19"/>
  <c r="Q213" i="19"/>
  <c r="N213" i="19"/>
  <c r="D213" i="19"/>
  <c r="C213" i="19"/>
  <c r="T212" i="19"/>
  <c r="Q212" i="19"/>
  <c r="N212" i="19"/>
  <c r="D212" i="19"/>
  <c r="C212" i="19"/>
  <c r="T211" i="19"/>
  <c r="Q211" i="19"/>
  <c r="N211" i="19"/>
  <c r="D211" i="19"/>
  <c r="C211" i="19"/>
  <c r="T210" i="19"/>
  <c r="Q210" i="19"/>
  <c r="N210" i="19"/>
  <c r="D210" i="19"/>
  <c r="C210" i="19"/>
  <c r="T209" i="19"/>
  <c r="Q209" i="19"/>
  <c r="N209" i="19"/>
  <c r="D209" i="19"/>
  <c r="C209" i="19"/>
  <c r="T208" i="19"/>
  <c r="Q208" i="19"/>
  <c r="N208" i="19"/>
  <c r="D208" i="19"/>
  <c r="C208" i="19"/>
  <c r="T207" i="19"/>
  <c r="Q207" i="19"/>
  <c r="N207" i="19"/>
  <c r="D207" i="19"/>
  <c r="C207" i="19"/>
  <c r="T206" i="19"/>
  <c r="Q206" i="19"/>
  <c r="N206" i="19"/>
  <c r="D206" i="19"/>
  <c r="C206" i="19"/>
  <c r="T205" i="19"/>
  <c r="Q205" i="19"/>
  <c r="N205" i="19"/>
  <c r="D205" i="19"/>
  <c r="C205" i="19"/>
  <c r="T204" i="19"/>
  <c r="Q204" i="19"/>
  <c r="N204" i="19"/>
  <c r="D204" i="19"/>
  <c r="C204" i="19"/>
  <c r="T203" i="19"/>
  <c r="Q203" i="19"/>
  <c r="N203" i="19"/>
  <c r="D203" i="19"/>
  <c r="C203" i="19"/>
  <c r="T202" i="19"/>
  <c r="Q202" i="19"/>
  <c r="N202" i="19"/>
  <c r="D202" i="19"/>
  <c r="C202" i="19"/>
  <c r="T201" i="19"/>
  <c r="Q201" i="19"/>
  <c r="N201" i="19"/>
  <c r="D201" i="19"/>
  <c r="C201" i="19"/>
  <c r="T200" i="19"/>
  <c r="Q200" i="19"/>
  <c r="N200" i="19"/>
  <c r="D200" i="19"/>
  <c r="C200" i="19"/>
  <c r="T199" i="19"/>
  <c r="Q199" i="19"/>
  <c r="N199" i="19"/>
  <c r="D199" i="19"/>
  <c r="C199" i="19"/>
  <c r="T198" i="19"/>
  <c r="Q198" i="19"/>
  <c r="N198" i="19"/>
  <c r="D198" i="19"/>
  <c r="C198" i="19"/>
  <c r="T197" i="19"/>
  <c r="Q197" i="19"/>
  <c r="N197" i="19"/>
  <c r="D197" i="19"/>
  <c r="C197" i="19"/>
  <c r="T196" i="19"/>
  <c r="Q196" i="19"/>
  <c r="N196" i="19"/>
  <c r="D196" i="19"/>
  <c r="C196" i="19"/>
  <c r="T195" i="19"/>
  <c r="Q195" i="19"/>
  <c r="N195" i="19"/>
  <c r="K195" i="19"/>
  <c r="J195" i="19"/>
  <c r="D195" i="19"/>
  <c r="C195" i="19"/>
  <c r="T194" i="19"/>
  <c r="Q194" i="19"/>
  <c r="N194" i="19"/>
  <c r="D194" i="19"/>
  <c r="C194" i="19"/>
  <c r="T193" i="19"/>
  <c r="Q193" i="19"/>
  <c r="N193" i="19"/>
  <c r="D193" i="19"/>
  <c r="C193" i="19"/>
  <c r="T192" i="19"/>
  <c r="Q192" i="19"/>
  <c r="N192" i="19"/>
  <c r="D192" i="19"/>
  <c r="C192" i="19"/>
  <c r="T191" i="19"/>
  <c r="Q191" i="19"/>
  <c r="N191" i="19"/>
  <c r="K191" i="19"/>
  <c r="D191" i="19"/>
  <c r="C191" i="19"/>
  <c r="T190" i="19"/>
  <c r="Q190" i="19"/>
  <c r="N190" i="19"/>
  <c r="D190" i="19"/>
  <c r="C190" i="19"/>
  <c r="T189" i="19"/>
  <c r="Q189" i="19"/>
  <c r="N189" i="19"/>
  <c r="D189" i="19"/>
  <c r="C189" i="19"/>
  <c r="T188" i="19"/>
  <c r="Q188" i="19"/>
  <c r="N188" i="19"/>
  <c r="D188" i="19"/>
  <c r="C188" i="19"/>
  <c r="T187" i="19"/>
  <c r="Q187" i="19"/>
  <c r="N187" i="19"/>
  <c r="D187" i="19"/>
  <c r="C187" i="19"/>
  <c r="T186" i="19"/>
  <c r="Q186" i="19"/>
  <c r="N186" i="19"/>
  <c r="D186" i="19"/>
  <c r="C186" i="19"/>
  <c r="T185" i="19"/>
  <c r="Q185" i="19"/>
  <c r="N185" i="19"/>
  <c r="D185" i="19"/>
  <c r="C185" i="19"/>
  <c r="T184" i="19"/>
  <c r="Q184" i="19"/>
  <c r="N184" i="19"/>
  <c r="D184" i="19"/>
  <c r="C184" i="19"/>
  <c r="T183" i="19"/>
  <c r="Q183" i="19"/>
  <c r="N183" i="19"/>
  <c r="D183" i="19"/>
  <c r="C183" i="19"/>
  <c r="T182" i="19"/>
  <c r="Q182" i="19"/>
  <c r="N182" i="19"/>
  <c r="D182" i="19"/>
  <c r="C182" i="19"/>
  <c r="T181" i="19"/>
  <c r="Q181" i="19"/>
  <c r="N181" i="19"/>
  <c r="D181" i="19"/>
  <c r="C181" i="19"/>
  <c r="T180" i="19"/>
  <c r="Q180" i="19"/>
  <c r="N180" i="19"/>
  <c r="D180" i="19"/>
  <c r="C180" i="19"/>
  <c r="T179" i="19"/>
  <c r="Q179" i="19"/>
  <c r="N179" i="19"/>
  <c r="D179" i="19"/>
  <c r="C179" i="19"/>
  <c r="T178" i="19"/>
  <c r="Q178" i="19"/>
  <c r="N178" i="19"/>
  <c r="D178" i="19"/>
  <c r="C178" i="19"/>
  <c r="T177" i="19"/>
  <c r="Q177" i="19"/>
  <c r="N177" i="19"/>
  <c r="D177" i="19"/>
  <c r="C177" i="19"/>
  <c r="T176" i="19"/>
  <c r="Q176" i="19"/>
  <c r="N176" i="19"/>
  <c r="D176" i="19"/>
  <c r="C176" i="19"/>
  <c r="T175" i="19"/>
  <c r="Q175" i="19"/>
  <c r="N175" i="19"/>
  <c r="D175" i="19"/>
  <c r="C175" i="19"/>
  <c r="T174" i="19"/>
  <c r="Q174" i="19"/>
  <c r="N174" i="19"/>
  <c r="D174" i="19"/>
  <c r="C174" i="19"/>
  <c r="T173" i="19"/>
  <c r="Q173" i="19"/>
  <c r="N173" i="19"/>
  <c r="D173" i="19"/>
  <c r="C173" i="19"/>
  <c r="T172" i="19"/>
  <c r="Q172" i="19"/>
  <c r="N172" i="19"/>
  <c r="D172" i="19"/>
  <c r="C172" i="19"/>
  <c r="T171" i="19"/>
  <c r="Q171" i="19"/>
  <c r="N171" i="19"/>
  <c r="D171" i="19"/>
  <c r="C171" i="19"/>
  <c r="T170" i="19"/>
  <c r="Q170" i="19"/>
  <c r="N170" i="19"/>
  <c r="D170" i="19"/>
  <c r="C170" i="19"/>
  <c r="T169" i="19"/>
  <c r="Q169" i="19"/>
  <c r="N169" i="19"/>
  <c r="D169" i="19"/>
  <c r="C169" i="19"/>
  <c r="T168" i="19"/>
  <c r="Q168" i="19"/>
  <c r="N168" i="19"/>
  <c r="D168" i="19"/>
  <c r="C168" i="19"/>
  <c r="T167" i="19"/>
  <c r="Q167" i="19"/>
  <c r="N167" i="19"/>
  <c r="D167" i="19"/>
  <c r="C167" i="19"/>
  <c r="T166" i="19"/>
  <c r="Q166" i="19"/>
  <c r="N166" i="19"/>
  <c r="D166" i="19"/>
  <c r="C166" i="19"/>
  <c r="T165" i="19"/>
  <c r="Q165" i="19"/>
  <c r="N165" i="19"/>
  <c r="D165" i="19"/>
  <c r="C165" i="19"/>
  <c r="T164" i="19"/>
  <c r="Q164" i="19"/>
  <c r="N164" i="19"/>
  <c r="D164" i="19"/>
  <c r="C164" i="19"/>
  <c r="T163" i="19"/>
  <c r="Q163" i="19"/>
  <c r="N163" i="19"/>
  <c r="D163" i="19"/>
  <c r="C163" i="19"/>
  <c r="T162" i="19"/>
  <c r="Q162" i="19"/>
  <c r="N162" i="19"/>
  <c r="D162" i="19"/>
  <c r="C162" i="19"/>
  <c r="T161" i="19"/>
  <c r="Q161" i="19"/>
  <c r="N161" i="19"/>
  <c r="D161" i="19"/>
  <c r="C161" i="19"/>
  <c r="T160" i="19"/>
  <c r="Q160" i="19"/>
  <c r="N160" i="19"/>
  <c r="D160" i="19"/>
  <c r="C160" i="19"/>
  <c r="T159" i="19"/>
  <c r="Q159" i="19"/>
  <c r="N159" i="19"/>
  <c r="D159" i="19"/>
  <c r="C159" i="19"/>
  <c r="T158" i="19"/>
  <c r="Q158" i="19"/>
  <c r="N158" i="19"/>
  <c r="D158" i="19"/>
  <c r="C158" i="19"/>
  <c r="T157" i="19"/>
  <c r="Q157" i="19"/>
  <c r="N157" i="19"/>
  <c r="D157" i="19"/>
  <c r="C157" i="19"/>
  <c r="T156" i="19"/>
  <c r="Q156" i="19"/>
  <c r="N156" i="19"/>
  <c r="D156" i="19"/>
  <c r="C156" i="19"/>
  <c r="T155" i="19"/>
  <c r="Q155" i="19"/>
  <c r="N155" i="19"/>
  <c r="D155" i="19"/>
  <c r="C155" i="19"/>
  <c r="T154" i="19"/>
  <c r="Q154" i="19"/>
  <c r="N154" i="19"/>
  <c r="D154" i="19"/>
  <c r="C154" i="19"/>
  <c r="T153" i="19"/>
  <c r="Q153" i="19"/>
  <c r="N153" i="19"/>
  <c r="D153" i="19"/>
  <c r="C153" i="19"/>
  <c r="T152" i="19"/>
  <c r="Q152" i="19"/>
  <c r="N152" i="19"/>
  <c r="D152" i="19"/>
  <c r="C152" i="19"/>
  <c r="T151" i="19"/>
  <c r="Q151" i="19"/>
  <c r="N151" i="19"/>
  <c r="D151" i="19"/>
  <c r="C151" i="19"/>
  <c r="T150" i="19"/>
  <c r="Q150" i="19"/>
  <c r="N150" i="19"/>
  <c r="D150" i="19"/>
  <c r="C150" i="19"/>
  <c r="T149" i="19"/>
  <c r="Q149" i="19"/>
  <c r="N149" i="19"/>
  <c r="D149" i="19"/>
  <c r="C149" i="19"/>
  <c r="T148" i="19"/>
  <c r="Q148" i="19"/>
  <c r="N148" i="19"/>
  <c r="D148" i="19"/>
  <c r="C148" i="19"/>
  <c r="T147" i="19"/>
  <c r="Q147" i="19"/>
  <c r="N147" i="19"/>
  <c r="D147" i="19"/>
  <c r="C147" i="19"/>
  <c r="T146" i="19"/>
  <c r="Q146" i="19"/>
  <c r="N146" i="19"/>
  <c r="D146" i="19"/>
  <c r="C146" i="19"/>
  <c r="T145" i="19"/>
  <c r="Q145" i="19"/>
  <c r="N145" i="19"/>
  <c r="D145" i="19"/>
  <c r="C145" i="19"/>
  <c r="T144" i="19"/>
  <c r="Q144" i="19"/>
  <c r="N144" i="19"/>
  <c r="D144" i="19"/>
  <c r="C144" i="19"/>
  <c r="T143" i="19"/>
  <c r="Q143" i="19"/>
  <c r="N143" i="19"/>
  <c r="D143" i="19"/>
  <c r="C143" i="19"/>
  <c r="T142" i="19"/>
  <c r="Q142" i="19"/>
  <c r="N142" i="19"/>
  <c r="D142" i="19"/>
  <c r="C142" i="19"/>
  <c r="T141" i="19"/>
  <c r="Q141" i="19"/>
  <c r="N141" i="19"/>
  <c r="D141" i="19"/>
  <c r="C141" i="19"/>
  <c r="T140" i="19"/>
  <c r="Q140" i="19"/>
  <c r="N140" i="19"/>
  <c r="D140" i="19"/>
  <c r="C140" i="19"/>
  <c r="T139" i="19"/>
  <c r="Q139" i="19"/>
  <c r="N139" i="19"/>
  <c r="D139" i="19"/>
  <c r="C139" i="19"/>
  <c r="T138" i="19"/>
  <c r="Q138" i="19"/>
  <c r="N138" i="19"/>
  <c r="D138" i="19"/>
  <c r="C138" i="19"/>
  <c r="T137" i="19"/>
  <c r="Q137" i="19"/>
  <c r="N137" i="19"/>
  <c r="D137" i="19"/>
  <c r="C137" i="19"/>
  <c r="T136" i="19"/>
  <c r="Q136" i="19"/>
  <c r="N136" i="19"/>
  <c r="D136" i="19"/>
  <c r="C136" i="19"/>
  <c r="T135" i="19"/>
  <c r="Q135" i="19"/>
  <c r="N135" i="19"/>
  <c r="D135" i="19"/>
  <c r="C135" i="19"/>
  <c r="T134" i="19"/>
  <c r="Q134" i="19"/>
  <c r="N134" i="19"/>
  <c r="D134" i="19"/>
  <c r="C134" i="19"/>
  <c r="T133" i="19"/>
  <c r="Q133" i="19"/>
  <c r="N133" i="19"/>
  <c r="D133" i="19"/>
  <c r="C133" i="19"/>
  <c r="T132" i="19"/>
  <c r="Q132" i="19"/>
  <c r="N132" i="19"/>
  <c r="D132" i="19"/>
  <c r="C132" i="19"/>
  <c r="T131" i="19"/>
  <c r="Q131" i="19"/>
  <c r="N131" i="19"/>
  <c r="T130" i="19"/>
  <c r="Q130" i="19"/>
  <c r="N130" i="19"/>
  <c r="T129" i="19"/>
  <c r="Q129" i="19"/>
  <c r="N129" i="19"/>
  <c r="D129" i="19"/>
  <c r="D130" i="19" s="1"/>
  <c r="C129" i="19"/>
  <c r="T128" i="19"/>
  <c r="Q128" i="19"/>
  <c r="N128" i="19"/>
  <c r="D128" i="19"/>
  <c r="C128" i="19"/>
  <c r="T127" i="19"/>
  <c r="Q127" i="19"/>
  <c r="N127" i="19"/>
  <c r="T126" i="19"/>
  <c r="Q126" i="19"/>
  <c r="N126" i="19"/>
  <c r="T125" i="19"/>
  <c r="Q125" i="19"/>
  <c r="N125" i="19"/>
  <c r="T124" i="19"/>
  <c r="Q124" i="19"/>
  <c r="N124" i="19"/>
  <c r="D124" i="19"/>
  <c r="D125" i="19" s="1"/>
  <c r="C124" i="19"/>
  <c r="C125" i="19" s="1"/>
  <c r="C126" i="19" s="1"/>
  <c r="T123" i="19"/>
  <c r="Q123" i="19"/>
  <c r="N123" i="19"/>
  <c r="T122" i="19"/>
  <c r="Q122" i="19"/>
  <c r="N122" i="19"/>
  <c r="T121" i="19"/>
  <c r="Q121" i="19"/>
  <c r="N121" i="19"/>
  <c r="T120" i="19"/>
  <c r="Q120" i="19"/>
  <c r="N120" i="19"/>
  <c r="D120" i="19"/>
  <c r="C120" i="19"/>
  <c r="C121" i="19" s="1"/>
  <c r="T119" i="19"/>
  <c r="Q119" i="19"/>
  <c r="N119" i="19"/>
  <c r="T118" i="19"/>
  <c r="Q118" i="19"/>
  <c r="N118" i="19"/>
  <c r="T117" i="19"/>
  <c r="Q117" i="19"/>
  <c r="N117" i="19"/>
  <c r="T116" i="19"/>
  <c r="Q116" i="19"/>
  <c r="N116" i="19"/>
  <c r="D116" i="19"/>
  <c r="D117" i="19" s="1"/>
  <c r="D118" i="19" s="1"/>
  <c r="C116" i="19"/>
  <c r="C117" i="19" s="1"/>
  <c r="T115" i="19"/>
  <c r="Q115" i="19"/>
  <c r="N115" i="19"/>
  <c r="T114" i="19"/>
  <c r="Q114" i="19"/>
  <c r="N114" i="19"/>
  <c r="T113" i="19"/>
  <c r="Q113" i="19"/>
  <c r="N113" i="19"/>
  <c r="T112" i="19"/>
  <c r="Q112" i="19"/>
  <c r="N112" i="19"/>
  <c r="D112" i="19"/>
  <c r="D113" i="19" s="1"/>
  <c r="D114" i="19" s="1"/>
  <c r="C112" i="19"/>
  <c r="C113" i="19" s="1"/>
  <c r="C114" i="19" s="1"/>
  <c r="T111" i="19"/>
  <c r="Q111" i="19"/>
  <c r="N111" i="19"/>
  <c r="T110" i="19"/>
  <c r="Q110" i="19"/>
  <c r="N110" i="19"/>
  <c r="T109" i="19"/>
  <c r="Q109" i="19"/>
  <c r="N109" i="19"/>
  <c r="T108" i="19"/>
  <c r="Q108" i="19"/>
  <c r="N108" i="19"/>
  <c r="T107" i="19"/>
  <c r="Q107" i="19"/>
  <c r="N107" i="19"/>
  <c r="T106" i="19"/>
  <c r="Q106" i="19"/>
  <c r="N106" i="19"/>
  <c r="T105" i="19"/>
  <c r="Q105" i="19"/>
  <c r="N105" i="19"/>
  <c r="T104" i="19"/>
  <c r="Q104" i="19"/>
  <c r="N104" i="19"/>
  <c r="T103" i="19"/>
  <c r="Q103" i="19"/>
  <c r="N103" i="19"/>
  <c r="N102" i="19"/>
  <c r="N101" i="19"/>
  <c r="N100" i="19"/>
  <c r="N99" i="19"/>
  <c r="N98" i="19"/>
  <c r="N97" i="19"/>
  <c r="N96" i="19"/>
  <c r="N95" i="19"/>
  <c r="N94" i="19"/>
  <c r="N93" i="19"/>
  <c r="N92" i="19"/>
  <c r="N91" i="19"/>
  <c r="N90" i="19"/>
  <c r="N89" i="19"/>
  <c r="N88" i="19"/>
  <c r="N87" i="19"/>
  <c r="N86" i="19"/>
  <c r="N85" i="19"/>
  <c r="N84" i="19"/>
  <c r="N83" i="19"/>
  <c r="N82" i="19"/>
  <c r="N81" i="19"/>
  <c r="N80" i="19"/>
  <c r="N79" i="19"/>
  <c r="N78" i="19"/>
  <c r="N77" i="19"/>
  <c r="N76" i="19"/>
  <c r="N75" i="19"/>
  <c r="N74" i="19"/>
  <c r="N73" i="19"/>
  <c r="N72" i="19"/>
  <c r="N71" i="19"/>
  <c r="B124" i="21"/>
  <c r="D126" i="19" l="1"/>
  <c r="X104" i="19"/>
  <c r="W115" i="19"/>
  <c r="Y93" i="19"/>
  <c r="Y95" i="19" s="1"/>
  <c r="C122" i="19"/>
  <c r="X78" i="19"/>
  <c r="W104" i="19"/>
  <c r="Y104" i="19"/>
  <c r="X115" i="19"/>
  <c r="Y115" i="19"/>
  <c r="Y78" i="19"/>
  <c r="C130" i="19"/>
  <c r="W95" i="19"/>
  <c r="X93" i="19"/>
  <c r="X95" i="19" s="1"/>
  <c r="Z78" i="19"/>
  <c r="C118" i="19"/>
  <c r="D121" i="19"/>
  <c r="D122" i="19" s="1"/>
  <c r="A62" i="4" l="1"/>
  <c r="AD61" i="19"/>
  <c r="W61" i="19"/>
  <c r="P61" i="19"/>
  <c r="AD32" i="19"/>
  <c r="B20" i="21" s="1"/>
  <c r="W32" i="19"/>
  <c r="B18" i="21" s="1"/>
  <c r="I32" i="19"/>
  <c r="A32" i="19"/>
  <c r="B12" i="21" s="1"/>
  <c r="AD6" i="19"/>
  <c r="B19" i="21" s="1"/>
  <c r="W6" i="19"/>
  <c r="B17" i="21" s="1"/>
  <c r="I6" i="19"/>
  <c r="B13" i="21" s="1"/>
  <c r="A6" i="19"/>
  <c r="B11" i="21" s="1"/>
  <c r="AD62" i="19"/>
  <c r="B123" i="21"/>
  <c r="B61" i="21"/>
  <c r="H24" i="21"/>
  <c r="H26" i="21" s="1"/>
  <c r="B15" i="21"/>
  <c r="B14" i="21"/>
  <c r="H28" i="21" l="1"/>
  <c r="H29" i="21" s="1"/>
  <c r="H31" i="21" s="1"/>
  <c r="H27" i="21"/>
  <c r="A62" i="2"/>
  <c r="A62" i="6"/>
  <c r="H52" i="24"/>
  <c r="A52" i="24"/>
  <c r="A61" i="14"/>
  <c r="A61" i="12"/>
  <c r="A61" i="9"/>
  <c r="A61" i="17"/>
  <c r="A61" i="45"/>
  <c r="A61" i="13"/>
  <c r="A61" i="43"/>
  <c r="A61" i="16"/>
  <c r="A61" i="15"/>
  <c r="A61" i="44"/>
  <c r="I61" i="19"/>
  <c r="A61" i="19"/>
  <c r="A61" i="6"/>
  <c r="A61" i="7"/>
  <c r="A61" i="5"/>
  <c r="A61" i="4"/>
  <c r="A61" i="2"/>
  <c r="A61" i="10"/>
  <c r="A61" i="8"/>
  <c r="A62" i="19"/>
  <c r="I62" i="19"/>
  <c r="B62" i="21"/>
  <c r="P62" i="19"/>
  <c r="W62" i="19"/>
  <c r="A61" i="1"/>
  <c r="H53" i="24"/>
  <c r="A53" i="24"/>
  <c r="A62" i="14"/>
  <c r="A62" i="12"/>
  <c r="A62" i="9"/>
  <c r="A62" i="17"/>
  <c r="A62" i="13"/>
  <c r="A62" i="10"/>
  <c r="A62" i="43"/>
  <c r="A62" i="16"/>
  <c r="A62" i="44"/>
  <c r="A62" i="7"/>
  <c r="A62" i="15"/>
  <c r="A62" i="45"/>
  <c r="A62" i="5"/>
  <c r="A62" i="8"/>
  <c r="A62" i="1"/>
  <c r="P32" i="19"/>
  <c r="B16" i="21" s="1"/>
  <c r="H32" i="21" l="1"/>
  <c r="H33" i="21"/>
  <c r="H34" i="21" s="1"/>
  <c r="H35" i="21" s="1"/>
  <c r="H36" i="21" s="1"/>
  <c r="H37" i="21" s="1"/>
  <c r="H38" i="21" s="1"/>
  <c r="H40" i="21" s="1"/>
  <c r="H43" i="21" l="1"/>
  <c r="H41" i="21"/>
  <c r="H44" i="21" l="1"/>
  <c r="H45" i="21"/>
  <c r="H46" i="21" s="1"/>
  <c r="H47" i="21" s="1"/>
  <c r="H48" i="21" s="1"/>
  <c r="H66" i="21" s="1"/>
  <c r="H67" i="21" s="1"/>
  <c r="H68" i="21" s="1"/>
  <c r="H69" i="21" s="1"/>
  <c r="H70" i="21" s="1"/>
  <c r="H71" i="21" s="1"/>
  <c r="H73" i="21" s="1"/>
  <c r="H74" i="21" s="1"/>
  <c r="H75" i="21" s="1"/>
  <c r="H76" i="21" s="1"/>
  <c r="H77" i="21" s="1"/>
  <c r="H78" i="21" s="1"/>
  <c r="H80" i="21" s="1"/>
</calcChain>
</file>

<file path=xl/sharedStrings.xml><?xml version="1.0" encoding="utf-8"?>
<sst xmlns="http://schemas.openxmlformats.org/spreadsheetml/2006/main" count="1502" uniqueCount="243">
  <si>
    <t>Tilbake til innholdsfortegnelsen</t>
  </si>
  <si>
    <t>Endring i prosent</t>
  </si>
  <si>
    <t>Landbasert i alt</t>
  </si>
  <si>
    <t>Året i alt</t>
  </si>
  <si>
    <t>Motorvogn, Privat</t>
  </si>
  <si>
    <t>Motorvogn, Næring</t>
  </si>
  <si>
    <t>Brann-kombinert, Privat</t>
  </si>
  <si>
    <t>Yrkesskade</t>
  </si>
  <si>
    <t>Trygghet</t>
  </si>
  <si>
    <t>Ulykke</t>
  </si>
  <si>
    <t>Reise</t>
  </si>
  <si>
    <t>Fritidsbåt</t>
  </si>
  <si>
    <t>Ansvar</t>
  </si>
  <si>
    <t>Fiskeoppdrett</t>
  </si>
  <si>
    <t>Andre</t>
  </si>
  <si>
    <t>Tabell 0.2 Landbasert forsikring i alt, anslått erstatning etter bransje</t>
  </si>
  <si>
    <t>Beløp i mill. kr.</t>
  </si>
  <si>
    <t>Privat i alt</t>
  </si>
  <si>
    <t>Brann</t>
  </si>
  <si>
    <t>Vannledning</t>
  </si>
  <si>
    <t>Innbrudd/Tyveri/Ran</t>
  </si>
  <si>
    <t>Glass (inkl. san. pors.)</t>
  </si>
  <si>
    <t>Matvarer i fryser</t>
  </si>
  <si>
    <t>Rettshjelp</t>
  </si>
  <si>
    <t>Annet</t>
  </si>
  <si>
    <t>Tabell 2.2 Brann-kombinert Privat, anslått erstatning etter skadetype</t>
  </si>
  <si>
    <t>Motorvogn i alt</t>
  </si>
  <si>
    <t>To-hjul</t>
  </si>
  <si>
    <t>Personbil og varebil &lt; 3,5 t.</t>
  </si>
  <si>
    <t>Lastebil, buss og varebil &gt; 3,5 t.</t>
  </si>
  <si>
    <t>Traktor, arbeidsmaskiner</t>
  </si>
  <si>
    <t>Andre motorvogner</t>
  </si>
  <si>
    <t>Tabell 1.2 Motorvogn, anslått erstatning etter kjøretøy</t>
  </si>
  <si>
    <t>Tabell 1.4 Motorvogn, anslått erstatning etter skadetype</t>
  </si>
  <si>
    <t>Ansvar person</t>
  </si>
  <si>
    <t>Førerulykke</t>
  </si>
  <si>
    <t>Ansvar ting</t>
  </si>
  <si>
    <t>Tyveri av bil</t>
  </si>
  <si>
    <t>Tyveri fra bil</t>
  </si>
  <si>
    <t>Glass</t>
  </si>
  <si>
    <t>Redning</t>
  </si>
  <si>
    <t>Vognskade (kasko)</t>
  </si>
  <si>
    <t>Hjemforsikring i alt</t>
  </si>
  <si>
    <r>
      <t xml:space="preserve">Tabell 2.2a Brann-kombinert Privat herav </t>
    </r>
    <r>
      <rPr>
        <b/>
        <i/>
        <sz val="12"/>
        <rFont val="Times New Roman"/>
        <family val="1"/>
      </rPr>
      <t>Hjem</t>
    </r>
    <r>
      <rPr>
        <b/>
        <sz val="12"/>
        <rFont val="Times New Roman"/>
        <family val="1"/>
      </rPr>
      <t>, anslått erstatning</t>
    </r>
  </si>
  <si>
    <t>Villaforsikring i alt</t>
  </si>
  <si>
    <t>Hytteforsikring i alt</t>
  </si>
  <si>
    <t>Sykdom</t>
  </si>
  <si>
    <t>Reiseulykke</t>
  </si>
  <si>
    <t>Reisesyke</t>
  </si>
  <si>
    <t>Avbestilling</t>
  </si>
  <si>
    <t>Andre skader</t>
  </si>
  <si>
    <t>Fritidsbåt i alt</t>
  </si>
  <si>
    <t>Havari</t>
  </si>
  <si>
    <t>Produktansvar person</t>
  </si>
  <si>
    <t>Produktansvar ting</t>
  </si>
  <si>
    <t>Bedriftsansvar ting</t>
  </si>
  <si>
    <t>Garanti</t>
  </si>
  <si>
    <t>Trygghetsforsikring i alt</t>
  </si>
  <si>
    <t>Yrkesskadeforsikring i alt</t>
  </si>
  <si>
    <t>Tabell 3.2 Yrkesskadeforsikring, anslått erstatning etter skadetype</t>
  </si>
  <si>
    <t>Ulykkesforsikring i alt</t>
  </si>
  <si>
    <t>Reiseforsikring i alt</t>
  </si>
  <si>
    <t>Tyveri/tap av reisegods</t>
  </si>
  <si>
    <t>Tyveri</t>
  </si>
  <si>
    <t>Ansvarsforsikring i alt</t>
  </si>
  <si>
    <t>Tabell 4.6 Ansvarsforsikring, anslått erstatning etter skadetype</t>
  </si>
  <si>
    <t>Bedriftsansvar person</t>
  </si>
  <si>
    <t>Formuesskade</t>
  </si>
  <si>
    <t>Annen person</t>
  </si>
  <si>
    <t>Annen ting</t>
  </si>
  <si>
    <t>Tabell 4.4 Fritidsbåtforsikring, anslått erstatning etter skadetype</t>
  </si>
  <si>
    <t>Tabell 4.2 Reiseforsikring, anslått erstatning etter skadetype</t>
  </si>
  <si>
    <t>Tabell 3.6 Ulykkesforsikring, anslått erstatning etter skadetype</t>
  </si>
  <si>
    <t>Tabell 3.4 Trygghetsforsikring, anslått erstatning etter skadetype</t>
  </si>
  <si>
    <t>ANTALL</t>
  </si>
  <si>
    <t>KVARTAL</t>
  </si>
  <si>
    <t>ÅR</t>
  </si>
  <si>
    <t>Personbil</t>
  </si>
  <si>
    <t>Faktiske tall</t>
  </si>
  <si>
    <t>Motorv.</t>
  </si>
  <si>
    <t>Pers.bil</t>
  </si>
  <si>
    <t>FORDELING</t>
  </si>
  <si>
    <t>Person</t>
  </si>
  <si>
    <t>Materiell</t>
  </si>
  <si>
    <t>Privat</t>
  </si>
  <si>
    <t>Sum</t>
  </si>
  <si>
    <t>Vann</t>
  </si>
  <si>
    <t>SUM</t>
  </si>
  <si>
    <t>INNHOLDSFORTEGNELSE</t>
  </si>
  <si>
    <t>1. HOVEDTREKK …………………………………………………………………………………………………..</t>
  </si>
  <si>
    <t>2. FIGURDEL</t>
  </si>
  <si>
    <t>3. TABELLDEL</t>
  </si>
  <si>
    <t>4. PRINSIPPER, BEGREPER OG DEFINISJONER …………………………………………………</t>
  </si>
  <si>
    <t>Tabell 0.2 Landbasert forsikring i alt, anslått erstatning etter bransje…………………………………………………………………………</t>
  </si>
  <si>
    <t>Tabell 1.2 Motorvogn, anslått erstatning etter kjøretøy………………………………………………</t>
  </si>
  <si>
    <t>Tabell 1.4 Motorvogn, anslått erstatning etter skadetype……………………………………………</t>
  </si>
  <si>
    <t>Tabell 2.2 Brann-kombinert Privat, anslått erstatning etter skadetype  …………………………………….</t>
  </si>
  <si>
    <t>Tabell 2.2a Brann-kombinert Privat herav Hjem, anslått erstatning……………………………………………</t>
  </si>
  <si>
    <r>
      <t xml:space="preserve">Tabell 2.2c Brann-kombinert Privat herav </t>
    </r>
    <r>
      <rPr>
        <b/>
        <i/>
        <sz val="12"/>
        <rFont val="Times New Roman"/>
        <family val="1"/>
      </rPr>
      <t>Hytte,</t>
    </r>
    <r>
      <rPr>
        <b/>
        <sz val="12"/>
        <rFont val="Times New Roman"/>
        <family val="1"/>
      </rPr>
      <t xml:space="preserve"> anslått erstatning</t>
    </r>
  </si>
  <si>
    <r>
      <t xml:space="preserve">Tabell 2.2b Brann-kombinert Privat herav </t>
    </r>
    <r>
      <rPr>
        <b/>
        <i/>
        <sz val="12"/>
        <rFont val="Times New Roman"/>
        <family val="1"/>
      </rPr>
      <t>Villa,</t>
    </r>
    <r>
      <rPr>
        <b/>
        <sz val="12"/>
        <rFont val="Times New Roman"/>
        <family val="1"/>
      </rPr>
      <t xml:space="preserve"> anslått erstatning</t>
    </r>
  </si>
  <si>
    <t>Tabell 2.2b Brann-kombinert Privat herav Villa, anslått erstatning……………………………………………</t>
  </si>
  <si>
    <t>Tabell 2.2c Brann-kombinert Privat herav Hytte anslått erstatning…………………………………………………………………</t>
  </si>
  <si>
    <t>Tabell 3.4 Trygghetsforsikring, anslått erstatning etter skadetype…………………………………………</t>
  </si>
  <si>
    <t>Tabell 3.6 Ulykkesforsikring, anslått erstatning etter skadetype………………………………………</t>
  </si>
  <si>
    <t>Tabell 3.2 Yrkesskadeforsikring, anslått erstatning etter skadetype …………………………………….</t>
  </si>
  <si>
    <t>Tabell 4.4 Fritidsbåtforsikring, anslått erstatning etter skadetype……………………………………………………………</t>
  </si>
  <si>
    <t>Tabell 4.6 Ansvarsforsikring, anslått erstatning etter skadetype   …………………………………………………………………….</t>
  </si>
  <si>
    <t>Tabell 4.2 Reiseforsikring, anslått erstatning etter skadetype……………………………………………………………</t>
  </si>
  <si>
    <t>Antall</t>
  </si>
  <si>
    <t>4. PRINSIPPER, BEGREPER OG DEFINISJONER</t>
  </si>
  <si>
    <t>Hentes fra tab5:</t>
  </si>
  <si>
    <t>Hjem</t>
  </si>
  <si>
    <t>Villa</t>
  </si>
  <si>
    <t>Hytte</t>
  </si>
  <si>
    <t>Tab1</t>
  </si>
  <si>
    <t>Tab2</t>
  </si>
  <si>
    <t>Tab3</t>
  </si>
  <si>
    <t>Tab4</t>
  </si>
  <si>
    <t>Tab5</t>
  </si>
  <si>
    <t>Tab6</t>
  </si>
  <si>
    <t>Tab7</t>
  </si>
  <si>
    <t>Tab8</t>
  </si>
  <si>
    <t>Tab9</t>
  </si>
  <si>
    <t>Tab10</t>
  </si>
  <si>
    <t>Tab11</t>
  </si>
  <si>
    <t>Tab13</t>
  </si>
  <si>
    <t>Tab14</t>
  </si>
  <si>
    <t>Tab15</t>
  </si>
  <si>
    <t>Tab16</t>
  </si>
  <si>
    <t>Tab17</t>
  </si>
  <si>
    <t>Tab18</t>
  </si>
  <si>
    <t>Tabell 0.1 Landbasert forsikring i alt, antall meldte skader etter bransje…………………………………………………………………………</t>
  </si>
  <si>
    <t>Tabell 1.1 Motorvogn, antall meldte skader etter kjøretøy………………………………………………….</t>
  </si>
  <si>
    <t>Tabell 1.3 Motorvogn, antall meldte skader etter skadetype………………………………………</t>
  </si>
  <si>
    <t>Tabell 2.1 Brann-kombinert Privat, antall meldte skader etter skadetype…………………………………</t>
  </si>
  <si>
    <t>Tabell 2.1a Brann-kombinert Privat herav Hjem, antall meldte skader  …………………………………………</t>
  </si>
  <si>
    <t>Tabell 2.1b Brann-kombinert Privat herav Villa, antall meldte skader  …………………………………………</t>
  </si>
  <si>
    <t>Tabell 2.1c Brann-kombinert Privat herav Hytte antall meldte skader………………………………………………………………</t>
  </si>
  <si>
    <t>Tabell 3.1 Yrkesskadeforsikring, antall meldte skader etter skadetype…………………………………</t>
  </si>
  <si>
    <t>Tabell 3.3 Trygghetsforsikring, antall meldte skader etter skadetype…………………………………………</t>
  </si>
  <si>
    <t>Tabell 3.5 Ulykkesforsikring, antall meldte skader etter skadetype…………………………………………</t>
  </si>
  <si>
    <t>Tabell 4.1 Reiseforsikring, antall meldte skader etter skadetype…………………………………………………………</t>
  </si>
  <si>
    <t>Tabell 4.3 Fritidsbåtforsikring, antall meldte skader etter skadetype…………………………………………………………</t>
  </si>
  <si>
    <t>Tabell 4.5 Ansvarsforsikring, antall meldte skader etter skadetype …………………………………………………………………….</t>
  </si>
  <si>
    <t>Tabell 0.1 Landbasert forsikring i alt, antall meldte skader etter bransje</t>
  </si>
  <si>
    <t>Tabell 1.1 Motorvogn, antall meldte skader etter kjøretøy</t>
  </si>
  <si>
    <t>Tabell 1.3 Motorvogn, antall meldte skader etter skadetype</t>
  </si>
  <si>
    <t>Tabell 2.1 Brann-kombinert Privat, antall meldte skader etter skadetype</t>
  </si>
  <si>
    <t>Tabell 2.1a Brann-kombinert Privat herav Hjem, antall meldte skader</t>
  </si>
  <si>
    <t>Tabell 2.1b Brann-kombinert Privat herav Villa, antall meldte skader</t>
  </si>
  <si>
    <t>Tabell 2.1c Brann-kombinert Privat herav Hytte, antall meldte skader</t>
  </si>
  <si>
    <t>Tabell 3.1 Yrkesskadeforsikring, antall meldte skader etter skadetype</t>
  </si>
  <si>
    <t>Tabell 3.3 Trygghetsforsikring, antall meldte skader etter skadetype</t>
  </si>
  <si>
    <t>Tabell 3.5 Ulykkesforsikring, antall meldte skader etter skadetype</t>
  </si>
  <si>
    <t>Tabell 4.1 Reiseforsikring, antall meldte skader etter skadetype</t>
  </si>
  <si>
    <t>Tabell 4.3 Fritidsbåtforsikring, antall meldte skader etter skadetype</t>
  </si>
  <si>
    <t>Tabell 4.5 Ansvarsforsikring, antall meldte skader etter skadetype</t>
  </si>
  <si>
    <t>Erstatning</t>
  </si>
  <si>
    <t>Just. erst.</t>
  </si>
  <si>
    <t>KPI</t>
  </si>
  <si>
    <t>Fra tab:</t>
  </si>
  <si>
    <t>Vannskader</t>
  </si>
  <si>
    <t>Fig. 3. Ansl. erstat. etter bransje</t>
  </si>
  <si>
    <t>Tabell 2.3 Brann-kombinert Næring, antall meldte skader etter skadetype</t>
  </si>
  <si>
    <t>Tabell 2.4 Brann-kombinert Næring, anslått erstatning etter skadetype</t>
  </si>
  <si>
    <t>Næring i alt</t>
  </si>
  <si>
    <t>Tabell 2.3 Brann-kombinert Næring, antall meldte skader etter skadetype …………………………………………………………</t>
  </si>
  <si>
    <t>Tabell 2.4 Brann-kombinert Næring, anslått erstatning etter skadetype……………………………………………………………</t>
  </si>
  <si>
    <t>Brann-kombinert, Næring</t>
  </si>
  <si>
    <t>Næring</t>
  </si>
  <si>
    <t>I alt</t>
  </si>
  <si>
    <t>Brann                                                       (inkl avbrudd)</t>
  </si>
  <si>
    <t>Tab12</t>
  </si>
  <si>
    <t>oppslag</t>
  </si>
  <si>
    <t>beregning</t>
  </si>
  <si>
    <t>Brannskader</t>
  </si>
  <si>
    <t>Innbrudd/tyveri/ran</t>
  </si>
  <si>
    <t>Figur 4</t>
  </si>
  <si>
    <t>Figur 10</t>
  </si>
  <si>
    <t>Figur 9</t>
  </si>
  <si>
    <t>Fig. 1. Antall anmeldte skader etter bransje</t>
  </si>
  <si>
    <t>Fig. 2. Antall anmeldte skader etter bransje</t>
  </si>
  <si>
    <t>Figur 5. Antall meldte skader i motorvogn kvartalsvis (i 1000)</t>
  </si>
  <si>
    <t>Fig. 5</t>
  </si>
  <si>
    <t>Fig. 6.  Ansl. erstat. etter skadetype, motorvogn</t>
  </si>
  <si>
    <t>Fig. 7. Antall skader i de Brann-kombinerte bransjer etter skadetype</t>
  </si>
  <si>
    <t>Fig. 8. Anslått erstatning i de Brann-kombinerte bransjer etter skadetype</t>
  </si>
  <si>
    <t>Hittil</t>
  </si>
  <si>
    <t>Hele året</t>
  </si>
  <si>
    <t>Kaskoskader</t>
  </si>
  <si>
    <t>Barn</t>
  </si>
  <si>
    <t>Kritisk sykdom</t>
  </si>
  <si>
    <t>Behandling</t>
  </si>
  <si>
    <t>Barneforsikring i alt</t>
  </si>
  <si>
    <t>Medisinsk invaliditet</t>
  </si>
  <si>
    <t>Hjelpestønad</t>
  </si>
  <si>
    <t>Behandlingsutgifter</t>
  </si>
  <si>
    <t>Dagpenger</t>
  </si>
  <si>
    <t>Dødsfall</t>
  </si>
  <si>
    <t>Ombygging av bolig</t>
  </si>
  <si>
    <t>Utvalgte sykdommer</t>
  </si>
  <si>
    <t>Kritisk sykdom i alt</t>
  </si>
  <si>
    <t>Kreft</t>
  </si>
  <si>
    <t>Hjerte- og karsykdommer</t>
  </si>
  <si>
    <t>Hjerneslag</t>
  </si>
  <si>
    <t>Nyresvikt</t>
  </si>
  <si>
    <t>Multippel sklerose (MS)</t>
  </si>
  <si>
    <t>Annen sykdom</t>
  </si>
  <si>
    <t>Behandling i alt</t>
  </si>
  <si>
    <t>Legespesialist/diagnostikk</t>
  </si>
  <si>
    <t>Psykolog/psykiater</t>
  </si>
  <si>
    <t>Annen behandling</t>
  </si>
  <si>
    <t>Tabell 3.7 Barneforsikring, antall meldte skader etter skadetype</t>
  </si>
  <si>
    <t>Tabell 3.8 Barneforsikring, anslått erstatning etter skadetype</t>
  </si>
  <si>
    <t>Tabell 3.9 Kritisk sykdom, antall meldte skader etter skadetype</t>
  </si>
  <si>
    <t>Tabell 3.10 Kritisk sykdom, anslått erstatning etter skadetype</t>
  </si>
  <si>
    <t>Tabell 3.11 Behandlingsforsikring, antall meldte skader etter skadetype</t>
  </si>
  <si>
    <t>Tabell 3.12 Behandlingsforsikring, anslått erstatning etter skadetype</t>
  </si>
  <si>
    <t>Tabell 3.7 Barneforsikring, antall meldte skader etter skadetype…………………………………………</t>
  </si>
  <si>
    <t>Tabell 3.8 Barneforsikring, anslått erstatning etter skadetype………………………………………</t>
  </si>
  <si>
    <t>Tabell 3.9 Kritisk sykdom, antall meldte skader etter skadetype…………………………………………</t>
  </si>
  <si>
    <t>Tabell 3.10 Kritisk sykdom, anslått erstatning etter skadetype………………………………………</t>
  </si>
  <si>
    <t>Tabell 3.11 Behandlingsforsikring, antall meldte skader etter skadetype…………………………………………</t>
  </si>
  <si>
    <t>Tabell 3.12 Behandlingsforsikring, anslått erstatning etter skadetype………………………………………</t>
  </si>
  <si>
    <t>Tab19</t>
  </si>
  <si>
    <t>Tab20</t>
  </si>
  <si>
    <t>Tab21</t>
  </si>
  <si>
    <t>Operasjon</t>
  </si>
  <si>
    <t>Uførhet</t>
  </si>
  <si>
    <t>midt-måneden</t>
  </si>
  <si>
    <t>Fysioterapeut/kiropraktor</t>
  </si>
  <si>
    <t>(2019)</t>
  </si>
  <si>
    <t xml:space="preserve">NB. Datagrunnlaget er levert fra Finans Norges medlemsselskaper. Enkelte tall kan bli justert i </t>
  </si>
  <si>
    <t xml:space="preserve">etterkant dersom et selskap oppdager feil eller mangler ved sine data. For mer detaljert beskrivelse </t>
  </si>
  <si>
    <t>av statistikkens innhold henviser vi til side 27 og 28.</t>
  </si>
  <si>
    <t>2024</t>
  </si>
  <si>
    <t>2025</t>
  </si>
  <si>
    <t>2026</t>
  </si>
  <si>
    <t>24-26</t>
  </si>
  <si>
    <t>25-26</t>
  </si>
  <si>
    <t>*</t>
  </si>
  <si>
    <t>Hittil i år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</si>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</sst>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0.0_)"/>
    <numFmt numFmtId="166" formatCode="#,##0.0"/>
    <numFmt numFmtId="167" formatCode="_ * #,##0_ ;_ * \-#,##0_ ;_ * &quot;-&quot;??_ ;_ @_ "/>
    <numFmt numFmtId="168" formatCode="0.0"/>
    <numFmt numFmtId="169" formatCode="0.000"/>
    <numFmt numFmtId="170" formatCode="#,##0.000"/>
    <numFmt numFmtId="171" formatCode="_(* #,##0_);_(* \(#,##0\);_(* &quot;-&quot;??_);_(@_)"/>
  </numFmts>
  <fonts count="44"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Times New Roman"/>
      <family val="1"/>
    </font>
    <font>
      <u/>
      <sz val="12"/>
      <color indexed="12"/>
      <name val="System"/>
      <family val="2"/>
    </font>
    <font>
      <b/>
      <sz val="12"/>
      <name val="Times New Roman"/>
      <family val="1"/>
    </font>
    <font>
      <sz val="9"/>
      <name val="Times New Roman"/>
      <family val="1"/>
    </font>
    <font>
      <b/>
      <sz val="9"/>
      <name val="Times New Roman"/>
      <family val="1"/>
    </font>
    <font>
      <sz val="12"/>
      <name val="Arial"/>
      <family val="2"/>
    </font>
    <font>
      <i/>
      <sz val="9"/>
      <name val="Times New Roman"/>
      <family val="1"/>
    </font>
    <font>
      <b/>
      <sz val="10"/>
      <name val="Times New Roman"/>
      <family val="1"/>
    </font>
    <font>
      <i/>
      <sz val="10"/>
      <name val="Times New Roman"/>
      <family val="1"/>
    </font>
    <font>
      <b/>
      <sz val="16"/>
      <name val="Times New Roman"/>
      <family val="1"/>
    </font>
    <font>
      <sz val="8"/>
      <name val="Times New Roman"/>
      <family val="1"/>
    </font>
    <font>
      <b/>
      <i/>
      <sz val="12"/>
      <name val="Times New Roman"/>
      <family val="1"/>
    </font>
    <font>
      <b/>
      <sz val="10"/>
      <name val="Arial"/>
      <family val="2"/>
    </font>
    <font>
      <sz val="10"/>
      <color indexed="8"/>
      <name val="Arial"/>
      <family val="2"/>
    </font>
    <font>
      <sz val="10"/>
      <color indexed="18"/>
      <name val="Arial"/>
      <family val="2"/>
    </font>
    <font>
      <sz val="14"/>
      <name val="Times New Roman"/>
      <family val="1"/>
    </font>
    <font>
      <sz val="12"/>
      <name val="Times New Roman"/>
      <family val="1"/>
    </font>
    <font>
      <sz val="10"/>
      <name val="Arial"/>
      <family val="2"/>
    </font>
    <font>
      <sz val="10"/>
      <color indexed="9"/>
      <name val="Times New Roman"/>
      <family val="1"/>
    </font>
    <font>
      <i/>
      <sz val="12"/>
      <name val="Times New Roman"/>
      <family val="1"/>
    </font>
    <font>
      <u/>
      <sz val="12"/>
      <color indexed="12"/>
      <name val="Arial"/>
      <family val="2"/>
    </font>
    <font>
      <sz val="10"/>
      <color indexed="23"/>
      <name val="Arial"/>
      <family val="2"/>
    </font>
    <font>
      <sz val="18"/>
      <color indexed="23"/>
      <name val="Times New Roman"/>
      <family val="1"/>
    </font>
    <font>
      <sz val="14"/>
      <color indexed="23"/>
      <name val="Times New Roman"/>
      <family val="1"/>
    </font>
    <font>
      <b/>
      <sz val="28"/>
      <color rgb="FF3B6E8F"/>
      <name val="Cambria"/>
      <family val="1"/>
      <scheme val="major"/>
    </font>
    <font>
      <sz val="20"/>
      <color theme="1"/>
      <name val="Calibri"/>
      <family val="2"/>
      <scheme val="minor"/>
    </font>
    <font>
      <sz val="14"/>
      <color theme="1"/>
      <name val="Calibri"/>
      <family val="2"/>
      <scheme val="minor"/>
    </font>
    <font>
      <b/>
      <sz val="26"/>
      <color rgb="FF3B6E8F"/>
      <name val="Cambria"/>
      <family val="1"/>
      <scheme val="major"/>
    </font>
    <font>
      <b/>
      <sz val="28"/>
      <color rgb="FF54758C"/>
      <name val="Arial"/>
      <family val="2"/>
    </font>
    <font>
      <sz val="26"/>
      <color rgb="FF54758C"/>
      <name val="Arial"/>
      <family val="2"/>
    </font>
    <font>
      <sz val="14"/>
      <name val="Arial"/>
      <family val="2"/>
    </font>
    <font>
      <sz val="14"/>
      <color indexed="22"/>
      <name val="Times New Roman"/>
      <family val="1"/>
    </font>
    <font>
      <u/>
      <sz val="10"/>
      <name val="Arial"/>
      <family val="2"/>
    </font>
    <font>
      <u/>
      <sz val="12"/>
      <name val="System"/>
      <family val="2"/>
    </font>
    <font>
      <sz val="10"/>
      <color theme="1"/>
      <name val="Times New Roman"/>
      <family val="1"/>
    </font>
    <font>
      <sz val="10"/>
      <color theme="0"/>
      <name val="Times New Roman"/>
      <family val="1"/>
    </font>
    <font>
      <b/>
      <sz val="10"/>
      <color theme="0"/>
      <name val="Times New Roman"/>
      <family val="1"/>
    </font>
    <font>
      <b/>
      <sz val="10"/>
      <color theme="0"/>
      <name val="Arial"/>
      <family val="2"/>
    </font>
    <font>
      <sz val="10"/>
      <color theme="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s>
  <cellStyleXfs count="17">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3" fillId="0" borderId="0"/>
    <xf numFmtId="0" fontId="3" fillId="0" borderId="0"/>
  </cellStyleXfs>
  <cellXfs count="205">
    <xf numFmtId="0" fontId="0" fillId="0" borderId="0" xfId="0"/>
    <xf numFmtId="0" fontId="5" fillId="0" borderId="0" xfId="0" applyFont="1"/>
    <xf numFmtId="0" fontId="5" fillId="0" borderId="0" xfId="0" applyFont="1" applyAlignment="1">
      <alignment horizontal="left"/>
    </xf>
    <xf numFmtId="0" fontId="6" fillId="0" borderId="0" xfId="2" applyFont="1" applyAlignment="1" applyProtection="1">
      <alignment horizontal="left"/>
    </xf>
    <xf numFmtId="0" fontId="7" fillId="2" borderId="0" xfId="0" applyFont="1" applyFill="1"/>
    <xf numFmtId="165" fontId="8" fillId="0" borderId="0" xfId="0" applyNumberFormat="1" applyFont="1"/>
    <xf numFmtId="0" fontId="8" fillId="0" borderId="0" xfId="0" applyFont="1"/>
    <xf numFmtId="0" fontId="9" fillId="2" borderId="1" xfId="0" applyFont="1" applyFill="1" applyBorder="1"/>
    <xf numFmtId="0" fontId="9" fillId="2" borderId="2" xfId="0" applyFont="1" applyFill="1" applyBorder="1" applyAlignment="1">
      <alignment horizontal="center"/>
    </xf>
    <xf numFmtId="0" fontId="9" fillId="2" borderId="3" xfId="0" applyFont="1" applyFill="1" applyBorder="1"/>
    <xf numFmtId="0" fontId="8" fillId="2" borderId="2" xfId="0" applyFont="1" applyFill="1" applyBorder="1"/>
    <xf numFmtId="0" fontId="8" fillId="2" borderId="4" xfId="0" applyFont="1" applyFill="1" applyBorder="1"/>
    <xf numFmtId="0" fontId="9" fillId="2" borderId="5" xfId="0" applyFont="1" applyFill="1" applyBorder="1" applyAlignment="1">
      <alignment horizontal="left"/>
    </xf>
    <xf numFmtId="14" fontId="9" fillId="2" borderId="6" xfId="0" applyNumberFormat="1" applyFont="1" applyFill="1" applyBorder="1" applyAlignment="1">
      <alignment horizontal="right"/>
    </xf>
    <xf numFmtId="1" fontId="9" fillId="2" borderId="7" xfId="0" applyNumberFormat="1" applyFont="1" applyFill="1" applyBorder="1" applyAlignment="1">
      <alignment horizontal="right"/>
    </xf>
    <xf numFmtId="1" fontId="9" fillId="2" borderId="6" xfId="0" applyNumberFormat="1" applyFont="1" applyFill="1" applyBorder="1" applyAlignment="1">
      <alignment horizontal="right"/>
    </xf>
    <xf numFmtId="1" fontId="9" fillId="2" borderId="8" xfId="0" applyNumberFormat="1" applyFont="1" applyFill="1" applyBorder="1" applyAlignment="1">
      <alignment horizontal="right"/>
    </xf>
    <xf numFmtId="14" fontId="9" fillId="2" borderId="7" xfId="0" applyNumberFormat="1" applyFont="1" applyFill="1" applyBorder="1" applyAlignment="1">
      <alignment horizontal="right"/>
    </xf>
    <xf numFmtId="14" fontId="9" fillId="2" borderId="9" xfId="0" applyNumberFormat="1" applyFont="1" applyFill="1" applyBorder="1" applyAlignment="1">
      <alignment horizontal="right"/>
    </xf>
    <xf numFmtId="0" fontId="8" fillId="0" borderId="10" xfId="0" applyFont="1" applyBorder="1"/>
    <xf numFmtId="3" fontId="8" fillId="0" borderId="0" xfId="1" applyNumberFormat="1" applyFont="1" applyProtection="1"/>
    <xf numFmtId="3" fontId="8" fillId="0" borderId="0" xfId="1" applyNumberFormat="1" applyFont="1" applyBorder="1" applyProtection="1"/>
    <xf numFmtId="167" fontId="8" fillId="0" borderId="11" xfId="1" applyNumberFormat="1" applyFont="1" applyBorder="1" applyAlignment="1" applyProtection="1">
      <alignment horizontal="right"/>
    </xf>
    <xf numFmtId="165" fontId="8" fillId="0" borderId="0" xfId="0" applyNumberFormat="1" applyFont="1" applyAlignment="1">
      <alignment horizontal="right"/>
    </xf>
    <xf numFmtId="165" fontId="8" fillId="0" borderId="12" xfId="0" applyNumberFormat="1" applyFont="1" applyBorder="1" applyAlignment="1">
      <alignment horizontal="right"/>
    </xf>
    <xf numFmtId="0" fontId="11" fillId="0" borderId="13" xfId="0" applyFont="1" applyBorder="1"/>
    <xf numFmtId="3" fontId="8" fillId="0" borderId="14" xfId="1" applyNumberFormat="1" applyFont="1" applyBorder="1" applyProtection="1"/>
    <xf numFmtId="167" fontId="8" fillId="0" borderId="13" xfId="1" applyNumberFormat="1" applyFont="1" applyBorder="1" applyProtection="1"/>
    <xf numFmtId="165" fontId="8" fillId="0" borderId="14" xfId="0" applyNumberFormat="1" applyFont="1" applyBorder="1" applyAlignment="1">
      <alignment horizontal="right"/>
    </xf>
    <xf numFmtId="165" fontId="8" fillId="0" borderId="15" xfId="0" applyNumberFormat="1" applyFont="1" applyBorder="1" applyAlignment="1">
      <alignment horizontal="right"/>
    </xf>
    <xf numFmtId="0" fontId="8" fillId="0" borderId="16" xfId="0" applyFont="1" applyBorder="1"/>
    <xf numFmtId="0" fontId="8" fillId="0" borderId="11" xfId="0" applyFont="1" applyBorder="1"/>
    <xf numFmtId="165" fontId="8" fillId="0" borderId="17" xfId="0" applyNumberFormat="1" applyFont="1" applyBorder="1" applyAlignment="1">
      <alignment horizontal="right"/>
    </xf>
    <xf numFmtId="165" fontId="8" fillId="0" borderId="18" xfId="0" applyNumberFormat="1" applyFont="1" applyBorder="1" applyAlignment="1">
      <alignment horizontal="right"/>
    </xf>
    <xf numFmtId="0" fontId="8" fillId="0" borderId="19" xfId="0" applyFont="1" applyBorder="1"/>
    <xf numFmtId="165" fontId="8" fillId="0" borderId="20" xfId="0" applyNumberFormat="1" applyFont="1" applyBorder="1" applyAlignment="1">
      <alignment horizontal="right"/>
    </xf>
    <xf numFmtId="3" fontId="8" fillId="0" borderId="21" xfId="1" applyNumberFormat="1" applyFont="1" applyBorder="1" applyProtection="1"/>
    <xf numFmtId="165" fontId="8" fillId="0" borderId="21" xfId="0" applyNumberFormat="1" applyFont="1" applyBorder="1" applyAlignment="1">
      <alignment horizontal="right"/>
    </xf>
    <xf numFmtId="0" fontId="8" fillId="0" borderId="22" xfId="0" applyFont="1" applyBorder="1"/>
    <xf numFmtId="3" fontId="8" fillId="0" borderId="0" xfId="1" applyNumberFormat="1" applyFont="1"/>
    <xf numFmtId="0" fontId="9" fillId="0" borderId="23" xfId="0" applyFont="1" applyBorder="1"/>
    <xf numFmtId="0" fontId="11" fillId="0" borderId="24" xfId="0" applyFont="1" applyBorder="1"/>
    <xf numFmtId="3" fontId="8" fillId="0" borderId="25" xfId="1" applyNumberFormat="1" applyFont="1" applyBorder="1" applyProtection="1"/>
    <xf numFmtId="167" fontId="8" fillId="0" borderId="24" xfId="1" applyNumberFormat="1" applyFont="1" applyBorder="1" applyProtection="1"/>
    <xf numFmtId="165" fontId="8" fillId="0" borderId="26" xfId="0" applyNumberFormat="1" applyFont="1" applyBorder="1" applyAlignment="1">
      <alignment horizontal="right"/>
    </xf>
    <xf numFmtId="165" fontId="8" fillId="0" borderId="27" xfId="0" applyNumberFormat="1" applyFont="1" applyBorder="1" applyAlignment="1">
      <alignment horizontal="right"/>
    </xf>
    <xf numFmtId="0" fontId="12" fillId="0" borderId="0" xfId="0" applyFont="1"/>
    <xf numFmtId="0" fontId="13" fillId="0" borderId="0" xfId="0" applyFont="1"/>
    <xf numFmtId="167" fontId="5" fillId="0" borderId="0" xfId="1" applyNumberFormat="1" applyFont="1" applyBorder="1" applyProtection="1"/>
    <xf numFmtId="165" fontId="5" fillId="0" borderId="0" xfId="0" applyNumberFormat="1" applyFont="1" applyAlignment="1">
      <alignment horizontal="right"/>
    </xf>
    <xf numFmtId="0" fontId="5" fillId="0" borderId="6" xfId="0" applyFont="1" applyBorder="1"/>
    <xf numFmtId="0" fontId="15" fillId="0" borderId="0" xfId="0" applyFont="1" applyAlignment="1">
      <alignment horizontal="right"/>
    </xf>
    <xf numFmtId="0" fontId="15" fillId="0" borderId="0" xfId="0" applyFont="1" applyAlignment="1">
      <alignment horizontal="left"/>
    </xf>
    <xf numFmtId="167" fontId="5" fillId="0" borderId="0" xfId="1" applyNumberFormat="1" applyFont="1" applyBorder="1" applyAlignment="1" applyProtection="1">
      <alignment horizontal="center"/>
    </xf>
    <xf numFmtId="0" fontId="8" fillId="0" borderId="23" xfId="0" applyFont="1" applyBorder="1"/>
    <xf numFmtId="165" fontId="8" fillId="0" borderId="25" xfId="0" applyNumberFormat="1" applyFont="1" applyBorder="1" applyAlignment="1">
      <alignment horizontal="right"/>
    </xf>
    <xf numFmtId="167" fontId="8" fillId="0" borderId="0" xfId="1" applyNumberFormat="1" applyFont="1" applyBorder="1" applyAlignment="1" applyProtection="1">
      <alignment horizontal="right"/>
    </xf>
    <xf numFmtId="0" fontId="11" fillId="0" borderId="0" xfId="0" applyFont="1"/>
    <xf numFmtId="167" fontId="8" fillId="0" borderId="0" xfId="1" applyNumberFormat="1" applyFont="1" applyBorder="1" applyProtection="1"/>
    <xf numFmtId="3" fontId="8" fillId="0" borderId="0" xfId="1" applyNumberFormat="1" applyFont="1" applyBorder="1"/>
    <xf numFmtId="0" fontId="9" fillId="0" borderId="0" xfId="0" applyFont="1"/>
    <xf numFmtId="0" fontId="17" fillId="0" borderId="0" xfId="0" applyFont="1"/>
    <xf numFmtId="0" fontId="18" fillId="0" borderId="0" xfId="0" applyFont="1"/>
    <xf numFmtId="0" fontId="19" fillId="0" borderId="0" xfId="0" applyFont="1"/>
    <xf numFmtId="1" fontId="19" fillId="0" borderId="0" xfId="0" applyNumberFormat="1" applyFont="1"/>
    <xf numFmtId="1" fontId="0" fillId="0" borderId="0" xfId="0" applyNumberFormat="1"/>
    <xf numFmtId="0" fontId="21" fillId="0" borderId="0" xfId="0" applyFont="1"/>
    <xf numFmtId="0" fontId="21" fillId="0" borderId="0" xfId="0" applyFont="1" applyAlignment="1">
      <alignment horizontal="center"/>
    </xf>
    <xf numFmtId="0" fontId="7" fillId="0" borderId="0" xfId="0" applyFont="1" applyAlignment="1">
      <alignment horizontal="left"/>
    </xf>
    <xf numFmtId="0" fontId="21" fillId="0" borderId="0" xfId="0" applyFont="1" applyAlignment="1">
      <alignment horizontal="left"/>
    </xf>
    <xf numFmtId="0" fontId="5" fillId="0" borderId="0" xfId="0" quotePrefix="1" applyFont="1"/>
    <xf numFmtId="0" fontId="0" fillId="0" borderId="0" xfId="0" applyAlignment="1">
      <alignment horizontal="left"/>
    </xf>
    <xf numFmtId="3" fontId="8" fillId="0" borderId="28" xfId="1" applyNumberFormat="1" applyFont="1" applyBorder="1" applyProtection="1"/>
    <xf numFmtId="166" fontId="8" fillId="0" borderId="0" xfId="1" applyNumberFormat="1" applyFont="1" applyProtection="1"/>
    <xf numFmtId="166" fontId="8" fillId="0" borderId="28" xfId="1" applyNumberFormat="1" applyFont="1" applyBorder="1" applyProtection="1"/>
    <xf numFmtId="166" fontId="8" fillId="0" borderId="14" xfId="1" applyNumberFormat="1" applyFont="1" applyBorder="1" applyProtection="1"/>
    <xf numFmtId="166" fontId="8" fillId="0" borderId="0" xfId="1" applyNumberFormat="1" applyFont="1" applyBorder="1" applyProtection="1"/>
    <xf numFmtId="166" fontId="8" fillId="0" borderId="21" xfId="1" applyNumberFormat="1" applyFont="1" applyBorder="1" applyProtection="1"/>
    <xf numFmtId="166" fontId="8" fillId="0" borderId="0" xfId="1" applyNumberFormat="1" applyFont="1"/>
    <xf numFmtId="166" fontId="8" fillId="0" borderId="25" xfId="1" applyNumberFormat="1" applyFont="1" applyBorder="1" applyProtection="1"/>
    <xf numFmtId="0" fontId="23" fillId="0" borderId="0" xfId="0" applyFont="1"/>
    <xf numFmtId="0" fontId="7" fillId="0" borderId="0" xfId="0" applyFont="1"/>
    <xf numFmtId="0" fontId="22" fillId="0" borderId="0" xfId="0" applyFont="1"/>
    <xf numFmtId="0" fontId="25" fillId="0" borderId="0" xfId="2" applyFont="1" applyAlignment="1" applyProtection="1">
      <alignment horizontal="left"/>
    </xf>
    <xf numFmtId="0" fontId="4" fillId="0" borderId="0" xfId="3" applyAlignment="1" applyProtection="1">
      <alignment horizontal="left"/>
    </xf>
    <xf numFmtId="0" fontId="4" fillId="0" borderId="0" xfId="3" applyAlignment="1" applyProtection="1"/>
    <xf numFmtId="0" fontId="24" fillId="0" borderId="0" xfId="0" applyFont="1"/>
    <xf numFmtId="166" fontId="5" fillId="0" borderId="0" xfId="0" applyNumberFormat="1" applyFont="1"/>
    <xf numFmtId="0" fontId="21" fillId="0" borderId="0" xfId="0" quotePrefix="1" applyFont="1"/>
    <xf numFmtId="3" fontId="8" fillId="0" borderId="0" xfId="1" quotePrefix="1" applyNumberFormat="1" applyFont="1" applyBorder="1" applyProtection="1"/>
    <xf numFmtId="167" fontId="5" fillId="0" borderId="0" xfId="1" quotePrefix="1" applyNumberFormat="1" applyFont="1" applyBorder="1" applyProtection="1"/>
    <xf numFmtId="0" fontId="5" fillId="0" borderId="0" xfId="4" applyFont="1"/>
    <xf numFmtId="0" fontId="5" fillId="0" borderId="0" xfId="4" applyFont="1" applyAlignment="1">
      <alignment horizontal="left"/>
    </xf>
    <xf numFmtId="0" fontId="7" fillId="2" borderId="0" xfId="4" applyFont="1" applyFill="1"/>
    <xf numFmtId="165" fontId="8" fillId="0" borderId="0" xfId="4" applyNumberFormat="1" applyFont="1"/>
    <xf numFmtId="0" fontId="8" fillId="0" borderId="0" xfId="4" applyFont="1"/>
    <xf numFmtId="0" fontId="9" fillId="2" borderId="1" xfId="4" applyFont="1" applyFill="1" applyBorder="1"/>
    <xf numFmtId="0" fontId="9" fillId="2" borderId="2" xfId="4" applyFont="1" applyFill="1" applyBorder="1" applyAlignment="1">
      <alignment horizontal="center"/>
    </xf>
    <xf numFmtId="0" fontId="9" fillId="2" borderId="3" xfId="4" applyFont="1" applyFill="1" applyBorder="1"/>
    <xf numFmtId="0" fontId="8" fillId="2" borderId="2" xfId="4" applyFont="1" applyFill="1" applyBorder="1"/>
    <xf numFmtId="0" fontId="8" fillId="2" borderId="4" xfId="4" applyFont="1" applyFill="1" applyBorder="1"/>
    <xf numFmtId="0" fontId="9" fillId="2" borderId="5" xfId="4" applyFont="1" applyFill="1" applyBorder="1" applyAlignment="1">
      <alignment horizontal="left"/>
    </xf>
    <xf numFmtId="14" fontId="9" fillId="2" borderId="6" xfId="4" applyNumberFormat="1" applyFont="1" applyFill="1" applyBorder="1" applyAlignment="1">
      <alignment horizontal="right"/>
    </xf>
    <xf numFmtId="1" fontId="9" fillId="2" borderId="7" xfId="4" applyNumberFormat="1" applyFont="1" applyFill="1" applyBorder="1" applyAlignment="1">
      <alignment horizontal="right"/>
    </xf>
    <xf numFmtId="1" fontId="9" fillId="2" borderId="6" xfId="4" applyNumberFormat="1" applyFont="1" applyFill="1" applyBorder="1" applyAlignment="1">
      <alignment horizontal="right"/>
    </xf>
    <xf numFmtId="1" fontId="9" fillId="2" borderId="8" xfId="4" applyNumberFormat="1" applyFont="1" applyFill="1" applyBorder="1" applyAlignment="1">
      <alignment horizontal="right"/>
    </xf>
    <xf numFmtId="14" fontId="9" fillId="2" borderId="7" xfId="4" applyNumberFormat="1" applyFont="1" applyFill="1" applyBorder="1" applyAlignment="1">
      <alignment horizontal="right"/>
    </xf>
    <xf numFmtId="14" fontId="9" fillId="2" borderId="9" xfId="4" applyNumberFormat="1" applyFont="1" applyFill="1" applyBorder="1" applyAlignment="1">
      <alignment horizontal="right"/>
    </xf>
    <xf numFmtId="0" fontId="8" fillId="0" borderId="10" xfId="4" applyFont="1" applyBorder="1"/>
    <xf numFmtId="165" fontId="8" fillId="0" borderId="0" xfId="4" applyNumberFormat="1" applyFont="1" applyAlignment="1">
      <alignment horizontal="right"/>
    </xf>
    <xf numFmtId="165" fontId="8" fillId="0" borderId="12" xfId="4" applyNumberFormat="1" applyFont="1" applyBorder="1" applyAlignment="1">
      <alignment horizontal="right"/>
    </xf>
    <xf numFmtId="0" fontId="11" fillId="0" borderId="13" xfId="4" applyFont="1" applyBorder="1"/>
    <xf numFmtId="165" fontId="8" fillId="0" borderId="14" xfId="4" applyNumberFormat="1" applyFont="1" applyBorder="1" applyAlignment="1">
      <alignment horizontal="right"/>
    </xf>
    <xf numFmtId="165" fontId="8" fillId="0" borderId="15" xfId="4" applyNumberFormat="1" applyFont="1" applyBorder="1" applyAlignment="1">
      <alignment horizontal="right"/>
    </xf>
    <xf numFmtId="0" fontId="8" fillId="0" borderId="16" xfId="4" applyFont="1" applyBorder="1"/>
    <xf numFmtId="0" fontId="8" fillId="0" borderId="11" xfId="4" applyFont="1" applyBorder="1"/>
    <xf numFmtId="165" fontId="8" fillId="0" borderId="17" xfId="4" applyNumberFormat="1" applyFont="1" applyBorder="1" applyAlignment="1">
      <alignment horizontal="right"/>
    </xf>
    <xf numFmtId="165" fontId="8" fillId="0" borderId="18" xfId="4" applyNumberFormat="1" applyFont="1" applyBorder="1" applyAlignment="1">
      <alignment horizontal="right"/>
    </xf>
    <xf numFmtId="0" fontId="8" fillId="0" borderId="19" xfId="4" applyFont="1" applyBorder="1"/>
    <xf numFmtId="165" fontId="8" fillId="0" borderId="20" xfId="4" applyNumberFormat="1" applyFont="1" applyBorder="1" applyAlignment="1">
      <alignment horizontal="right"/>
    </xf>
    <xf numFmtId="165" fontId="8" fillId="0" borderId="21" xfId="4" applyNumberFormat="1" applyFont="1" applyBorder="1" applyAlignment="1">
      <alignment horizontal="right"/>
    </xf>
    <xf numFmtId="0" fontId="8" fillId="0" borderId="22" xfId="4" applyFont="1" applyBorder="1"/>
    <xf numFmtId="0" fontId="8" fillId="0" borderId="23" xfId="4" applyFont="1" applyBorder="1"/>
    <xf numFmtId="0" fontId="11" fillId="0" borderId="24" xfId="4" applyFont="1" applyBorder="1"/>
    <xf numFmtId="165" fontId="8" fillId="0" borderId="25" xfId="4" applyNumberFormat="1" applyFont="1" applyBorder="1" applyAlignment="1">
      <alignment horizontal="right"/>
    </xf>
    <xf numFmtId="165" fontId="8" fillId="0" borderId="27" xfId="4" applyNumberFormat="1" applyFont="1" applyBorder="1" applyAlignment="1">
      <alignment horizontal="right"/>
    </xf>
    <xf numFmtId="0" fontId="9" fillId="0" borderId="0" xfId="4" applyFont="1"/>
    <xf numFmtId="0" fontId="11" fillId="0" borderId="0" xfId="4" applyFont="1"/>
    <xf numFmtId="0" fontId="12" fillId="0" borderId="0" xfId="4" applyFont="1"/>
    <xf numFmtId="0" fontId="13" fillId="0" borderId="0" xfId="4" applyFont="1"/>
    <xf numFmtId="165" fontId="5" fillId="0" borderId="0" xfId="4" applyNumberFormat="1" applyFont="1" applyAlignment="1">
      <alignment horizontal="right"/>
    </xf>
    <xf numFmtId="0" fontId="5" fillId="0" borderId="6" xfId="4" applyFont="1" applyBorder="1"/>
    <xf numFmtId="0" fontId="15" fillId="0" borderId="0" xfId="4" applyFont="1" applyAlignment="1">
      <alignment horizontal="left"/>
    </xf>
    <xf numFmtId="0" fontId="15" fillId="0" borderId="0" xfId="4" applyFont="1" applyAlignment="1">
      <alignment horizontal="right"/>
    </xf>
    <xf numFmtId="0" fontId="37" fillId="0" borderId="0" xfId="3" applyFont="1" applyAlignment="1" applyProtection="1"/>
    <xf numFmtId="0" fontId="38" fillId="0" borderId="0" xfId="2" applyFont="1" applyAlignment="1" applyProtection="1">
      <alignment horizontal="left"/>
    </xf>
    <xf numFmtId="0" fontId="13" fillId="0" borderId="6" xfId="0" applyFont="1" applyBorder="1"/>
    <xf numFmtId="0" fontId="26" fillId="0" borderId="0" xfId="15" applyFont="1"/>
    <xf numFmtId="0" fontId="3" fillId="0" borderId="0" xfId="15"/>
    <xf numFmtId="0" fontId="0" fillId="0" borderId="0" xfId="15" applyFont="1"/>
    <xf numFmtId="0" fontId="27" fillId="0" borderId="0" xfId="15" applyFont="1" applyAlignment="1">
      <alignment horizontal="right"/>
    </xf>
    <xf numFmtId="0" fontId="3" fillId="0" borderId="0" xfId="16"/>
    <xf numFmtId="0" fontId="29" fillId="0" borderId="0" xfId="15" applyFont="1" applyAlignment="1">
      <alignment horizontal="left"/>
    </xf>
    <xf numFmtId="0" fontId="32" fillId="0" borderId="0" xfId="15" applyFont="1" applyAlignment="1">
      <alignment horizontal="left"/>
    </xf>
    <xf numFmtId="0" fontId="20" fillId="0" borderId="0" xfId="16" applyFont="1" applyAlignment="1">
      <alignment horizontal="left"/>
    </xf>
    <xf numFmtId="0" fontId="10" fillId="0" borderId="0" xfId="15" applyFont="1" applyAlignment="1">
      <alignment horizontal="right"/>
    </xf>
    <xf numFmtId="0" fontId="3" fillId="0" borderId="0" xfId="15" applyAlignment="1">
      <alignment horizontal="right"/>
    </xf>
    <xf numFmtId="0" fontId="30" fillId="0" borderId="0" xfId="15" applyFont="1" applyAlignment="1">
      <alignment horizontal="left"/>
    </xf>
    <xf numFmtId="14" fontId="31" fillId="0" borderId="0" xfId="15" applyNumberFormat="1" applyFont="1" applyAlignment="1">
      <alignment horizontal="left"/>
    </xf>
    <xf numFmtId="0" fontId="31" fillId="0" borderId="0" xfId="15" applyFont="1" applyAlignment="1">
      <alignment horizontal="left"/>
    </xf>
    <xf numFmtId="0" fontId="33" fillId="0" borderId="0" xfId="16" applyFont="1" applyAlignment="1">
      <alignment vertical="center"/>
    </xf>
    <xf numFmtId="0" fontId="34" fillId="0" borderId="0" xfId="16" applyFont="1" applyAlignment="1">
      <alignment vertical="center"/>
    </xf>
    <xf numFmtId="0" fontId="35" fillId="0" borderId="0" xfId="16" applyFont="1"/>
    <xf numFmtId="14" fontId="28" fillId="0" borderId="0" xfId="15" applyNumberFormat="1" applyFont="1"/>
    <xf numFmtId="14" fontId="36" fillId="0" borderId="0" xfId="15" applyNumberFormat="1" applyFont="1" applyAlignment="1">
      <alignment horizontal="right"/>
    </xf>
    <xf numFmtId="0" fontId="39" fillId="0" borderId="0" xfId="0" applyFont="1"/>
    <xf numFmtId="0" fontId="40" fillId="0" borderId="0" xfId="0" applyFont="1"/>
    <xf numFmtId="0" fontId="41" fillId="0" borderId="0" xfId="0" applyFont="1" applyAlignment="1">
      <alignment horizontal="right"/>
    </xf>
    <xf numFmtId="0" fontId="42" fillId="0" borderId="0" xfId="0" applyFont="1"/>
    <xf numFmtId="0" fontId="43" fillId="0" borderId="0" xfId="0" applyFont="1"/>
    <xf numFmtId="0" fontId="41" fillId="0" borderId="0" xfId="0" applyFont="1"/>
    <xf numFmtId="0" fontId="41" fillId="0" borderId="0" xfId="0" quotePrefix="1" applyFont="1"/>
    <xf numFmtId="0" fontId="40" fillId="0" borderId="0" xfId="0" applyFont="1" applyAlignment="1">
      <alignment horizontal="right"/>
    </xf>
    <xf numFmtId="1" fontId="43" fillId="0" borderId="0" xfId="0" applyNumberFormat="1" applyFont="1"/>
    <xf numFmtId="166" fontId="40" fillId="0" borderId="0" xfId="0" applyNumberFormat="1" applyFont="1"/>
    <xf numFmtId="3" fontId="40" fillId="0" borderId="0" xfId="0" applyNumberFormat="1" applyFont="1"/>
    <xf numFmtId="168" fontId="43" fillId="0" borderId="0" xfId="0" applyNumberFormat="1" applyFont="1"/>
    <xf numFmtId="169" fontId="43" fillId="0" borderId="0" xfId="0" applyNumberFormat="1" applyFont="1"/>
    <xf numFmtId="166" fontId="43" fillId="0" borderId="0" xfId="0" applyNumberFormat="1" applyFont="1"/>
    <xf numFmtId="3" fontId="43" fillId="0" borderId="0" xfId="0" applyNumberFormat="1" applyFont="1"/>
    <xf numFmtId="167" fontId="43" fillId="0" borderId="0" xfId="1" applyNumberFormat="1" applyFont="1"/>
    <xf numFmtId="166" fontId="43" fillId="0" borderId="0" xfId="1" applyNumberFormat="1" applyFont="1"/>
    <xf numFmtId="169" fontId="40" fillId="0" borderId="0" xfId="0" applyNumberFormat="1" applyFont="1"/>
    <xf numFmtId="170" fontId="40" fillId="0" borderId="0" xfId="0" applyNumberFormat="1" applyFont="1"/>
    <xf numFmtId="1" fontId="40" fillId="0" borderId="0" xfId="0" applyNumberFormat="1" applyFont="1"/>
    <xf numFmtId="168" fontId="40" fillId="0" borderId="0" xfId="0" applyNumberFormat="1" applyFont="1"/>
    <xf numFmtId="0" fontId="40" fillId="0" borderId="28" xfId="0" applyFont="1" applyBorder="1"/>
    <xf numFmtId="0" fontId="41" fillId="0" borderId="28" xfId="0" applyFont="1" applyBorder="1" applyAlignment="1">
      <alignment horizontal="right"/>
    </xf>
    <xf numFmtId="3" fontId="40" fillId="3" borderId="28" xfId="0" applyNumberFormat="1" applyFont="1" applyFill="1" applyBorder="1"/>
    <xf numFmtId="0" fontId="40" fillId="3" borderId="28" xfId="0" applyFont="1" applyFill="1" applyBorder="1" applyAlignment="1">
      <alignment horizontal="left" indent="1"/>
    </xf>
    <xf numFmtId="166" fontId="40" fillId="0" borderId="28" xfId="0" applyNumberFormat="1" applyFont="1" applyBorder="1"/>
    <xf numFmtId="3" fontId="40" fillId="3" borderId="0" xfId="0" applyNumberFormat="1" applyFont="1" applyFill="1"/>
    <xf numFmtId="166" fontId="40" fillId="3" borderId="0" xfId="0" applyNumberFormat="1" applyFont="1" applyFill="1"/>
    <xf numFmtId="0" fontId="40" fillId="3" borderId="0" xfId="0" applyFont="1" applyFill="1" applyAlignment="1">
      <alignment horizontal="left" indent="1"/>
    </xf>
    <xf numFmtId="0" fontId="40" fillId="0" borderId="0" xfId="0" applyFont="1" applyAlignment="1">
      <alignment horizontal="left" indent="1"/>
    </xf>
    <xf numFmtId="171" fontId="40" fillId="0" borderId="0" xfId="1" applyNumberFormat="1" applyFont="1"/>
    <xf numFmtId="14" fontId="20" fillId="0" borderId="0" xfId="15" applyNumberFormat="1" applyFont="1" applyAlignment="1">
      <alignment horizontal="center"/>
    </xf>
    <xf numFmtId="0" fontId="14" fillId="0" borderId="28" xfId="0" applyFont="1" applyBorder="1" applyAlignment="1">
      <alignment horizontal="right"/>
    </xf>
    <xf numFmtId="0" fontId="14" fillId="0" borderId="0" xfId="0" applyFont="1" applyAlignment="1">
      <alignment horizontal="right"/>
    </xf>
    <xf numFmtId="0" fontId="7" fillId="2" borderId="0" xfId="0" applyFont="1" applyFill="1" applyAlignment="1">
      <alignment horizontal="left" vertical="top"/>
    </xf>
    <xf numFmtId="0" fontId="9" fillId="2" borderId="2" xfId="0" applyFont="1" applyFill="1" applyBorder="1" applyAlignment="1">
      <alignment horizontal="center"/>
    </xf>
    <xf numFmtId="0" fontId="9" fillId="2" borderId="29" xfId="0" applyFont="1" applyFill="1" applyBorder="1" applyAlignment="1">
      <alignment horizontal="center"/>
    </xf>
    <xf numFmtId="0" fontId="7" fillId="0" borderId="30" xfId="0" applyFont="1" applyBorder="1" applyAlignment="1">
      <alignment vertical="top"/>
    </xf>
    <xf numFmtId="0" fontId="10" fillId="0" borderId="19" xfId="0" applyFont="1" applyBorder="1" applyAlignment="1">
      <alignment vertical="top"/>
    </xf>
    <xf numFmtId="0" fontId="14" fillId="0" borderId="0" xfId="0" applyFont="1" applyAlignment="1">
      <alignment horizontal="left"/>
    </xf>
    <xf numFmtId="0" fontId="9" fillId="2" borderId="3" xfId="0" applyFont="1" applyFill="1" applyBorder="1" applyAlignment="1">
      <alignment horizontal="center"/>
    </xf>
    <xf numFmtId="0" fontId="9" fillId="2" borderId="4" xfId="0" applyFont="1" applyFill="1" applyBorder="1" applyAlignment="1">
      <alignment horizontal="center"/>
    </xf>
    <xf numFmtId="0" fontId="10" fillId="0" borderId="23" xfId="0" applyFont="1" applyBorder="1" applyAlignment="1">
      <alignment vertical="top"/>
    </xf>
    <xf numFmtId="0" fontId="14" fillId="0" borderId="0" xfId="4" applyFont="1" applyAlignment="1">
      <alignment horizontal="right"/>
    </xf>
    <xf numFmtId="0" fontId="9" fillId="2" borderId="2" xfId="4" applyFont="1" applyFill="1" applyBorder="1" applyAlignment="1">
      <alignment horizontal="center"/>
    </xf>
    <xf numFmtId="0" fontId="9" fillId="2" borderId="29" xfId="4" applyFont="1" applyFill="1" applyBorder="1" applyAlignment="1">
      <alignment horizontal="center"/>
    </xf>
    <xf numFmtId="0" fontId="7" fillId="0" borderId="30" xfId="4" applyFont="1" applyBorder="1" applyAlignment="1">
      <alignment vertical="top"/>
    </xf>
    <xf numFmtId="0" fontId="10" fillId="0" borderId="19" xfId="4" applyFont="1" applyBorder="1" applyAlignment="1">
      <alignment vertical="top"/>
    </xf>
    <xf numFmtId="0" fontId="9" fillId="2" borderId="3" xfId="4" applyFont="1" applyFill="1" applyBorder="1" applyAlignment="1">
      <alignment horizontal="center"/>
    </xf>
    <xf numFmtId="0" fontId="9" fillId="2" borderId="4" xfId="4" applyFont="1" applyFill="1" applyBorder="1" applyAlignment="1">
      <alignment horizontal="center"/>
    </xf>
  </cellXfs>
  <cellStyles count="17">
    <cellStyle name="Comma 2" xfId="5" xr:uid="{00000000-0005-0000-0000-000000000000}"/>
    <cellStyle name="Hyperkobling" xfId="3" builtinId="8"/>
    <cellStyle name="Hyperkobling_Test_skadestat_tabeller" xfId="2" xr:uid="{00000000-0005-0000-0000-000002000000}"/>
    <cellStyle name="Hyperlink 2" xfId="6" xr:uid="{00000000-0005-0000-0000-000003000000}"/>
    <cellStyle name="Komma" xfId="1" builtinId="3"/>
    <cellStyle name="Normal" xfId="0" builtinId="0"/>
    <cellStyle name="Normal 2" xfId="4" xr:uid="{00000000-0005-0000-0000-000006000000}"/>
    <cellStyle name="Normal 2 2" xfId="9" xr:uid="{00000000-0005-0000-0000-000007000000}"/>
    <cellStyle name="Normal 2 2 2" xfId="15" xr:uid="{9BDDF094-7868-4B5C-9034-B962F1186878}"/>
    <cellStyle name="Normal 2 3" xfId="16" xr:uid="{46109AA5-E6FE-43D6-9412-D2B1A762EBC8}"/>
    <cellStyle name="Normal 3" xfId="8" xr:uid="{00000000-0005-0000-0000-000008000000}"/>
    <cellStyle name="Normal 4" xfId="10" xr:uid="{00000000-0005-0000-0000-000009000000}"/>
    <cellStyle name="Normal 5" xfId="11" xr:uid="{00000000-0005-0000-0000-00000A000000}"/>
    <cellStyle name="Normal 6" xfId="12" xr:uid="{00000000-0005-0000-0000-00000B000000}"/>
    <cellStyle name="Normal 7" xfId="13" xr:uid="{00000000-0005-0000-0000-00000C000000}"/>
    <cellStyle name="Normal 8" xfId="7" xr:uid="{00000000-0005-0000-0000-00000D000000}"/>
    <cellStyle name="Tusenskille 2"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73563372622444E-2"/>
          <c:y val="3.7594076974851641E-2"/>
          <c:w val="0.87931820947894745"/>
          <c:h val="0.79198188827020743"/>
        </c:manualLayout>
      </c:layout>
      <c:lineChart>
        <c:grouping val="standard"/>
        <c:varyColors val="0"/>
        <c:ser>
          <c:idx val="0"/>
          <c:order val="0"/>
          <c:tx>
            <c:strRef>
              <c:f>'Tab2'!$C$70</c:f>
              <c:strCache>
                <c:ptCount val="1"/>
                <c:pt idx="0">
                  <c:v>Motorvogn i alt</c:v>
                </c:pt>
              </c:strCache>
            </c:strRef>
          </c:tx>
          <c:spPr>
            <a:ln w="25400">
              <a:solidFill>
                <a:srgbClr val="000080"/>
              </a:solidFill>
              <a:prstDash val="solid"/>
            </a:ln>
          </c:spPr>
          <c:marker>
            <c:symbol val="none"/>
          </c:marker>
          <c:cat>
            <c:numRef>
              <c:f>'Tab2'!$B$71:$B$243</c:f>
              <c:numCache>
                <c:formatCode>General</c:formatCode>
                <c:ptCount val="173"/>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pt idx="164">
                  <c:v>2024</c:v>
                </c:pt>
                <c:pt idx="168">
                  <c:v>2025</c:v>
                </c:pt>
                <c:pt idx="172">
                  <c:v>2026</c:v>
                </c:pt>
              </c:numCache>
            </c:numRef>
          </c:cat>
          <c:val>
            <c:numRef>
              <c:f>'Tab2'!$C$71:$C$243</c:f>
              <c:numCache>
                <c:formatCode>General</c:formatCode>
                <c:ptCount val="173"/>
                <c:pt idx="0">
                  <c:v>97</c:v>
                </c:pt>
                <c:pt idx="1">
                  <c:v>78.8</c:v>
                </c:pt>
                <c:pt idx="2">
                  <c:v>84.8</c:v>
                </c:pt>
                <c:pt idx="3">
                  <c:v>91.2</c:v>
                </c:pt>
                <c:pt idx="4">
                  <c:v>112.2</c:v>
                </c:pt>
                <c:pt idx="5">
                  <c:v>81.8</c:v>
                </c:pt>
                <c:pt idx="6">
                  <c:v>90.4</c:v>
                </c:pt>
                <c:pt idx="7">
                  <c:v>92.9</c:v>
                </c:pt>
                <c:pt idx="8">
                  <c:v>123.4</c:v>
                </c:pt>
                <c:pt idx="9">
                  <c:v>102</c:v>
                </c:pt>
                <c:pt idx="10">
                  <c:v>108.4</c:v>
                </c:pt>
                <c:pt idx="11">
                  <c:v>109.6</c:v>
                </c:pt>
                <c:pt idx="12">
                  <c:v>141</c:v>
                </c:pt>
                <c:pt idx="13">
                  <c:v>120.5</c:v>
                </c:pt>
                <c:pt idx="14">
                  <c:v>115.7</c:v>
                </c:pt>
                <c:pt idx="15">
                  <c:v>114.4</c:v>
                </c:pt>
                <c:pt idx="16">
                  <c:v>152.19999999999999</c:v>
                </c:pt>
                <c:pt idx="17">
                  <c:v>109.2</c:v>
                </c:pt>
                <c:pt idx="18">
                  <c:v>110.1</c:v>
                </c:pt>
                <c:pt idx="19">
                  <c:v>112</c:v>
                </c:pt>
                <c:pt idx="20">
                  <c:v>134.1</c:v>
                </c:pt>
                <c:pt idx="21">
                  <c:v>113.7</c:v>
                </c:pt>
                <c:pt idx="22">
                  <c:v>116.3</c:v>
                </c:pt>
                <c:pt idx="23">
                  <c:v>115.2</c:v>
                </c:pt>
                <c:pt idx="24">
                  <c:v>106.6</c:v>
                </c:pt>
                <c:pt idx="25">
                  <c:v>98</c:v>
                </c:pt>
                <c:pt idx="26">
                  <c:v>96.9</c:v>
                </c:pt>
                <c:pt idx="27">
                  <c:v>93.4</c:v>
                </c:pt>
                <c:pt idx="28">
                  <c:v>99.4</c:v>
                </c:pt>
                <c:pt idx="29">
                  <c:v>88.6</c:v>
                </c:pt>
                <c:pt idx="30">
                  <c:v>88.2</c:v>
                </c:pt>
                <c:pt idx="31">
                  <c:v>84.8</c:v>
                </c:pt>
                <c:pt idx="32">
                  <c:v>97.5</c:v>
                </c:pt>
                <c:pt idx="33">
                  <c:v>93.9</c:v>
                </c:pt>
                <c:pt idx="34">
                  <c:v>90.2</c:v>
                </c:pt>
                <c:pt idx="35">
                  <c:v>92.6</c:v>
                </c:pt>
                <c:pt idx="36">
                  <c:v>102</c:v>
                </c:pt>
                <c:pt idx="37">
                  <c:v>92.2</c:v>
                </c:pt>
                <c:pt idx="38">
                  <c:v>93.3</c:v>
                </c:pt>
                <c:pt idx="39">
                  <c:v>90.8</c:v>
                </c:pt>
                <c:pt idx="40">
                  <c:v>112.6</c:v>
                </c:pt>
                <c:pt idx="41">
                  <c:v>93</c:v>
                </c:pt>
                <c:pt idx="42">
                  <c:v>87.500000000000028</c:v>
                </c:pt>
                <c:pt idx="43">
                  <c:v>120.09999999999994</c:v>
                </c:pt>
                <c:pt idx="44">
                  <c:v>138.4</c:v>
                </c:pt>
                <c:pt idx="45">
                  <c:v>114.5</c:v>
                </c:pt>
                <c:pt idx="46">
                  <c:v>112.79999999999998</c:v>
                </c:pt>
                <c:pt idx="47">
                  <c:v>114.49999999999997</c:v>
                </c:pt>
                <c:pt idx="48">
                  <c:v>137.19999999999999</c:v>
                </c:pt>
                <c:pt idx="49">
                  <c:v>111</c:v>
                </c:pt>
                <c:pt idx="50">
                  <c:v>115.90000000000003</c:v>
                </c:pt>
                <c:pt idx="51">
                  <c:v>118.79999999999995</c:v>
                </c:pt>
                <c:pt idx="52">
                  <c:v>143.9</c:v>
                </c:pt>
                <c:pt idx="53">
                  <c:v>131.6</c:v>
                </c:pt>
                <c:pt idx="54">
                  <c:v>112</c:v>
                </c:pt>
                <c:pt idx="55">
                  <c:v>132.50000000000003</c:v>
                </c:pt>
                <c:pt idx="56">
                  <c:v>142.6</c:v>
                </c:pt>
                <c:pt idx="57">
                  <c:v>141.79999999999998</c:v>
                </c:pt>
                <c:pt idx="58">
                  <c:v>135.40000000000006</c:v>
                </c:pt>
                <c:pt idx="59">
                  <c:v>130.59999999999994</c:v>
                </c:pt>
                <c:pt idx="60">
                  <c:v>150</c:v>
                </c:pt>
                <c:pt idx="61">
                  <c:v>139.80000000000001</c:v>
                </c:pt>
                <c:pt idx="62">
                  <c:v>128.09999999999997</c:v>
                </c:pt>
                <c:pt idx="63">
                  <c:v>141.80000000000007</c:v>
                </c:pt>
                <c:pt idx="64">
                  <c:v>154.19999999999999</c:v>
                </c:pt>
                <c:pt idx="65">
                  <c:v>159.30000000000001</c:v>
                </c:pt>
                <c:pt idx="66">
                  <c:v>146.30000000000001</c:v>
                </c:pt>
                <c:pt idx="67">
                  <c:v>141.90000000000003</c:v>
                </c:pt>
                <c:pt idx="68">
                  <c:v>169.1</c:v>
                </c:pt>
                <c:pt idx="69">
                  <c:v>151.50000000000003</c:v>
                </c:pt>
                <c:pt idx="70">
                  <c:v>139</c:v>
                </c:pt>
                <c:pt idx="71">
                  <c:v>135.10000000000002</c:v>
                </c:pt>
                <c:pt idx="72">
                  <c:v>158.5</c:v>
                </c:pt>
                <c:pt idx="73">
                  <c:v>140.45999999999998</c:v>
                </c:pt>
                <c:pt idx="74">
                  <c:v>134.24</c:v>
                </c:pt>
                <c:pt idx="75">
                  <c:v>137.49520000000001</c:v>
                </c:pt>
                <c:pt idx="76">
                  <c:v>155.81399999999999</c:v>
                </c:pt>
                <c:pt idx="77">
                  <c:v>146.54300000000003</c:v>
                </c:pt>
                <c:pt idx="78">
                  <c:v>146.23099999999999</c:v>
                </c:pt>
                <c:pt idx="79">
                  <c:v>137.96699999999993</c:v>
                </c:pt>
                <c:pt idx="80" formatCode="0.000">
                  <c:v>165.679</c:v>
                </c:pt>
                <c:pt idx="81" formatCode="0.000">
                  <c:v>135.02099999999999</c:v>
                </c:pt>
                <c:pt idx="82" formatCode="0.000">
                  <c:v>134.11099999999999</c:v>
                </c:pt>
                <c:pt idx="83" formatCode="0.000">
                  <c:v>142.01299999999998</c:v>
                </c:pt>
                <c:pt idx="84" formatCode="0.000">
                  <c:v>168.309</c:v>
                </c:pt>
                <c:pt idx="85" formatCode="0.000">
                  <c:v>140.26700000000002</c:v>
                </c:pt>
                <c:pt idx="86" formatCode="0.000">
                  <c:v>137.76999999999998</c:v>
                </c:pt>
                <c:pt idx="87" formatCode="0.000">
                  <c:v>137.68499999999995</c:v>
                </c:pt>
                <c:pt idx="88" formatCode="0.000">
                  <c:v>147.31100000000001</c:v>
                </c:pt>
                <c:pt idx="89" formatCode="0.000">
                  <c:v>143.51699999999997</c:v>
                </c:pt>
                <c:pt idx="90" formatCode="0.000">
                  <c:v>134.78300000000002</c:v>
                </c:pt>
                <c:pt idx="91" formatCode="0.000">
                  <c:v>137.37</c:v>
                </c:pt>
                <c:pt idx="92" formatCode="0.000">
                  <c:v>155.21299999999999</c:v>
                </c:pt>
                <c:pt idx="93" formatCode="0.000">
                  <c:v>147.44399999999999</c:v>
                </c:pt>
                <c:pt idx="94" formatCode="0.000">
                  <c:v>143.45100000000002</c:v>
                </c:pt>
                <c:pt idx="95" formatCode="0.000">
                  <c:v>148.56090999999998</c:v>
                </c:pt>
                <c:pt idx="96" formatCode="0.000">
                  <c:v>158.09976</c:v>
                </c:pt>
                <c:pt idx="97" formatCode="0.000">
                  <c:v>161.61276000000004</c:v>
                </c:pt>
                <c:pt idx="98" formatCode="0.000">
                  <c:v>135.82058024999998</c:v>
                </c:pt>
                <c:pt idx="99" formatCode="0.000">
                  <c:v>149.79139924999998</c:v>
                </c:pt>
                <c:pt idx="100" formatCode="0.000">
                  <c:v>164.64169099999998</c:v>
                </c:pt>
                <c:pt idx="101" formatCode="0.000">
                  <c:v>197.28657850000002</c:v>
                </c:pt>
                <c:pt idx="102" formatCode="0.000">
                  <c:v>159.71767174999997</c:v>
                </c:pt>
                <c:pt idx="103" formatCode="0.000">
                  <c:v>170.05706974999998</c:v>
                </c:pt>
                <c:pt idx="104" formatCode="0.000">
                  <c:v>191.37959499999999</c:v>
                </c:pt>
                <c:pt idx="105" formatCode="0.000">
                  <c:v>178.90604250000001</c:v>
                </c:pt>
                <c:pt idx="106" formatCode="0.000">
                  <c:v>160.23377500000004</c:v>
                </c:pt>
                <c:pt idx="107" formatCode="0.000">
                  <c:v>179.8571388695641</c:v>
                </c:pt>
                <c:pt idx="108" formatCode="0.000">
                  <c:v>204.63648875000001</c:v>
                </c:pt>
                <c:pt idx="109" formatCode="0.000">
                  <c:v>188.95691625000001</c:v>
                </c:pt>
                <c:pt idx="110" formatCode="0.000">
                  <c:v>172.07737875000004</c:v>
                </c:pt>
                <c:pt idx="111" formatCode="0.000">
                  <c:v>192.96143124999992</c:v>
                </c:pt>
                <c:pt idx="112" formatCode="0.000">
                  <c:v>204.00503875000001</c:v>
                </c:pt>
                <c:pt idx="113" formatCode="0.000">
                  <c:v>188.74104374999999</c:v>
                </c:pt>
                <c:pt idx="114" formatCode="0.000">
                  <c:v>169.93391749999995</c:v>
                </c:pt>
                <c:pt idx="115" formatCode="0.000">
                  <c:v>202.17554500000006</c:v>
                </c:pt>
                <c:pt idx="116" formatCode="0.000">
                  <c:v>195.82938625</c:v>
                </c:pt>
                <c:pt idx="117" formatCode="0.000">
                  <c:v>182.75061374999999</c:v>
                </c:pt>
                <c:pt idx="118" formatCode="0.000">
                  <c:v>165.72960875000007</c:v>
                </c:pt>
                <c:pt idx="119" formatCode="0.000">
                  <c:v>166.80539124999996</c:v>
                </c:pt>
                <c:pt idx="120" formatCode="0.000">
                  <c:v>199.180995</c:v>
                </c:pt>
                <c:pt idx="121" formatCode="0.000">
                  <c:v>205.01500500000003</c:v>
                </c:pt>
                <c:pt idx="122" formatCode="0.000">
                  <c:v>172.04383408071794</c:v>
                </c:pt>
                <c:pt idx="123" formatCode="0.000">
                  <c:v>204.099832585949</c:v>
                </c:pt>
                <c:pt idx="124" formatCode="0.000">
                  <c:v>196.17699999999999</c:v>
                </c:pt>
                <c:pt idx="125" formatCode="0.000">
                  <c:v>197.965</c:v>
                </c:pt>
                <c:pt idx="126" formatCode="0.000">
                  <c:v>192.10452006852</c:v>
                </c:pt>
                <c:pt idx="127" formatCode="0.000">
                  <c:v>196.808833167682</c:v>
                </c:pt>
                <c:pt idx="128" formatCode="0.000">
                  <c:v>219.418599054541</c:v>
                </c:pt>
                <c:pt idx="129" formatCode="0.000">
                  <c:v>188.69592411436798</c:v>
                </c:pt>
                <c:pt idx="130" formatCode="0.000">
                  <c:v>180.38826158445403</c:v>
                </c:pt>
                <c:pt idx="131" formatCode="0.000">
                  <c:v>195.22963867497901</c:v>
                </c:pt>
                <c:pt idx="132" formatCode="0.000">
                  <c:v>217.297581707322</c:v>
                </c:pt>
                <c:pt idx="133" formatCode="0.000">
                  <c:v>210.94903078835901</c:v>
                </c:pt>
                <c:pt idx="134" formatCode="0.000">
                  <c:v>193.64755294266695</c:v>
                </c:pt>
                <c:pt idx="135" formatCode="0.000">
                  <c:v>194.66297676649504</c:v>
                </c:pt>
                <c:pt idx="136" formatCode="0.000">
                  <c:v>227.02914608932699</c:v>
                </c:pt>
                <c:pt idx="137" formatCode="0.000">
                  <c:v>200.76722202181199</c:v>
                </c:pt>
                <c:pt idx="138" formatCode="0.000">
                  <c:v>195.05863188886104</c:v>
                </c:pt>
                <c:pt idx="139" formatCode="0.000">
                  <c:v>225.423</c:v>
                </c:pt>
                <c:pt idx="140" formatCode="0.000">
                  <c:v>241.52799999999999</c:v>
                </c:pt>
                <c:pt idx="141" formatCode="0.000">
                  <c:v>226.77080239162902</c:v>
                </c:pt>
                <c:pt idx="142" formatCode="0.000">
                  <c:v>230.04425590433516</c:v>
                </c:pt>
                <c:pt idx="143" formatCode="0.000">
                  <c:v>212.66674917787782</c:v>
                </c:pt>
                <c:pt idx="144" formatCode="0.000">
                  <c:v>242.05576995515696</c:v>
                </c:pt>
                <c:pt idx="145" formatCode="0.000">
                  <c:v>221.71122705530604</c:v>
                </c:pt>
                <c:pt idx="146" formatCode="0.000">
                  <c:v>200.66800298953694</c:v>
                </c:pt>
                <c:pt idx="147" formatCode="0.000">
                  <c:v>216.91973572496272</c:v>
                </c:pt>
                <c:pt idx="148" formatCode="0.000">
                  <c:v>245.16278393124065</c:v>
                </c:pt>
                <c:pt idx="149" formatCode="0.000">
                  <c:v>219.4338294469357</c:v>
                </c:pt>
                <c:pt idx="150" formatCode="0.000">
                  <c:v>230.4091689088192</c:v>
                </c:pt>
                <c:pt idx="151" formatCode="0.000">
                  <c:v>210.53825269058302</c:v>
                </c:pt>
                <c:pt idx="152" formatCode="0.000">
                  <c:v>246.03664372197312</c:v>
                </c:pt>
                <c:pt idx="153" formatCode="0.000">
                  <c:v>241.94121614349774</c:v>
                </c:pt>
                <c:pt idx="154" formatCode="0.000">
                  <c:v>223.16246838565024</c:v>
                </c:pt>
                <c:pt idx="155" formatCode="0.000">
                  <c:v>240.67364342301937</c:v>
                </c:pt>
                <c:pt idx="156" formatCode="0.000">
                  <c:v>258.31884641255607</c:v>
                </c:pt>
                <c:pt idx="157" formatCode="0.000">
                  <c:v>242.59168475336321</c:v>
                </c:pt>
                <c:pt idx="158" formatCode="0.000">
                  <c:v>236.3725230941705</c:v>
                </c:pt>
                <c:pt idx="159" formatCode="0.000">
                  <c:v>270.36808991031376</c:v>
                </c:pt>
                <c:pt idx="160" formatCode="0.000">
                  <c:v>302.38750433482812</c:v>
                </c:pt>
                <c:pt idx="161" formatCode="0.000">
                  <c:v>288.71155948488058</c:v>
                </c:pt>
                <c:pt idx="162" formatCode="0.000">
                  <c:v>250.48845860181598</c:v>
                </c:pt>
                <c:pt idx="163" formatCode="0.000">
                  <c:v>247.76441726457392</c:v>
                </c:pt>
                <c:pt idx="164" formatCode="0.000">
                  <c:v>322.60336023916295</c:v>
                </c:pt>
                <c:pt idx="165" formatCode="0.000">
                  <c:v>289.48796913303443</c:v>
                </c:pt>
                <c:pt idx="166" formatCode="0.000">
                  <c:v>303.40149304932731</c:v>
                </c:pt>
                <c:pt idx="167" formatCode="0.000">
                  <c:v>228.11244080717495</c:v>
                </c:pt>
                <c:pt idx="168" formatCode="0.000">
                  <c:v>299.44390000000004</c:v>
                </c:pt>
                <c:pt idx="169" formatCode="0.000">
                  <c:v>278.92194999999998</c:v>
                </c:pt>
                <c:pt idx="170" formatCode="0.000">
                  <c:v>265.72384999999997</c:v>
                </c:pt>
                <c:pt idx="171" formatCode="0.000">
                  <c:v>226.66265000000021</c:v>
                </c:pt>
                <c:pt idx="172" formatCode="0.000">
                  <c:v>300.19390000000004</c:v>
                </c:pt>
              </c:numCache>
            </c:numRef>
          </c:val>
          <c:smooth val="0"/>
          <c:extLst>
            <c:ext xmlns:c16="http://schemas.microsoft.com/office/drawing/2014/chart" uri="{C3380CC4-5D6E-409C-BE32-E72D297353CC}">
              <c16:uniqueId val="{00000000-A323-4438-AB76-3A3BD5C6F162}"/>
            </c:ext>
          </c:extLst>
        </c:ser>
        <c:ser>
          <c:idx val="1"/>
          <c:order val="1"/>
          <c:tx>
            <c:strRef>
              <c:f>'Tab2'!$D$70</c:f>
              <c:strCache>
                <c:ptCount val="1"/>
                <c:pt idx="0">
                  <c:v>Personbil</c:v>
                </c:pt>
              </c:strCache>
            </c:strRef>
          </c:tx>
          <c:spPr>
            <a:ln w="25400">
              <a:solidFill>
                <a:srgbClr val="000000"/>
              </a:solidFill>
              <a:prstDash val="sysDash"/>
            </a:ln>
          </c:spPr>
          <c:marker>
            <c:symbol val="none"/>
          </c:marker>
          <c:cat>
            <c:numRef>
              <c:f>'Tab2'!$B$71:$B$243</c:f>
              <c:numCache>
                <c:formatCode>General</c:formatCode>
                <c:ptCount val="173"/>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pt idx="164">
                  <c:v>2024</c:v>
                </c:pt>
                <c:pt idx="168">
                  <c:v>2025</c:v>
                </c:pt>
                <c:pt idx="172">
                  <c:v>2026</c:v>
                </c:pt>
              </c:numCache>
            </c:numRef>
          </c:cat>
          <c:val>
            <c:numRef>
              <c:f>'Tab2'!$D$71:$D$243</c:f>
              <c:numCache>
                <c:formatCode>General</c:formatCode>
                <c:ptCount val="173"/>
                <c:pt idx="0">
                  <c:v>78.3</c:v>
                </c:pt>
                <c:pt idx="1">
                  <c:v>61.3</c:v>
                </c:pt>
                <c:pt idx="2">
                  <c:v>63</c:v>
                </c:pt>
                <c:pt idx="3">
                  <c:v>70.8</c:v>
                </c:pt>
                <c:pt idx="4">
                  <c:v>90.4</c:v>
                </c:pt>
                <c:pt idx="5">
                  <c:v>64.400000000000006</c:v>
                </c:pt>
                <c:pt idx="6">
                  <c:v>71.099999999999994</c:v>
                </c:pt>
                <c:pt idx="7">
                  <c:v>73.900000000000006</c:v>
                </c:pt>
                <c:pt idx="8">
                  <c:v>100.8</c:v>
                </c:pt>
                <c:pt idx="9">
                  <c:v>81.099999999999994</c:v>
                </c:pt>
                <c:pt idx="10">
                  <c:v>86</c:v>
                </c:pt>
                <c:pt idx="11">
                  <c:v>87.1</c:v>
                </c:pt>
                <c:pt idx="12">
                  <c:v>115.2</c:v>
                </c:pt>
                <c:pt idx="13">
                  <c:v>93.2</c:v>
                </c:pt>
                <c:pt idx="14">
                  <c:v>91.1</c:v>
                </c:pt>
                <c:pt idx="15">
                  <c:v>90.8</c:v>
                </c:pt>
                <c:pt idx="16">
                  <c:v>121.3</c:v>
                </c:pt>
                <c:pt idx="17">
                  <c:v>86.1</c:v>
                </c:pt>
                <c:pt idx="18">
                  <c:v>87.3</c:v>
                </c:pt>
                <c:pt idx="19">
                  <c:v>89.8</c:v>
                </c:pt>
                <c:pt idx="20">
                  <c:v>107.5</c:v>
                </c:pt>
                <c:pt idx="21">
                  <c:v>90</c:v>
                </c:pt>
                <c:pt idx="22">
                  <c:v>93.1</c:v>
                </c:pt>
                <c:pt idx="23">
                  <c:v>93.4</c:v>
                </c:pt>
                <c:pt idx="24">
                  <c:v>86.4</c:v>
                </c:pt>
                <c:pt idx="25">
                  <c:v>79.599999999999994</c:v>
                </c:pt>
                <c:pt idx="26">
                  <c:v>79</c:v>
                </c:pt>
                <c:pt idx="27">
                  <c:v>76.8</c:v>
                </c:pt>
                <c:pt idx="28">
                  <c:v>81.3</c:v>
                </c:pt>
                <c:pt idx="29">
                  <c:v>73.099999999999994</c:v>
                </c:pt>
                <c:pt idx="30">
                  <c:v>72.5</c:v>
                </c:pt>
                <c:pt idx="31">
                  <c:v>70.2</c:v>
                </c:pt>
                <c:pt idx="32">
                  <c:v>82.4</c:v>
                </c:pt>
                <c:pt idx="33">
                  <c:v>78</c:v>
                </c:pt>
                <c:pt idx="34">
                  <c:v>76.099999999999994</c:v>
                </c:pt>
                <c:pt idx="35">
                  <c:v>78.099999999999994</c:v>
                </c:pt>
                <c:pt idx="36">
                  <c:v>87.1</c:v>
                </c:pt>
                <c:pt idx="37">
                  <c:v>78.900000000000006</c:v>
                </c:pt>
                <c:pt idx="38">
                  <c:v>79.900000000000006</c:v>
                </c:pt>
                <c:pt idx="39">
                  <c:v>77.599999999999994</c:v>
                </c:pt>
                <c:pt idx="40">
                  <c:v>96.5</c:v>
                </c:pt>
                <c:pt idx="41">
                  <c:v>80.099999999999994</c:v>
                </c:pt>
                <c:pt idx="42">
                  <c:v>73.599999999999994</c:v>
                </c:pt>
                <c:pt idx="43">
                  <c:v>106.60000000000005</c:v>
                </c:pt>
                <c:pt idx="44">
                  <c:v>120</c:v>
                </c:pt>
                <c:pt idx="45">
                  <c:v>98.1</c:v>
                </c:pt>
                <c:pt idx="46">
                  <c:v>98.799999999999983</c:v>
                </c:pt>
                <c:pt idx="47">
                  <c:v>100.20000000000005</c:v>
                </c:pt>
                <c:pt idx="48">
                  <c:v>119.3</c:v>
                </c:pt>
                <c:pt idx="49">
                  <c:v>95.399999999999991</c:v>
                </c:pt>
                <c:pt idx="50">
                  <c:v>100.99999999999999</c:v>
                </c:pt>
                <c:pt idx="51">
                  <c:v>104.40000000000005</c:v>
                </c:pt>
                <c:pt idx="52">
                  <c:v>126.9</c:v>
                </c:pt>
                <c:pt idx="53">
                  <c:v>115.69999999999999</c:v>
                </c:pt>
                <c:pt idx="54">
                  <c:v>96.700000000000017</c:v>
                </c:pt>
                <c:pt idx="55">
                  <c:v>113.1</c:v>
                </c:pt>
                <c:pt idx="56">
                  <c:v>124.8</c:v>
                </c:pt>
                <c:pt idx="57">
                  <c:v>122.50000000000001</c:v>
                </c:pt>
                <c:pt idx="58">
                  <c:v>117.3</c:v>
                </c:pt>
                <c:pt idx="59">
                  <c:v>113.7</c:v>
                </c:pt>
                <c:pt idx="60">
                  <c:v>131.9</c:v>
                </c:pt>
                <c:pt idx="61">
                  <c:v>122</c:v>
                </c:pt>
                <c:pt idx="62">
                  <c:v>112.1</c:v>
                </c:pt>
                <c:pt idx="63">
                  <c:v>125.60000000000002</c:v>
                </c:pt>
                <c:pt idx="64">
                  <c:v>137.1</c:v>
                </c:pt>
                <c:pt idx="65">
                  <c:v>140.70000000000002</c:v>
                </c:pt>
                <c:pt idx="66">
                  <c:v>128.69999999999999</c:v>
                </c:pt>
                <c:pt idx="67">
                  <c:v>126.39999999999998</c:v>
                </c:pt>
                <c:pt idx="68">
                  <c:v>150.9</c:v>
                </c:pt>
                <c:pt idx="69">
                  <c:v>133.4</c:v>
                </c:pt>
                <c:pt idx="70">
                  <c:v>123.5</c:v>
                </c:pt>
                <c:pt idx="71">
                  <c:v>121.40000000000003</c:v>
                </c:pt>
                <c:pt idx="72">
                  <c:v>143.1</c:v>
                </c:pt>
                <c:pt idx="73">
                  <c:v>125.70000000000002</c:v>
                </c:pt>
                <c:pt idx="74">
                  <c:v>119.19999999999999</c:v>
                </c:pt>
                <c:pt idx="75">
                  <c:v>124.07220000000007</c:v>
                </c:pt>
                <c:pt idx="76">
                  <c:v>141.72399999999999</c:v>
                </c:pt>
                <c:pt idx="77">
                  <c:v>133.19</c:v>
                </c:pt>
                <c:pt idx="78">
                  <c:v>127.14100000000002</c:v>
                </c:pt>
                <c:pt idx="79">
                  <c:v>124.64100000000002</c:v>
                </c:pt>
                <c:pt idx="80">
                  <c:v>150.81100000000001</c:v>
                </c:pt>
                <c:pt idx="81">
                  <c:v>121.10099999999997</c:v>
                </c:pt>
                <c:pt idx="82">
                  <c:v>119.49100000000004</c:v>
                </c:pt>
                <c:pt idx="83">
                  <c:v>125.95899999999995</c:v>
                </c:pt>
                <c:pt idx="84">
                  <c:v>153.04300000000001</c:v>
                </c:pt>
                <c:pt idx="85">
                  <c:v>125.56799999999998</c:v>
                </c:pt>
                <c:pt idx="86">
                  <c:v>123.12100000000004</c:v>
                </c:pt>
                <c:pt idx="87">
                  <c:v>124.50600000000003</c:v>
                </c:pt>
                <c:pt idx="88">
                  <c:v>133.756</c:v>
                </c:pt>
                <c:pt idx="89">
                  <c:v>128.79</c:v>
                </c:pt>
                <c:pt idx="90">
                  <c:v>120.57100000000003</c:v>
                </c:pt>
                <c:pt idx="91">
                  <c:v>124.38200000000001</c:v>
                </c:pt>
                <c:pt idx="92">
                  <c:v>139.72800000000001</c:v>
                </c:pt>
                <c:pt idx="93">
                  <c:v>129.572</c:v>
                </c:pt>
                <c:pt idx="94">
                  <c:v>126.00599999999997</c:v>
                </c:pt>
                <c:pt idx="95">
                  <c:v>131.19532799999996</c:v>
                </c:pt>
                <c:pt idx="96">
                  <c:v>141.08400800000001</c:v>
                </c:pt>
                <c:pt idx="97">
                  <c:v>142.897008</c:v>
                </c:pt>
                <c:pt idx="98">
                  <c:v>119.75308425000003</c:v>
                </c:pt>
                <c:pt idx="99">
                  <c:v>133.49839924999998</c:v>
                </c:pt>
                <c:pt idx="100">
                  <c:v>148.61369099999999</c:v>
                </c:pt>
                <c:pt idx="101">
                  <c:v>175.71357850000001</c:v>
                </c:pt>
                <c:pt idx="102">
                  <c:v>141.40667174999999</c:v>
                </c:pt>
                <c:pt idx="103">
                  <c:v>152.54014889999991</c:v>
                </c:pt>
                <c:pt idx="104">
                  <c:v>172.55938714999999</c:v>
                </c:pt>
                <c:pt idx="105">
                  <c:v>160.765232725</c:v>
                </c:pt>
                <c:pt idx="106">
                  <c:v>142.31202375000004</c:v>
                </c:pt>
                <c:pt idx="107">
                  <c:v>163.53199924456408</c:v>
                </c:pt>
                <c:pt idx="108">
                  <c:v>186.506571025</c:v>
                </c:pt>
                <c:pt idx="109">
                  <c:v>170.46253197500002</c:v>
                </c:pt>
                <c:pt idx="110">
                  <c:v>154.15607493749997</c:v>
                </c:pt>
                <c:pt idx="111">
                  <c:v>174.39946771249993</c:v>
                </c:pt>
                <c:pt idx="112">
                  <c:v>184.8599929625</c:v>
                </c:pt>
                <c:pt idx="113">
                  <c:v>171.33320521249996</c:v>
                </c:pt>
                <c:pt idx="114">
                  <c:v>151.69380182500004</c:v>
                </c:pt>
                <c:pt idx="115">
                  <c:v>178.91908595000001</c:v>
                </c:pt>
                <c:pt idx="116">
                  <c:v>177.0717714875</c:v>
                </c:pt>
                <c:pt idx="117">
                  <c:v>165.12822851249999</c:v>
                </c:pt>
                <c:pt idx="118">
                  <c:v>148.24155396250001</c:v>
                </c:pt>
                <c:pt idx="119">
                  <c:v>151.72844603749996</c:v>
                </c:pt>
                <c:pt idx="120">
                  <c:v>183.65288545000001</c:v>
                </c:pt>
                <c:pt idx="121">
                  <c:v>185.63411454999996</c:v>
                </c:pt>
                <c:pt idx="122">
                  <c:v>153.21019910313902</c:v>
                </c:pt>
                <c:pt idx="123">
                  <c:v>188.07946756352794</c:v>
                </c:pt>
                <c:pt idx="124">
                  <c:v>179.55199999999999</c:v>
                </c:pt>
                <c:pt idx="125">
                  <c:v>179.76700000000002</c:v>
                </c:pt>
                <c:pt idx="126">
                  <c:v>173.47352006851992</c:v>
                </c:pt>
                <c:pt idx="127">
                  <c:v>184.73883316768206</c:v>
                </c:pt>
                <c:pt idx="128">
                  <c:v>202.59159905454101</c:v>
                </c:pt>
                <c:pt idx="129">
                  <c:v>171.45081948058601</c:v>
                </c:pt>
                <c:pt idx="130">
                  <c:v>162.29720926756397</c:v>
                </c:pt>
                <c:pt idx="131">
                  <c:v>179.89113138755602</c:v>
                </c:pt>
                <c:pt idx="132">
                  <c:v>201.19677375494101</c:v>
                </c:pt>
                <c:pt idx="133">
                  <c:v>192.89311593057502</c:v>
                </c:pt>
                <c:pt idx="134">
                  <c:v>175.641874720337</c:v>
                </c:pt>
                <c:pt idx="135">
                  <c:v>178.45454935802093</c:v>
                </c:pt>
                <c:pt idx="136">
                  <c:v>210.737716871462</c:v>
                </c:pt>
                <c:pt idx="137">
                  <c:v>183.70797761744905</c:v>
                </c:pt>
                <c:pt idx="138">
                  <c:v>176.76630551108894</c:v>
                </c:pt>
                <c:pt idx="139">
                  <c:v>208.21799999999996</c:v>
                </c:pt>
                <c:pt idx="140" formatCode="0.000">
                  <c:v>222.678</c:v>
                </c:pt>
                <c:pt idx="141" formatCode="0.000">
                  <c:v>208.83864191330298</c:v>
                </c:pt>
                <c:pt idx="142" formatCode="0.000">
                  <c:v>207.39460472346803</c:v>
                </c:pt>
                <c:pt idx="143" formatCode="0.000">
                  <c:v>195.66619934230232</c:v>
                </c:pt>
                <c:pt idx="144" formatCode="0.000">
                  <c:v>223.58363596412556</c:v>
                </c:pt>
                <c:pt idx="145" formatCode="0.000">
                  <c:v>199.97176164424542</c:v>
                </c:pt>
                <c:pt idx="146" formatCode="0.000">
                  <c:v>183.517602391629</c:v>
                </c:pt>
                <c:pt idx="147" formatCode="0.000">
                  <c:v>199.72038857997018</c:v>
                </c:pt>
                <c:pt idx="148" formatCode="0.000">
                  <c:v>227.94719714499254</c:v>
                </c:pt>
                <c:pt idx="149" formatCode="0.000">
                  <c:v>199.23928355754859</c:v>
                </c:pt>
                <c:pt idx="150" formatCode="0.000">
                  <c:v>212.03913512705532</c:v>
                </c:pt>
                <c:pt idx="151" formatCode="0.000">
                  <c:v>195.42257215246639</c:v>
                </c:pt>
                <c:pt idx="152" formatCode="0.000">
                  <c:v>229.48208497757849</c:v>
                </c:pt>
                <c:pt idx="153" formatCode="0.000">
                  <c:v>221.09553291479824</c:v>
                </c:pt>
                <c:pt idx="154" formatCode="0.000">
                  <c:v>200.9504247085203</c:v>
                </c:pt>
                <c:pt idx="155" formatCode="0.000">
                  <c:v>222.83402473841534</c:v>
                </c:pt>
                <c:pt idx="156" formatCode="0.000">
                  <c:v>238.37852713004486</c:v>
                </c:pt>
                <c:pt idx="157" formatCode="0.000">
                  <c:v>221.26676780269054</c:v>
                </c:pt>
                <c:pt idx="158" formatCode="0.000">
                  <c:v>212.27484847533628</c:v>
                </c:pt>
                <c:pt idx="159" formatCode="0.000">
                  <c:v>251.76894192825125</c:v>
                </c:pt>
                <c:pt idx="160" formatCode="0.000">
                  <c:v>281.08376346786247</c:v>
                </c:pt>
                <c:pt idx="161" formatCode="0.000">
                  <c:v>265.48782727255423</c:v>
                </c:pt>
                <c:pt idx="162" formatCode="0.000">
                  <c:v>227.83168719680316</c:v>
                </c:pt>
                <c:pt idx="163" formatCode="0.000">
                  <c:v>222.81360381165916</c:v>
                </c:pt>
                <c:pt idx="164" formatCode="0.000">
                  <c:v>297.48140819133039</c:v>
                </c:pt>
                <c:pt idx="165" formatCode="0.000">
                  <c:v>264.11916530642736</c:v>
                </c:pt>
                <c:pt idx="166" formatCode="0.000">
                  <c:v>277.61400443946195</c:v>
                </c:pt>
                <c:pt idx="167" formatCode="0.000">
                  <c:v>207.57469264574001</c:v>
                </c:pt>
                <c:pt idx="168" formatCode="0.000">
                  <c:v>276.7799</c:v>
                </c:pt>
                <c:pt idx="169" formatCode="0.000">
                  <c:v>255.72495000000004</c:v>
                </c:pt>
                <c:pt idx="170" formatCode="0.000">
                  <c:v>240.0968499999999</c:v>
                </c:pt>
                <c:pt idx="171" formatCode="0.000">
                  <c:v>215.09665000000007</c:v>
                </c:pt>
                <c:pt idx="172" formatCode="0.000">
                  <c:v>281.01890000000003</c:v>
                </c:pt>
              </c:numCache>
            </c:numRef>
          </c:val>
          <c:smooth val="0"/>
          <c:extLst>
            <c:ext xmlns:c16="http://schemas.microsoft.com/office/drawing/2014/chart" uri="{C3380CC4-5D6E-409C-BE32-E72D297353CC}">
              <c16:uniqueId val="{00000001-A323-4438-AB76-3A3BD5C6F162}"/>
            </c:ext>
          </c:extLst>
        </c:ser>
        <c:dLbls>
          <c:showLegendKey val="0"/>
          <c:showVal val="0"/>
          <c:showCatName val="0"/>
          <c:showSerName val="0"/>
          <c:showPercent val="0"/>
          <c:showBubbleSize val="0"/>
        </c:dLbls>
        <c:smooth val="0"/>
        <c:axId val="266180480"/>
        <c:axId val="266182016"/>
      </c:lineChart>
      <c:catAx>
        <c:axId val="266180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nb-NO"/>
          </a:p>
        </c:txPr>
        <c:crossAx val="266182016"/>
        <c:crosses val="autoZero"/>
        <c:auto val="1"/>
        <c:lblAlgn val="ctr"/>
        <c:lblOffset val="100"/>
        <c:tickLblSkip val="1"/>
        <c:tickMarkSkip val="1"/>
        <c:noMultiLvlLbl val="0"/>
      </c:catAx>
      <c:valAx>
        <c:axId val="266182016"/>
        <c:scaling>
          <c:orientation val="minMax"/>
        </c:scaling>
        <c:delete val="0"/>
        <c:axPos val="l"/>
        <c:majorGridlines>
          <c:spPr>
            <a:ln>
              <a:prstDash val="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6180480"/>
        <c:crosses val="autoZero"/>
        <c:crossBetween val="between"/>
      </c:valAx>
      <c:spPr>
        <a:noFill/>
        <a:ln w="12700">
          <a:solidFill>
            <a:srgbClr val="808080"/>
          </a:solidFill>
          <a:prstDash val="solid"/>
        </a:ln>
      </c:spPr>
    </c:plotArea>
    <c:legend>
      <c:legendPos val="r"/>
      <c:layout>
        <c:manualLayout>
          <c:xMode val="edge"/>
          <c:yMode val="edge"/>
          <c:x val="0.59154731503155356"/>
          <c:y val="0.60632894572388973"/>
          <c:w val="0.26013531247783173"/>
          <c:h val="0.1228072806688637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566614958665"/>
          <c:y val="4.7126376644779866E-2"/>
          <c:w val="0.72887760912680744"/>
          <c:h val="0.81417322834645667"/>
        </c:manualLayout>
      </c:layout>
      <c:lineChart>
        <c:grouping val="standard"/>
        <c:varyColors val="0"/>
        <c:ser>
          <c:idx val="0"/>
          <c:order val="0"/>
          <c:tx>
            <c:strRef>
              <c:f>'Tab2'!$M$70</c:f>
              <c:strCache>
                <c:ptCount val="1"/>
                <c:pt idx="0">
                  <c:v>Erstatning</c:v>
                </c:pt>
              </c:strCache>
            </c:strRef>
          </c:tx>
          <c:spPr>
            <a:ln w="25400"/>
          </c:spPr>
          <c:marker>
            <c:symbol val="none"/>
          </c:marker>
          <c:cat>
            <c:numRef>
              <c:f>'Tab2'!$K$103:$K$243</c:f>
              <c:numCache>
                <c:formatCode>General</c:formatCode>
                <c:ptCount val="141"/>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pt idx="132">
                  <c:v>2024</c:v>
                </c:pt>
                <c:pt idx="136">
                  <c:v>2025</c:v>
                </c:pt>
                <c:pt idx="140">
                  <c:v>2026</c:v>
                </c:pt>
              </c:numCache>
            </c:numRef>
          </c:cat>
          <c:val>
            <c:numRef>
              <c:f>'Tab2'!$T$103:$T$243</c:f>
              <c:numCache>
                <c:formatCode>#\ ##0.0</c:formatCode>
                <c:ptCount val="141"/>
                <c:pt idx="0">
                  <c:v>314.66486729644578</c:v>
                </c:pt>
                <c:pt idx="1">
                  <c:v>391.49937821993188</c:v>
                </c:pt>
                <c:pt idx="2">
                  <c:v>455.00977082963163</c:v>
                </c:pt>
                <c:pt idx="3">
                  <c:v>407.52489206097391</c:v>
                </c:pt>
                <c:pt idx="4">
                  <c:v>396.70329670329608</c:v>
                </c:pt>
                <c:pt idx="5">
                  <c:v>362.47612432713959</c:v>
                </c:pt>
                <c:pt idx="6">
                  <c:v>475.02384875552781</c:v>
                </c:pt>
                <c:pt idx="7">
                  <c:v>235.5930743388746</c:v>
                </c:pt>
                <c:pt idx="8">
                  <c:v>375.83518930957626</c:v>
                </c:pt>
                <c:pt idx="9">
                  <c:v>404.94747543205636</c:v>
                </c:pt>
                <c:pt idx="10">
                  <c:v>460.39225674987193</c:v>
                </c:pt>
                <c:pt idx="11">
                  <c:v>347.633136094674</c:v>
                </c:pt>
                <c:pt idx="12">
                  <c:v>341.71597633136042</c:v>
                </c:pt>
                <c:pt idx="13">
                  <c:v>411.45877023739553</c:v>
                </c:pt>
                <c:pt idx="14">
                  <c:v>458.94930259751055</c:v>
                </c:pt>
                <c:pt idx="15">
                  <c:v>445.2566871573344</c:v>
                </c:pt>
                <c:pt idx="16">
                  <c:v>376.9971998023384</c:v>
                </c:pt>
                <c:pt idx="17">
                  <c:v>436.11542548843227</c:v>
                </c:pt>
                <c:pt idx="18">
                  <c:v>457.9825063353216</c:v>
                </c:pt>
                <c:pt idx="19">
                  <c:v>419.37713449341328</c:v>
                </c:pt>
                <c:pt idx="20">
                  <c:v>405.43851053405132</c:v>
                </c:pt>
                <c:pt idx="21">
                  <c:v>445.0780554881494</c:v>
                </c:pt>
                <c:pt idx="22">
                  <c:v>469.59323399113902</c:v>
                </c:pt>
                <c:pt idx="23">
                  <c:v>375.42934739196386</c:v>
                </c:pt>
                <c:pt idx="24">
                  <c:v>371.1755870029246</c:v>
                </c:pt>
                <c:pt idx="25">
                  <c:v>442.09117392331234</c:v>
                </c:pt>
                <c:pt idx="26">
                  <c:v>391.3077710416498</c:v>
                </c:pt>
                <c:pt idx="27">
                  <c:v>361.74953095684725</c:v>
                </c:pt>
                <c:pt idx="28">
                  <c:v>359.05182430862135</c:v>
                </c:pt>
                <c:pt idx="29">
                  <c:v>393.87392948074933</c:v>
                </c:pt>
                <c:pt idx="30">
                  <c:v>403.88469246184621</c:v>
                </c:pt>
                <c:pt idx="31">
                  <c:v>393.01810404094346</c:v>
                </c:pt>
                <c:pt idx="32">
                  <c:v>308.75436200879938</c:v>
                </c:pt>
                <c:pt idx="33">
                  <c:v>374.64248080686372</c:v>
                </c:pt>
                <c:pt idx="34">
                  <c:v>430.56501021102736</c:v>
                </c:pt>
                <c:pt idx="35">
                  <c:v>357.11631363805208</c:v>
                </c:pt>
                <c:pt idx="36">
                  <c:v>364.02412119429272</c:v>
                </c:pt>
                <c:pt idx="37">
                  <c:v>337.59057308058209</c:v>
                </c:pt>
                <c:pt idx="38">
                  <c:v>354.11644386003303</c:v>
                </c:pt>
                <c:pt idx="39">
                  <c:v>387.13627196773206</c:v>
                </c:pt>
                <c:pt idx="40">
                  <c:v>291.12262276468869</c:v>
                </c:pt>
                <c:pt idx="41">
                  <c:v>333.90651319483379</c:v>
                </c:pt>
                <c:pt idx="42">
                  <c:v>281.96826300434026</c:v>
                </c:pt>
                <c:pt idx="43">
                  <c:v>457.32786073172383</c:v>
                </c:pt>
                <c:pt idx="44">
                  <c:v>348.19480610880373</c:v>
                </c:pt>
                <c:pt idx="45">
                  <c:v>408.21678321678257</c:v>
                </c:pt>
                <c:pt idx="46">
                  <c:v>323.72964626614214</c:v>
                </c:pt>
                <c:pt idx="47">
                  <c:v>336.10533610533577</c:v>
                </c:pt>
                <c:pt idx="48">
                  <c:v>307.08819975835638</c:v>
                </c:pt>
                <c:pt idx="49">
                  <c:v>347.9690389752717</c:v>
                </c:pt>
                <c:pt idx="50">
                  <c:v>324.46552553791111</c:v>
                </c:pt>
                <c:pt idx="51">
                  <c:v>377.27148517557004</c:v>
                </c:pt>
                <c:pt idx="52">
                  <c:v>305.54037436808255</c:v>
                </c:pt>
                <c:pt idx="53">
                  <c:v>387.3287206620534</c:v>
                </c:pt>
                <c:pt idx="54">
                  <c:v>273.65554799183059</c:v>
                </c:pt>
                <c:pt idx="55">
                  <c:v>274.79757085020213</c:v>
                </c:pt>
                <c:pt idx="56">
                  <c:v>270.11027670658234</c:v>
                </c:pt>
                <c:pt idx="57">
                  <c:v>254.57398504273476</c:v>
                </c:pt>
                <c:pt idx="58">
                  <c:v>255.63055536991195</c:v>
                </c:pt>
                <c:pt idx="59">
                  <c:v>235.41114058355413</c:v>
                </c:pt>
                <c:pt idx="60">
                  <c:v>248.3836917799178</c:v>
                </c:pt>
                <c:pt idx="61">
                  <c:v>287.23820708553484</c:v>
                </c:pt>
                <c:pt idx="62">
                  <c:v>273.95239032067639</c:v>
                </c:pt>
                <c:pt idx="63">
                  <c:v>232.87007110536481</c:v>
                </c:pt>
                <c:pt idx="64">
                  <c:v>273.97708674304374</c:v>
                </c:pt>
                <c:pt idx="65">
                  <c:v>261.72052799271688</c:v>
                </c:pt>
                <c:pt idx="66">
                  <c:v>249.60820164555264</c:v>
                </c:pt>
                <c:pt idx="67">
                  <c:v>227.33061640346384</c:v>
                </c:pt>
                <c:pt idx="68">
                  <c:v>252.57146463052902</c:v>
                </c:pt>
                <c:pt idx="69">
                  <c:v>296.97351828499325</c:v>
                </c:pt>
                <c:pt idx="70">
                  <c:v>291.03918015372068</c:v>
                </c:pt>
                <c:pt idx="71">
                  <c:v>415.76707174140972</c:v>
                </c:pt>
                <c:pt idx="72">
                  <c:v>327.99999999999949</c:v>
                </c:pt>
                <c:pt idx="73">
                  <c:v>359.98408910103365</c:v>
                </c:pt>
                <c:pt idx="74">
                  <c:v>355.4778554778548</c:v>
                </c:pt>
                <c:pt idx="75">
                  <c:v>419.85660469072741</c:v>
                </c:pt>
                <c:pt idx="76">
                  <c:v>363.24786324786277</c:v>
                </c:pt>
                <c:pt idx="77">
                  <c:v>300.76982753476113</c:v>
                </c:pt>
                <c:pt idx="78">
                  <c:v>302.00433369447398</c:v>
                </c:pt>
                <c:pt idx="79">
                  <c:v>305.60524746571207</c:v>
                </c:pt>
                <c:pt idx="80">
                  <c:v>231.15325534680341</c:v>
                </c:pt>
                <c:pt idx="81">
                  <c:v>290.36993540810283</c:v>
                </c:pt>
                <c:pt idx="82">
                  <c:v>248.63274283676091</c:v>
                </c:pt>
                <c:pt idx="83">
                  <c:v>266.87806072593389</c:v>
                </c:pt>
                <c:pt idx="84">
                  <c:v>256.61128615700488</c:v>
                </c:pt>
                <c:pt idx="85">
                  <c:v>268.97880441979578</c:v>
                </c:pt>
                <c:pt idx="86">
                  <c:v>281.10738795056062</c:v>
                </c:pt>
                <c:pt idx="87">
                  <c:v>277.41451746192206</c:v>
                </c:pt>
                <c:pt idx="88">
                  <c:v>242.69490898920961</c:v>
                </c:pt>
                <c:pt idx="89">
                  <c:v>252.25860234123246</c:v>
                </c:pt>
                <c:pt idx="90">
                  <c:v>247.07386270708727</c:v>
                </c:pt>
                <c:pt idx="91">
                  <c:v>255.98438148441454</c:v>
                </c:pt>
                <c:pt idx="92">
                  <c:v>233.88840299266107</c:v>
                </c:pt>
                <c:pt idx="93">
                  <c:v>235.38493676695427</c:v>
                </c:pt>
                <c:pt idx="94">
                  <c:v>248.50062174630665</c:v>
                </c:pt>
                <c:pt idx="95">
                  <c:v>244.63242136788745</c:v>
                </c:pt>
                <c:pt idx="96">
                  <c:v>215.88722755136152</c:v>
                </c:pt>
                <c:pt idx="97">
                  <c:v>232.60520119344275</c:v>
                </c:pt>
                <c:pt idx="98">
                  <c:v>180.55616885965048</c:v>
                </c:pt>
                <c:pt idx="99">
                  <c:v>215.18704724471363</c:v>
                </c:pt>
                <c:pt idx="100">
                  <c:v>173.29653085547923</c:v>
                </c:pt>
                <c:pt idx="101">
                  <c:v>203.38866724105728</c:v>
                </c:pt>
                <c:pt idx="102">
                  <c:v>197.40575026735104</c:v>
                </c:pt>
                <c:pt idx="103">
                  <c:v>193.83447996827618</c:v>
                </c:pt>
                <c:pt idx="104">
                  <c:v>185.41096065967815</c:v>
                </c:pt>
                <c:pt idx="105">
                  <c:v>156.48962434244834</c:v>
                </c:pt>
                <c:pt idx="106">
                  <c:v>167.11055407593057</c:v>
                </c:pt>
                <c:pt idx="107">
                  <c:v>160.68836823553781</c:v>
                </c:pt>
                <c:pt idx="108">
                  <c:v>149.01598067930712</c:v>
                </c:pt>
                <c:pt idx="109">
                  <c:v>172.94654465925291</c:v>
                </c:pt>
                <c:pt idx="110">
                  <c:v>189.74606452195331</c:v>
                </c:pt>
                <c:pt idx="111">
                  <c:v>145.8985747959189</c:v>
                </c:pt>
                <c:pt idx="112">
                  <c:v>152.79683600048878</c:v>
                </c:pt>
                <c:pt idx="113">
                  <c:v>176.05675321037512</c:v>
                </c:pt>
                <c:pt idx="114">
                  <c:v>179.98453741801754</c:v>
                </c:pt>
                <c:pt idx="115">
                  <c:v>164.09622959182184</c:v>
                </c:pt>
                <c:pt idx="116">
                  <c:v>180.33527766685773</c:v>
                </c:pt>
                <c:pt idx="117">
                  <c:v>154.34362673572636</c:v>
                </c:pt>
                <c:pt idx="118">
                  <c:v>194.36445258886636</c:v>
                </c:pt>
                <c:pt idx="119">
                  <c:v>138.99342325344037</c:v>
                </c:pt>
                <c:pt idx="120">
                  <c:v>139.57299787001159</c:v>
                </c:pt>
                <c:pt idx="121">
                  <c:v>138.58381146406413</c:v>
                </c:pt>
                <c:pt idx="122">
                  <c:v>144.72771824494907</c:v>
                </c:pt>
                <c:pt idx="123">
                  <c:v>127.35605992265056</c:v>
                </c:pt>
                <c:pt idx="124">
                  <c:v>142.1639231447686</c:v>
                </c:pt>
                <c:pt idx="125">
                  <c:v>193.29419921692383</c:v>
                </c:pt>
                <c:pt idx="126">
                  <c:v>188.71821063881268</c:v>
                </c:pt>
                <c:pt idx="127">
                  <c:v>182.61837700975411</c:v>
                </c:pt>
                <c:pt idx="128">
                  <c:v>179.57747047014382</c:v>
                </c:pt>
                <c:pt idx="129">
                  <c:v>190.31782066904594</c:v>
                </c:pt>
                <c:pt idx="130">
                  <c:v>250.87615427367157</c:v>
                </c:pt>
                <c:pt idx="131">
                  <c:v>198.03222722987542</c:v>
                </c:pt>
                <c:pt idx="132" formatCode="_(* #\ ##0_);_(* \(#\ ##0\);_(* &quot;-&quot;??_);_(@_)">
                  <c:v>179.75242052731855</c:v>
                </c:pt>
                <c:pt idx="133" formatCode="_(* #\ ##0_);_(* \(#\ ##0\);_(* &quot;-&quot;??_);_(@_)">
                  <c:v>222.03013238409545</c:v>
                </c:pt>
                <c:pt idx="134" formatCode="_(* #\ ##0_);_(* \(#\ ##0\);_(* &quot;-&quot;??_);_(@_)">
                  <c:v>220.96368130615875</c:v>
                </c:pt>
                <c:pt idx="135" formatCode="_(* #\ ##0_);_(* \(#\ ##0\);_(* &quot;-&quot;??_);_(@_)">
                  <c:v>202.67184862139126</c:v>
                </c:pt>
                <c:pt idx="136" formatCode="_(* #\ ##0_);_(* \(#\ ##0\);_(* &quot;-&quot;??_);_(@_)">
                  <c:v>187.37435069200879</c:v>
                </c:pt>
                <c:pt idx="137" formatCode="_(* #\ ##0_);_(* \(#\ ##0\);_(* &quot;-&quot;??_);_(@_)">
                  <c:v>190.38158515717967</c:v>
                </c:pt>
                <c:pt idx="138" formatCode="_(* #\ ##0_);_(* \(#\ ##0\);_(* &quot;-&quot;??_);_(@_)">
                  <c:v>245.67153817310728</c:v>
                </c:pt>
                <c:pt idx="139" formatCode="_(* #\ ##0_);_(* \(#\ ##0\);_(* &quot;-&quot;??_);_(@_)">
                  <c:v>184.54821199201882</c:v>
                </c:pt>
                <c:pt idx="140" formatCode="_(* #\ ##0_);_(* \(#\ ##0\);_(* &quot;-&quot;??_);_(@_)">
                  <c:v>211.96635090757897</c:v>
                </c:pt>
              </c:numCache>
            </c:numRef>
          </c:val>
          <c:smooth val="0"/>
          <c:extLst>
            <c:ext xmlns:c16="http://schemas.microsoft.com/office/drawing/2014/chart" uri="{C3380CC4-5D6E-409C-BE32-E72D297353CC}">
              <c16:uniqueId val="{00000000-A9C2-44F7-A0C1-9433E210C6CC}"/>
            </c:ext>
          </c:extLst>
        </c:ser>
        <c:dLbls>
          <c:showLegendKey val="0"/>
          <c:showVal val="0"/>
          <c:showCatName val="0"/>
          <c:showSerName val="0"/>
          <c:showPercent val="0"/>
          <c:showBubbleSize val="0"/>
        </c:dLbls>
        <c:marker val="1"/>
        <c:smooth val="0"/>
        <c:axId val="270837248"/>
        <c:axId val="270838784"/>
      </c:lineChart>
      <c:lineChart>
        <c:grouping val="standard"/>
        <c:varyColors val="0"/>
        <c:ser>
          <c:idx val="1"/>
          <c:order val="1"/>
          <c:tx>
            <c:strRef>
              <c:f>'Tab2'!$L$70</c:f>
              <c:strCache>
                <c:ptCount val="1"/>
                <c:pt idx="0">
                  <c:v>Antall</c:v>
                </c:pt>
              </c:strCache>
            </c:strRef>
          </c:tx>
          <c:spPr>
            <a:ln w="25400"/>
          </c:spPr>
          <c:marker>
            <c:symbol val="none"/>
          </c:marker>
          <c:cat>
            <c:numRef>
              <c:f>'Tab2'!$K$103:$K$220</c:f>
              <c:numCache>
                <c:formatCode>General</c:formatCode>
                <c:ptCount val="118"/>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numCache>
            </c:numRef>
          </c:cat>
          <c:val>
            <c:numRef>
              <c:f>'Tab2'!$R$103:$R$243</c:f>
              <c:numCache>
                <c:formatCode>#,##0</c:formatCode>
                <c:ptCount val="141"/>
                <c:pt idx="0">
                  <c:v>9077</c:v>
                </c:pt>
                <c:pt idx="1">
                  <c:v>12525</c:v>
                </c:pt>
                <c:pt idx="2">
                  <c:v>14126</c:v>
                </c:pt>
                <c:pt idx="3">
                  <c:v>13048</c:v>
                </c:pt>
                <c:pt idx="4">
                  <c:v>11030</c:v>
                </c:pt>
                <c:pt idx="5">
                  <c:v>13252</c:v>
                </c:pt>
                <c:pt idx="6">
                  <c:v>15450</c:v>
                </c:pt>
                <c:pt idx="7">
                  <c:v>12309</c:v>
                </c:pt>
                <c:pt idx="8">
                  <c:v>10571</c:v>
                </c:pt>
                <c:pt idx="9">
                  <c:v>12919</c:v>
                </c:pt>
                <c:pt idx="10">
                  <c:v>14800</c:v>
                </c:pt>
                <c:pt idx="11">
                  <c:v>11391</c:v>
                </c:pt>
                <c:pt idx="12">
                  <c:v>8795</c:v>
                </c:pt>
                <c:pt idx="13">
                  <c:v>13449</c:v>
                </c:pt>
                <c:pt idx="14">
                  <c:v>15669</c:v>
                </c:pt>
                <c:pt idx="15">
                  <c:v>14139</c:v>
                </c:pt>
                <c:pt idx="16">
                  <c:v>11007</c:v>
                </c:pt>
                <c:pt idx="17">
                  <c:v>13915</c:v>
                </c:pt>
                <c:pt idx="18">
                  <c:v>17436</c:v>
                </c:pt>
                <c:pt idx="19">
                  <c:v>15130</c:v>
                </c:pt>
                <c:pt idx="20">
                  <c:v>11785</c:v>
                </c:pt>
                <c:pt idx="21">
                  <c:v>14642</c:v>
                </c:pt>
                <c:pt idx="22">
                  <c:v>17198</c:v>
                </c:pt>
                <c:pt idx="23">
                  <c:v>13841</c:v>
                </c:pt>
                <c:pt idx="24">
                  <c:v>10571</c:v>
                </c:pt>
                <c:pt idx="25">
                  <c:v>14837</c:v>
                </c:pt>
                <c:pt idx="26">
                  <c:v>15670</c:v>
                </c:pt>
                <c:pt idx="27">
                  <c:v>13087</c:v>
                </c:pt>
                <c:pt idx="28">
                  <c:v>11958</c:v>
                </c:pt>
                <c:pt idx="29">
                  <c:v>15060</c:v>
                </c:pt>
                <c:pt idx="30">
                  <c:v>17098</c:v>
                </c:pt>
                <c:pt idx="31">
                  <c:v>14647</c:v>
                </c:pt>
                <c:pt idx="32">
                  <c:v>11175</c:v>
                </c:pt>
                <c:pt idx="33">
                  <c:v>12451</c:v>
                </c:pt>
                <c:pt idx="34">
                  <c:v>18817</c:v>
                </c:pt>
                <c:pt idx="35">
                  <c:v>13692</c:v>
                </c:pt>
                <c:pt idx="36">
                  <c:v>12421</c:v>
                </c:pt>
                <c:pt idx="37">
                  <c:v>13950</c:v>
                </c:pt>
                <c:pt idx="38">
                  <c:v>14850</c:v>
                </c:pt>
                <c:pt idx="39">
                  <c:v>13212</c:v>
                </c:pt>
                <c:pt idx="40">
                  <c:v>10538</c:v>
                </c:pt>
                <c:pt idx="41">
                  <c:v>11841</c:v>
                </c:pt>
                <c:pt idx="42">
                  <c:v>13534</c:v>
                </c:pt>
                <c:pt idx="43">
                  <c:v>12341</c:v>
                </c:pt>
                <c:pt idx="44">
                  <c:v>9371</c:v>
                </c:pt>
                <c:pt idx="45">
                  <c:v>14749</c:v>
                </c:pt>
                <c:pt idx="46">
                  <c:v>14722</c:v>
                </c:pt>
                <c:pt idx="47">
                  <c:v>14689</c:v>
                </c:pt>
                <c:pt idx="48">
                  <c:v>10626</c:v>
                </c:pt>
                <c:pt idx="49">
                  <c:v>12719</c:v>
                </c:pt>
                <c:pt idx="50">
                  <c:v>13690</c:v>
                </c:pt>
                <c:pt idx="51">
                  <c:v>11607</c:v>
                </c:pt>
                <c:pt idx="52">
                  <c:v>8913</c:v>
                </c:pt>
                <c:pt idx="53">
                  <c:v>10802</c:v>
                </c:pt>
                <c:pt idx="54">
                  <c:v>11365</c:v>
                </c:pt>
                <c:pt idx="55">
                  <c:v>9276</c:v>
                </c:pt>
                <c:pt idx="56">
                  <c:v>7498</c:v>
                </c:pt>
                <c:pt idx="57">
                  <c:v>11610</c:v>
                </c:pt>
                <c:pt idx="58">
                  <c:v>8742</c:v>
                </c:pt>
                <c:pt idx="59">
                  <c:v>11407</c:v>
                </c:pt>
                <c:pt idx="60">
                  <c:v>7106</c:v>
                </c:pt>
                <c:pt idx="61">
                  <c:v>9193</c:v>
                </c:pt>
                <c:pt idx="62">
                  <c:v>10840</c:v>
                </c:pt>
                <c:pt idx="63">
                  <c:v>9520</c:v>
                </c:pt>
                <c:pt idx="64">
                  <c:v>8112</c:v>
                </c:pt>
                <c:pt idx="65">
                  <c:v>10608</c:v>
                </c:pt>
                <c:pt idx="66">
                  <c:v>10319</c:v>
                </c:pt>
                <c:pt idx="67">
                  <c:v>8645</c:v>
                </c:pt>
                <c:pt idx="68">
                  <c:v>7939</c:v>
                </c:pt>
                <c:pt idx="69">
                  <c:v>10207</c:v>
                </c:pt>
                <c:pt idx="70">
                  <c:v>11007</c:v>
                </c:pt>
                <c:pt idx="71">
                  <c:v>10145</c:v>
                </c:pt>
                <c:pt idx="72">
                  <c:v>8619</c:v>
                </c:pt>
                <c:pt idx="73">
                  <c:v>11296</c:v>
                </c:pt>
                <c:pt idx="74">
                  <c:v>11383</c:v>
                </c:pt>
                <c:pt idx="75">
                  <c:v>10409</c:v>
                </c:pt>
                <c:pt idx="76">
                  <c:v>7227</c:v>
                </c:pt>
                <c:pt idx="77">
                  <c:v>10696</c:v>
                </c:pt>
                <c:pt idx="78">
                  <c:v>11532</c:v>
                </c:pt>
                <c:pt idx="79">
                  <c:v>9548</c:v>
                </c:pt>
                <c:pt idx="80">
                  <c:v>6732</c:v>
                </c:pt>
                <c:pt idx="81">
                  <c:v>10017</c:v>
                </c:pt>
                <c:pt idx="82">
                  <c:v>10339</c:v>
                </c:pt>
                <c:pt idx="83">
                  <c:v>9645.4866500746648</c:v>
                </c:pt>
                <c:pt idx="84">
                  <c:v>7564.3716625186662</c:v>
                </c:pt>
                <c:pt idx="85">
                  <c:v>10002.628337481334</c:v>
                </c:pt>
                <c:pt idx="86" formatCode="0">
                  <c:v>10877.781177428844</c:v>
                </c:pt>
                <c:pt idx="87" formatCode="0">
                  <c:v>8525.2188225711561</c:v>
                </c:pt>
                <c:pt idx="88" formatCode="0">
                  <c:v>5958.3970505452735</c:v>
                </c:pt>
                <c:pt idx="89" formatCode="0">
                  <c:v>10154.602949454726</c:v>
                </c:pt>
                <c:pt idx="90" formatCode="0">
                  <c:v>11786.02326086957</c:v>
                </c:pt>
                <c:pt idx="91" formatCode="0">
                  <c:v>11621.97673913043</c:v>
                </c:pt>
                <c:pt idx="92" formatCode="0">
                  <c:v>8004</c:v>
                </c:pt>
                <c:pt idx="93" formatCode="0">
                  <c:v>11579</c:v>
                </c:pt>
                <c:pt idx="94" formatCode="0">
                  <c:v>11684</c:v>
                </c:pt>
                <c:pt idx="95" formatCode="0">
                  <c:v>9690</c:v>
                </c:pt>
                <c:pt idx="96" formatCode="0">
                  <c:v>7135</c:v>
                </c:pt>
                <c:pt idx="97" formatCode="0">
                  <c:v>9988.3050621118018</c:v>
                </c:pt>
                <c:pt idx="98" formatCode="0">
                  <c:v>10649.652531055901</c:v>
                </c:pt>
                <c:pt idx="99" formatCode="0">
                  <c:v>9159.825978260902</c:v>
                </c:pt>
                <c:pt idx="100" formatCode="0">
                  <c:v>6340.7358571430004</c:v>
                </c:pt>
                <c:pt idx="101" formatCode="0">
                  <c:v>10107.700518632999</c:v>
                </c:pt>
                <c:pt idx="102" formatCode="0">
                  <c:v>10325.156290487997</c:v>
                </c:pt>
                <c:pt idx="103" formatCode="0">
                  <c:v>7957.0224983410008</c:v>
                </c:pt>
                <c:pt idx="104" formatCode="0">
                  <c:v>6121.3819215860003</c:v>
                </c:pt>
                <c:pt idx="105" formatCode="0">
                  <c:v>7194.9193664359991</c:v>
                </c:pt>
                <c:pt idx="106" formatCode="0">
                  <c:v>8727</c:v>
                </c:pt>
                <c:pt idx="107" formatCode="0">
                  <c:v>7520</c:v>
                </c:pt>
                <c:pt idx="108" formatCode="0">
                  <c:v>5433</c:v>
                </c:pt>
                <c:pt idx="109" formatCode="0">
                  <c:v>9319.6839472049996</c:v>
                </c:pt>
                <c:pt idx="110" formatCode="0">
                  <c:v>9726.2967189440697</c:v>
                </c:pt>
                <c:pt idx="111" formatCode="0">
                  <c:v>8182.2589673913026</c:v>
                </c:pt>
                <c:pt idx="112" formatCode="0">
                  <c:v>6840.1016739130437</c:v>
                </c:pt>
                <c:pt idx="113" formatCode="0">
                  <c:v>10227.612341614906</c:v>
                </c:pt>
                <c:pt idx="114" formatCode="0">
                  <c:v>10507.793672360251</c:v>
                </c:pt>
                <c:pt idx="115" formatCode="0">
                  <c:v>9597.5708897515542</c:v>
                </c:pt>
                <c:pt idx="116" formatCode="0">
                  <c:v>8173.2696444099374</c:v>
                </c:pt>
                <c:pt idx="117" formatCode="0">
                  <c:v>9378.7613872911825</c:v>
                </c:pt>
                <c:pt idx="118" formatCode="0">
                  <c:v>12479.986334758509</c:v>
                </c:pt>
                <c:pt idx="119" formatCode="0">
                  <c:v>9374.137683010551</c:v>
                </c:pt>
                <c:pt idx="120" formatCode="0">
                  <c:v>6121.5967593167707</c:v>
                </c:pt>
                <c:pt idx="121" formatCode="0">
                  <c:v>8820.4369021739112</c:v>
                </c:pt>
                <c:pt idx="122" formatCode="0">
                  <c:v>8162.7090062111811</c:v>
                </c:pt>
                <c:pt idx="123" formatCode="0">
                  <c:v>8198.4054586074526</c:v>
                </c:pt>
                <c:pt idx="124" formatCode="0">
                  <c:v>6778.6444332298142</c:v>
                </c:pt>
                <c:pt idx="125" formatCode="0">
                  <c:v>11377.755536580467</c:v>
                </c:pt>
                <c:pt idx="126" formatCode="0">
                  <c:v>12116.405554623785</c:v>
                </c:pt>
                <c:pt idx="127" formatCode="0">
                  <c:v>10409.999344870157</c:v>
                </c:pt>
                <c:pt idx="128" formatCode="0">
                  <c:v>7838.5406661490688</c:v>
                </c:pt>
                <c:pt idx="129" formatCode="0">
                  <c:v>11351.137162897225</c:v>
                </c:pt>
                <c:pt idx="130" formatCode="0">
                  <c:v>12525.795886792215</c:v>
                </c:pt>
                <c:pt idx="131" formatCode="0">
                  <c:v>9988.9312779503089</c:v>
                </c:pt>
                <c:pt idx="132" formatCode="_(* #\ ##0_);_(* \(#\ ##0\);_(* &quot;-&quot;??_);_(@_)">
                  <c:v>8331.0396847826087</c:v>
                </c:pt>
                <c:pt idx="133" formatCode="_(* #\ ##0_);_(* \(#\ ##0\);_(* &quot;-&quot;??_);_(@_)">
                  <c:v>12716.960746992983</c:v>
                </c:pt>
                <c:pt idx="134" formatCode="_(* #\ ##0_);_(* \(#\ ##0\);_(* &quot;-&quot;??_);_(@_)">
                  <c:v>12883.282523193357</c:v>
                </c:pt>
                <c:pt idx="135" formatCode="_(* #\ ##0_);_(* \(#\ ##0\);_(* &quot;-&quot;??_);_(@_)">
                  <c:v>10798.094318322972</c:v>
                </c:pt>
                <c:pt idx="136" formatCode="_(* #\ ##0_);_(* \(#\ ##0\);_(* &quot;-&quot;??_);_(@_)">
                  <c:v>7900</c:v>
                </c:pt>
                <c:pt idx="137" formatCode="_(* #\ ##0_);_(* \(#\ ##0\);_(* &quot;-&quot;??_);_(@_)">
                  <c:v>11083</c:v>
                </c:pt>
                <c:pt idx="138" formatCode="_(* #\ ##0_);_(* \(#\ ##0\);_(* &quot;-&quot;??_);_(@_)">
                  <c:v>11832</c:v>
                </c:pt>
                <c:pt idx="139" formatCode="_(* #\ ##0_);_(* \(#\ ##0\);_(* &quot;-&quot;??_);_(@_)">
                  <c:v>8474</c:v>
                </c:pt>
                <c:pt idx="140" formatCode="_(* #\ ##0_);_(* \(#\ ##0\);_(* &quot;-&quot;??_);_(@_)">
                  <c:v>6776</c:v>
                </c:pt>
              </c:numCache>
            </c:numRef>
          </c:val>
          <c:smooth val="0"/>
          <c:extLst>
            <c:ext xmlns:c16="http://schemas.microsoft.com/office/drawing/2014/chart" uri="{C3380CC4-5D6E-409C-BE32-E72D297353CC}">
              <c16:uniqueId val="{00000001-A9C2-44F7-A0C1-9433E210C6CC}"/>
            </c:ext>
          </c:extLst>
        </c:ser>
        <c:dLbls>
          <c:showLegendKey val="0"/>
          <c:showVal val="0"/>
          <c:showCatName val="0"/>
          <c:showSerName val="0"/>
          <c:showPercent val="0"/>
          <c:showBubbleSize val="0"/>
        </c:dLbls>
        <c:upDownBars>
          <c:gapWidth val="150"/>
          <c:upBars/>
          <c:downBars/>
        </c:upDownBars>
        <c:marker val="1"/>
        <c:smooth val="0"/>
        <c:axId val="270851072"/>
        <c:axId val="270849152"/>
      </c:lineChart>
      <c:catAx>
        <c:axId val="270837248"/>
        <c:scaling>
          <c:orientation val="minMax"/>
        </c:scaling>
        <c:delete val="0"/>
        <c:axPos val="b"/>
        <c:majorGridlines>
          <c:spPr>
            <a:ln>
              <a:solidFill>
                <a:srgbClr val="4F81BD">
                  <a:alpha val="25000"/>
                </a:srgbClr>
              </a:solidFill>
            </a:ln>
          </c:spPr>
        </c:majorGridlines>
        <c:numFmt formatCode="General" sourceLinked="1"/>
        <c:majorTickMark val="out"/>
        <c:minorTickMark val="out"/>
        <c:tickLblPos val="nextTo"/>
        <c:txPr>
          <a:bodyPr rot="-3000000" vert="horz"/>
          <a:lstStyle/>
          <a:p>
            <a:pPr>
              <a:defRPr/>
            </a:pPr>
            <a:endParaRPr lang="nb-NO"/>
          </a:p>
        </c:txPr>
        <c:crossAx val="270838784"/>
        <c:crosses val="autoZero"/>
        <c:auto val="1"/>
        <c:lblAlgn val="ctr"/>
        <c:lblOffset val="100"/>
        <c:tickLblSkip val="1"/>
        <c:tickMarkSkip val="4"/>
        <c:noMultiLvlLbl val="0"/>
      </c:catAx>
      <c:valAx>
        <c:axId val="270838784"/>
        <c:scaling>
          <c:orientation val="minMax"/>
        </c:scaling>
        <c:delete val="0"/>
        <c:axPos val="l"/>
        <c:majorGridlines/>
        <c:title>
          <c:tx>
            <c:rich>
              <a:bodyPr rot="-5400000" vert="horz" anchor="ctr" anchorCtr="1"/>
              <a:lstStyle/>
              <a:p>
                <a:pPr>
                  <a:defRPr/>
                </a:pPr>
                <a:r>
                  <a:rPr lang="en-US"/>
                  <a:t>KPI-justert erstatning (millioner kroner)</a:t>
                </a:r>
              </a:p>
            </c:rich>
          </c:tx>
          <c:layout>
            <c:manualLayout>
              <c:xMode val="edge"/>
              <c:yMode val="edge"/>
              <c:x val="1.5657612176468372E-2"/>
              <c:y val="0.13385355900279908"/>
            </c:manualLayout>
          </c:layout>
          <c:overlay val="0"/>
        </c:title>
        <c:numFmt formatCode="#,##0" sourceLinked="0"/>
        <c:majorTickMark val="out"/>
        <c:minorTickMark val="none"/>
        <c:tickLblPos val="nextTo"/>
        <c:crossAx val="270837248"/>
        <c:crosses val="autoZero"/>
        <c:crossBetween val="between"/>
      </c:valAx>
      <c:valAx>
        <c:axId val="270849152"/>
        <c:scaling>
          <c:orientation val="minMax"/>
        </c:scaling>
        <c:delete val="0"/>
        <c:axPos val="r"/>
        <c:title>
          <c:tx>
            <c:rich>
              <a:bodyPr rot="-5400000" vert="horz"/>
              <a:lstStyle/>
              <a:p>
                <a:pPr>
                  <a:defRPr/>
                </a:pPr>
                <a:r>
                  <a:rPr lang="en-US"/>
                  <a:t>Antall meldte innbrudd/tyveri/ran</a:t>
                </a:r>
              </a:p>
            </c:rich>
          </c:tx>
          <c:overlay val="0"/>
        </c:title>
        <c:numFmt formatCode="#,##0" sourceLinked="1"/>
        <c:majorTickMark val="out"/>
        <c:minorTickMark val="none"/>
        <c:tickLblPos val="nextTo"/>
        <c:crossAx val="270851072"/>
        <c:crosses val="max"/>
        <c:crossBetween val="between"/>
      </c:valAx>
      <c:catAx>
        <c:axId val="270851072"/>
        <c:scaling>
          <c:orientation val="minMax"/>
        </c:scaling>
        <c:delete val="1"/>
        <c:axPos val="b"/>
        <c:numFmt formatCode="General" sourceLinked="1"/>
        <c:majorTickMark val="out"/>
        <c:minorTickMark val="none"/>
        <c:tickLblPos val="none"/>
        <c:crossAx val="270849152"/>
        <c:crosses val="autoZero"/>
        <c:auto val="0"/>
        <c:lblAlgn val="ctr"/>
        <c:lblOffset val="100"/>
        <c:noMultiLvlLbl val="0"/>
      </c:catAx>
    </c:plotArea>
    <c:legend>
      <c:legendPos val="r"/>
      <c:layout>
        <c:manualLayout>
          <c:xMode val="edge"/>
          <c:yMode val="edge"/>
          <c:x val="0.54813905737861102"/>
          <c:y val="5.4665550527114352E-2"/>
          <c:w val="0.2317650782352112"/>
          <c:h val="0.10148035666735998"/>
        </c:manualLayout>
      </c:layou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114671163575038"/>
          <c:y val="0.10875331564986535"/>
          <c:w val="0.50084317032040471"/>
          <c:h val="0.78779840848810034"/>
        </c:manualLayout>
      </c:layout>
      <c:pieChart>
        <c:varyColors val="1"/>
        <c:ser>
          <c:idx val="0"/>
          <c:order val="0"/>
          <c:spPr>
            <a:solidFill>
              <a:srgbClr val="FFFFCC"/>
            </a:solidFill>
            <a:ln w="12700">
              <a:solidFill>
                <a:srgbClr val="000000"/>
              </a:solidFill>
              <a:prstDash val="solid"/>
            </a:ln>
          </c:spPr>
          <c:dPt>
            <c:idx val="0"/>
            <c:bubble3D val="0"/>
            <c:spPr>
              <a:pattFill prst="solidDmnd">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0-FBFF-464F-9449-14EEA586AEC1}"/>
              </c:ext>
            </c:extLst>
          </c:dPt>
          <c:dPt>
            <c:idx val="1"/>
            <c:bubble3D val="0"/>
            <c:spPr>
              <a:solidFill>
                <a:srgbClr val="CCFFFF"/>
              </a:solidFill>
              <a:ln w="12700">
                <a:solidFill>
                  <a:srgbClr val="000000"/>
                </a:solidFill>
                <a:prstDash val="solid"/>
              </a:ln>
            </c:spPr>
            <c:extLst>
              <c:ext xmlns:c16="http://schemas.microsoft.com/office/drawing/2014/chart" uri="{C3380CC4-5D6E-409C-BE32-E72D297353CC}">
                <c16:uniqueId val="{00000001-FBFF-464F-9449-14EEA586AEC1}"/>
              </c:ext>
            </c:extLst>
          </c:dPt>
          <c:dPt>
            <c:idx val="2"/>
            <c:bubble3D val="0"/>
            <c:spPr>
              <a:solidFill>
                <a:srgbClr val="FFFFFF"/>
              </a:solidFill>
              <a:ln w="12700">
                <a:solidFill>
                  <a:srgbClr val="000000"/>
                </a:solidFill>
                <a:prstDash val="solid"/>
              </a:ln>
            </c:spPr>
            <c:extLst>
              <c:ext xmlns:c16="http://schemas.microsoft.com/office/drawing/2014/chart" uri="{C3380CC4-5D6E-409C-BE32-E72D297353CC}">
                <c16:uniqueId val="{00000002-FBFF-464F-9449-14EEA586AEC1}"/>
              </c:ext>
            </c:extLst>
          </c:dPt>
          <c:dPt>
            <c:idx val="3"/>
            <c:bubble3D val="0"/>
            <c:spPr>
              <a:pattFill prst="wdUpDiag">
                <a:fgClr>
                  <a:srgbClr val="800000"/>
                </a:fgClr>
                <a:bgClr>
                  <a:srgbClr val="FFFFFF"/>
                </a:bgClr>
              </a:pattFill>
              <a:ln w="12700">
                <a:solidFill>
                  <a:srgbClr val="000000"/>
                </a:solidFill>
                <a:prstDash val="solid"/>
              </a:ln>
            </c:spPr>
            <c:extLst>
              <c:ext xmlns:c16="http://schemas.microsoft.com/office/drawing/2014/chart" uri="{C3380CC4-5D6E-409C-BE32-E72D297353CC}">
                <c16:uniqueId val="{00000003-FBFF-464F-9449-14EEA586AEC1}"/>
              </c:ext>
            </c:extLst>
          </c:dPt>
          <c:dLbls>
            <c:dLbl>
              <c:idx val="1"/>
              <c:layout>
                <c:manualLayout>
                  <c:x val="1.3705747641758177E-2"/>
                  <c:y val="-3.68182419664546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FF-464F-9449-14EEA586AEC1}"/>
                </c:ext>
              </c:extLst>
            </c:dLbl>
            <c:dLbl>
              <c:idx val="2"/>
              <c:layout>
                <c:manualLayout>
                  <c:x val="5.2092856557194103E-3"/>
                  <c:y val="9.360152191976656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FF-464F-9449-14EEA586AEC1}"/>
                </c:ext>
              </c:extLst>
            </c:dLbl>
            <c:numFmt formatCode="0.0\ %" sourceLinked="0"/>
            <c:spPr>
              <a:noFill/>
              <a:ln w="25400">
                <a:noFill/>
              </a:ln>
            </c:spPr>
            <c:txPr>
              <a:bodyPr/>
              <a:lstStyle/>
              <a:p>
                <a:pPr>
                  <a:defRPr sz="950" b="0" i="0" u="none" strike="noStrike" baseline="0">
                    <a:solidFill>
                      <a:srgbClr val="000000"/>
                    </a:solidFill>
                    <a:latin typeface="Arial"/>
                    <a:ea typeface="Arial"/>
                    <a:cs typeface="Arial"/>
                  </a:defRPr>
                </a:pPr>
                <a:endParaRPr lang="nb-NO"/>
              </a:p>
            </c:txPr>
            <c:showLegendKey val="0"/>
            <c:showVal val="0"/>
            <c:showCatName val="1"/>
            <c:showSerName val="0"/>
            <c:showPercent val="1"/>
            <c:showBubbleSize val="0"/>
            <c:showLeaderLines val="0"/>
            <c:extLst>
              <c:ext xmlns:c15="http://schemas.microsoft.com/office/drawing/2012/chart" uri="{CE6537A1-D6FC-4f65-9D91-7224C49458BB}"/>
            </c:extLst>
          </c:dLbls>
          <c:cat>
            <c:strRef>
              <c:f>'Tab2'!$V$74:$V$78</c:f>
              <c:strCache>
                <c:ptCount val="5"/>
                <c:pt idx="0">
                  <c:v>Tyveri</c:v>
                </c:pt>
                <c:pt idx="1">
                  <c:v>Glass</c:v>
                </c:pt>
                <c:pt idx="2">
                  <c:v>Brann</c:v>
                </c:pt>
                <c:pt idx="3">
                  <c:v>Person</c:v>
                </c:pt>
                <c:pt idx="4">
                  <c:v>Materiell</c:v>
                </c:pt>
              </c:strCache>
            </c:strRef>
          </c:cat>
          <c:val>
            <c:numRef>
              <c:f>'Tab2'!$Z$74:$Z$78</c:f>
              <c:numCache>
                <c:formatCode>0.0</c:formatCode>
                <c:ptCount val="5"/>
                <c:pt idx="0">
                  <c:v>63.178281412214091</c:v>
                </c:pt>
                <c:pt idx="1">
                  <c:v>588.49878160186199</c:v>
                </c:pt>
                <c:pt idx="2">
                  <c:v>95.488534363964817</c:v>
                </c:pt>
                <c:pt idx="3">
                  <c:v>822.00707584984389</c:v>
                </c:pt>
                <c:pt idx="4" formatCode="0.000">
                  <c:v>5746.7421047715543</c:v>
                </c:pt>
              </c:numCache>
            </c:numRef>
          </c:val>
          <c:extLst>
            <c:ext xmlns:c16="http://schemas.microsoft.com/office/drawing/2014/chart" uri="{C3380CC4-5D6E-409C-BE32-E72D297353CC}">
              <c16:uniqueId val="{00000004-FBFF-464F-9449-14EEA586AEC1}"/>
            </c:ext>
          </c:extLst>
        </c:ser>
        <c:dLbls>
          <c:showLegendKey val="0"/>
          <c:showVal val="0"/>
          <c:showCatName val="1"/>
          <c:showSerName val="0"/>
          <c:showPercent val="1"/>
          <c:showBubbleSize val="0"/>
          <c:showLeaderLines val="0"/>
        </c:dLbls>
        <c:firstSliceAng val="50"/>
      </c:pieChart>
      <c:spPr>
        <a:noFill/>
        <a:ln w="25400">
          <a:noFill/>
        </a:ln>
      </c:spPr>
    </c:plotArea>
    <c:plotVisOnly val="1"/>
    <c:dispBlanksAs val="zero"/>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774193548387247E-2"/>
          <c:y val="5.0264680123284874E-2"/>
          <c:w val="0.89081883722845134"/>
          <c:h val="0.73545163548809867"/>
        </c:manualLayout>
      </c:layout>
      <c:barChart>
        <c:barDir val="col"/>
        <c:grouping val="clustered"/>
        <c:varyColors val="0"/>
        <c:ser>
          <c:idx val="0"/>
          <c:order val="0"/>
          <c:tx>
            <c:strRef>
              <c:f>'Tab2'!$W$82</c:f>
              <c:strCache>
                <c:ptCount val="1"/>
                <c:pt idx="0">
                  <c:v>2024</c:v>
                </c:pt>
              </c:strCache>
            </c:strRef>
          </c:tx>
          <c:spPr>
            <a:pattFill prst="solidDmnd">
              <a:fgClr>
                <a:srgbClr val="9999FF"/>
              </a:fgClr>
              <a:bgClr>
                <a:srgbClr val="FFFFFF"/>
              </a:bgClr>
            </a:pattFill>
            <a:ln w="12700">
              <a:solidFill>
                <a:srgbClr val="000000"/>
              </a:solidFill>
              <a:prstDash val="solid"/>
            </a:ln>
          </c:spPr>
          <c:invertIfNegative val="0"/>
          <c:cat>
            <c:strRef>
              <c:f>'Tab2'!$V$83:$V$92</c:f>
              <c:strCache>
                <c:ptCount val="10"/>
                <c:pt idx="0">
                  <c:v>Privat</c:v>
                </c:pt>
                <c:pt idx="1">
                  <c:v>Næring</c:v>
                </c:pt>
                <c:pt idx="2">
                  <c:v>Yrkesskade</c:v>
                </c:pt>
                <c:pt idx="3">
                  <c:v>Trygghet</c:v>
                </c:pt>
                <c:pt idx="4">
                  <c:v>Ulykke</c:v>
                </c:pt>
                <c:pt idx="5">
                  <c:v>Reise</c:v>
                </c:pt>
                <c:pt idx="6">
                  <c:v>Fritidsbåt</c:v>
                </c:pt>
                <c:pt idx="7">
                  <c:v>Ansvar</c:v>
                </c:pt>
                <c:pt idx="8">
                  <c:v>Fiskeoppdrett</c:v>
                </c:pt>
                <c:pt idx="9">
                  <c:v>Andre</c:v>
                </c:pt>
              </c:strCache>
            </c:strRef>
          </c:cat>
          <c:val>
            <c:numRef>
              <c:f>'Tab2'!$W$83:$W$92</c:f>
              <c:numCache>
                <c:formatCode>0.0</c:formatCode>
                <c:ptCount val="10"/>
                <c:pt idx="0">
                  <c:v>3932.4092415218524</c:v>
                </c:pt>
                <c:pt idx="1">
                  <c:v>2683.8552665969805</c:v>
                </c:pt>
                <c:pt idx="2">
                  <c:v>556.31455547052383</c:v>
                </c:pt>
                <c:pt idx="3">
                  <c:v>677.20724836542172</c:v>
                </c:pt>
                <c:pt idx="4">
                  <c:v>241.95851461356406</c:v>
                </c:pt>
                <c:pt idx="5">
                  <c:v>758.09987079489167</c:v>
                </c:pt>
                <c:pt idx="6">
                  <c:v>152.26295510110907</c:v>
                </c:pt>
                <c:pt idx="7">
                  <c:v>456.87793273317737</c:v>
                </c:pt>
                <c:pt idx="8">
                  <c:v>67.824454293064562</c:v>
                </c:pt>
                <c:pt idx="9">
                  <c:v>415.53689514468016</c:v>
                </c:pt>
              </c:numCache>
            </c:numRef>
          </c:val>
          <c:extLst>
            <c:ext xmlns:c16="http://schemas.microsoft.com/office/drawing/2014/chart" uri="{C3380CC4-5D6E-409C-BE32-E72D297353CC}">
              <c16:uniqueId val="{00000000-04B5-4D36-84E2-1FB290F926FF}"/>
            </c:ext>
          </c:extLst>
        </c:ser>
        <c:ser>
          <c:idx val="1"/>
          <c:order val="1"/>
          <c:tx>
            <c:strRef>
              <c:f>'Tab2'!$X$82</c:f>
              <c:strCache>
                <c:ptCount val="1"/>
                <c:pt idx="0">
                  <c:v>2025</c:v>
                </c:pt>
              </c:strCache>
            </c:strRef>
          </c:tx>
          <c:spPr>
            <a:pattFill prst="wdUpDiag">
              <a:fgClr>
                <a:srgbClr val="000000"/>
              </a:fgClr>
              <a:bgClr>
                <a:srgbClr val="FFFFFF"/>
              </a:bgClr>
            </a:pattFill>
            <a:ln w="12700">
              <a:solidFill>
                <a:srgbClr val="000000"/>
              </a:solidFill>
              <a:prstDash val="solid"/>
            </a:ln>
          </c:spPr>
          <c:invertIfNegative val="0"/>
          <c:cat>
            <c:strRef>
              <c:f>'Tab2'!$V$83:$V$92</c:f>
              <c:strCache>
                <c:ptCount val="10"/>
                <c:pt idx="0">
                  <c:v>Privat</c:v>
                </c:pt>
                <c:pt idx="1">
                  <c:v>Næring</c:v>
                </c:pt>
                <c:pt idx="2">
                  <c:v>Yrkesskade</c:v>
                </c:pt>
                <c:pt idx="3">
                  <c:v>Trygghet</c:v>
                </c:pt>
                <c:pt idx="4">
                  <c:v>Ulykke</c:v>
                </c:pt>
                <c:pt idx="5">
                  <c:v>Reise</c:v>
                </c:pt>
                <c:pt idx="6">
                  <c:v>Fritidsbåt</c:v>
                </c:pt>
                <c:pt idx="7">
                  <c:v>Ansvar</c:v>
                </c:pt>
                <c:pt idx="8">
                  <c:v>Fiskeoppdrett</c:v>
                </c:pt>
                <c:pt idx="9">
                  <c:v>Andre</c:v>
                </c:pt>
              </c:strCache>
            </c:strRef>
          </c:cat>
          <c:val>
            <c:numRef>
              <c:f>'Tab2'!$X$83:$X$92</c:f>
              <c:numCache>
                <c:formatCode>0.0</c:formatCode>
                <c:ptCount val="10"/>
                <c:pt idx="0">
                  <c:v>3205.5196405216943</c:v>
                </c:pt>
                <c:pt idx="1">
                  <c:v>2336.0372093238216</c:v>
                </c:pt>
                <c:pt idx="2">
                  <c:v>559.80800308339622</c:v>
                </c:pt>
                <c:pt idx="3">
                  <c:v>820.96199987441344</c:v>
                </c:pt>
                <c:pt idx="4">
                  <c:v>278.8202720697966</c:v>
                </c:pt>
                <c:pt idx="5">
                  <c:v>1073.8690519940794</c:v>
                </c:pt>
                <c:pt idx="6">
                  <c:v>107.72347648564264</c:v>
                </c:pt>
                <c:pt idx="7">
                  <c:v>489.83176875388563</c:v>
                </c:pt>
                <c:pt idx="8">
                  <c:v>28.361575995958376</c:v>
                </c:pt>
                <c:pt idx="9">
                  <c:v>447.71940113204323</c:v>
                </c:pt>
              </c:numCache>
            </c:numRef>
          </c:val>
          <c:extLst>
            <c:ext xmlns:c16="http://schemas.microsoft.com/office/drawing/2014/chart" uri="{C3380CC4-5D6E-409C-BE32-E72D297353CC}">
              <c16:uniqueId val="{00000001-04B5-4D36-84E2-1FB290F926FF}"/>
            </c:ext>
          </c:extLst>
        </c:ser>
        <c:ser>
          <c:idx val="2"/>
          <c:order val="2"/>
          <c:tx>
            <c:strRef>
              <c:f>'Tab2'!$Y$82</c:f>
              <c:strCache>
                <c:ptCount val="1"/>
                <c:pt idx="0">
                  <c:v>2026</c:v>
                </c:pt>
              </c:strCache>
            </c:strRef>
          </c:tx>
          <c:spPr>
            <a:solidFill>
              <a:srgbClr val="993366"/>
            </a:solidFill>
            <a:ln w="12700">
              <a:solidFill>
                <a:srgbClr val="000000"/>
              </a:solidFill>
              <a:prstDash val="solid"/>
            </a:ln>
          </c:spPr>
          <c:invertIfNegative val="0"/>
          <c:cat>
            <c:strRef>
              <c:f>'Tab2'!$V$83:$V$92</c:f>
              <c:strCache>
                <c:ptCount val="10"/>
                <c:pt idx="0">
                  <c:v>Privat</c:v>
                </c:pt>
                <c:pt idx="1">
                  <c:v>Næring</c:v>
                </c:pt>
                <c:pt idx="2">
                  <c:v>Yrkesskade</c:v>
                </c:pt>
                <c:pt idx="3">
                  <c:v>Trygghet</c:v>
                </c:pt>
                <c:pt idx="4">
                  <c:v>Ulykke</c:v>
                </c:pt>
                <c:pt idx="5">
                  <c:v>Reise</c:v>
                </c:pt>
                <c:pt idx="6">
                  <c:v>Fritidsbåt</c:v>
                </c:pt>
                <c:pt idx="7">
                  <c:v>Ansvar</c:v>
                </c:pt>
                <c:pt idx="8">
                  <c:v>Fiskeoppdrett</c:v>
                </c:pt>
                <c:pt idx="9">
                  <c:v>Andre</c:v>
                </c:pt>
              </c:strCache>
            </c:strRef>
          </c:cat>
          <c:val>
            <c:numRef>
              <c:f>'Tab2'!$Y$83:$Y$92</c:f>
              <c:numCache>
                <c:formatCode>0.0</c:formatCode>
                <c:ptCount val="10"/>
                <c:pt idx="0">
                  <c:v>3683.1071827156125</c:v>
                </c:pt>
                <c:pt idx="1">
                  <c:v>2270.293893236857</c:v>
                </c:pt>
                <c:pt idx="2">
                  <c:v>829.81486720109558</c:v>
                </c:pt>
                <c:pt idx="3">
                  <c:v>758.01760734125992</c:v>
                </c:pt>
                <c:pt idx="4">
                  <c:v>401.76702027328042</c:v>
                </c:pt>
                <c:pt idx="5">
                  <c:v>882.45801561744179</c:v>
                </c:pt>
                <c:pt idx="6">
                  <c:v>81.137846847769055</c:v>
                </c:pt>
                <c:pt idx="7">
                  <c:v>508.29332965245055</c:v>
                </c:pt>
                <c:pt idx="8">
                  <c:v>65.130290311796159</c:v>
                </c:pt>
                <c:pt idx="9">
                  <c:v>596.04965710155716</c:v>
                </c:pt>
              </c:numCache>
            </c:numRef>
          </c:val>
          <c:extLst>
            <c:ext xmlns:c16="http://schemas.microsoft.com/office/drawing/2014/chart" uri="{C3380CC4-5D6E-409C-BE32-E72D297353CC}">
              <c16:uniqueId val="{00000002-04B5-4D36-84E2-1FB290F926FF}"/>
            </c:ext>
          </c:extLst>
        </c:ser>
        <c:dLbls>
          <c:showLegendKey val="0"/>
          <c:showVal val="0"/>
          <c:showCatName val="0"/>
          <c:showSerName val="0"/>
          <c:showPercent val="0"/>
          <c:showBubbleSize val="0"/>
        </c:dLbls>
        <c:gapWidth val="150"/>
        <c:axId val="270552448"/>
        <c:axId val="270562432"/>
      </c:barChart>
      <c:catAx>
        <c:axId val="27055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nb-NO"/>
          </a:p>
        </c:txPr>
        <c:crossAx val="270562432"/>
        <c:crosses val="autoZero"/>
        <c:auto val="1"/>
        <c:lblAlgn val="ctr"/>
        <c:lblOffset val="100"/>
        <c:tickLblSkip val="1"/>
        <c:tickMarkSkip val="1"/>
        <c:noMultiLvlLbl val="0"/>
      </c:catAx>
      <c:valAx>
        <c:axId val="270562432"/>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nb-NO"/>
                  <a:t>Millioner kroner</a:t>
                </a:r>
              </a:p>
            </c:rich>
          </c:tx>
          <c:layout>
            <c:manualLayout>
              <c:xMode val="edge"/>
              <c:yMode val="edge"/>
              <c:x val="9.4876660341558748E-3"/>
              <c:y val="0.317461150689497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552448"/>
        <c:crosses val="autoZero"/>
        <c:crossBetween val="between"/>
      </c:valAx>
      <c:spPr>
        <a:noFill/>
        <a:ln w="12700">
          <a:solidFill>
            <a:srgbClr val="808080"/>
          </a:solidFill>
          <a:prstDash val="solid"/>
        </a:ln>
      </c:spPr>
    </c:plotArea>
    <c:legend>
      <c:legendPos val="r"/>
      <c:layout>
        <c:manualLayout>
          <c:xMode val="edge"/>
          <c:yMode val="edge"/>
          <c:x val="0.62998102466793171"/>
          <c:y val="0.14021191795470009"/>
          <c:w val="0.27893738140417457"/>
          <c:h val="0.1375664153091979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9552276098459"/>
          <c:y val="5.956121969475487E-2"/>
          <c:w val="0.83783931207652318"/>
          <c:h val="0.81504826950719256"/>
        </c:manualLayout>
      </c:layout>
      <c:barChart>
        <c:barDir val="col"/>
        <c:grouping val="clustered"/>
        <c:varyColors val="0"/>
        <c:ser>
          <c:idx val="0"/>
          <c:order val="0"/>
          <c:tx>
            <c:strRef>
              <c:f>'Tab2'!$W$100</c:f>
              <c:strCache>
                <c:ptCount val="1"/>
                <c:pt idx="0">
                  <c:v>2024</c:v>
                </c:pt>
              </c:strCache>
            </c:strRef>
          </c:tx>
          <c:spPr>
            <a:pattFill prst="solidDmnd">
              <a:fgClr>
                <a:srgbClr val="9999FF"/>
              </a:fgClr>
              <a:bgClr>
                <a:srgbClr val="FFFFFF"/>
              </a:bgClr>
            </a:pattFill>
            <a:ln w="12700">
              <a:solidFill>
                <a:srgbClr val="000000"/>
              </a:solidFill>
              <a:prstDash val="solid"/>
            </a:ln>
          </c:spPr>
          <c:invertIfNegative val="0"/>
          <c:cat>
            <c:strRef>
              <c:f>'Tab2'!$V$101:$V$104</c:f>
              <c:strCache>
                <c:ptCount val="4"/>
                <c:pt idx="0">
                  <c:v>Brann</c:v>
                </c:pt>
                <c:pt idx="1">
                  <c:v>Vann</c:v>
                </c:pt>
                <c:pt idx="2">
                  <c:v>Tyveri</c:v>
                </c:pt>
                <c:pt idx="3">
                  <c:v>Andre</c:v>
                </c:pt>
              </c:strCache>
            </c:strRef>
          </c:cat>
          <c:val>
            <c:numRef>
              <c:f>'Tab2'!$W$101:$W$104</c:f>
              <c:numCache>
                <c:formatCode>#,##0</c:formatCode>
                <c:ptCount val="4"/>
                <c:pt idx="0">
                  <c:v>8194.415441304347</c:v>
                </c:pt>
                <c:pt idx="1">
                  <c:v>43293.220189723324</c:v>
                </c:pt>
                <c:pt idx="2">
                  <c:v>8331.0396847826087</c:v>
                </c:pt>
                <c:pt idx="3" formatCode="_ * #\ ##0_ ;_ * \-#\ ##0_ ;_ * &quot;-&quot;??_ ;_ @_ ">
                  <c:v>82218.660648108955</c:v>
                </c:pt>
              </c:numCache>
            </c:numRef>
          </c:val>
          <c:extLst>
            <c:ext xmlns:c16="http://schemas.microsoft.com/office/drawing/2014/chart" uri="{C3380CC4-5D6E-409C-BE32-E72D297353CC}">
              <c16:uniqueId val="{00000000-08CC-4A25-8D7C-9031449DBD0D}"/>
            </c:ext>
          </c:extLst>
        </c:ser>
        <c:ser>
          <c:idx val="1"/>
          <c:order val="1"/>
          <c:tx>
            <c:strRef>
              <c:f>'Tab2'!$X$100</c:f>
              <c:strCache>
                <c:ptCount val="1"/>
                <c:pt idx="0">
                  <c:v>2025</c:v>
                </c:pt>
              </c:strCache>
            </c:strRef>
          </c:tx>
          <c:spPr>
            <a:pattFill prst="wdUpDiag">
              <a:fgClr>
                <a:srgbClr val="000000"/>
              </a:fgClr>
              <a:bgClr>
                <a:srgbClr val="FFFFFF"/>
              </a:bgClr>
            </a:pattFill>
            <a:ln w="12700">
              <a:solidFill>
                <a:srgbClr val="000000"/>
              </a:solidFill>
              <a:prstDash val="solid"/>
            </a:ln>
          </c:spPr>
          <c:invertIfNegative val="0"/>
          <c:cat>
            <c:strRef>
              <c:f>'Tab2'!$V$101:$V$104</c:f>
              <c:strCache>
                <c:ptCount val="4"/>
                <c:pt idx="0">
                  <c:v>Brann</c:v>
                </c:pt>
                <c:pt idx="1">
                  <c:v>Vann</c:v>
                </c:pt>
                <c:pt idx="2">
                  <c:v>Tyveri</c:v>
                </c:pt>
                <c:pt idx="3">
                  <c:v>Andre</c:v>
                </c:pt>
              </c:strCache>
            </c:strRef>
          </c:cat>
          <c:val>
            <c:numRef>
              <c:f>'Tab2'!$X$101:$X$104</c:f>
              <c:numCache>
                <c:formatCode>#,##0</c:formatCode>
                <c:ptCount val="4"/>
                <c:pt idx="0">
                  <c:v>7505</c:v>
                </c:pt>
                <c:pt idx="1">
                  <c:v>26747</c:v>
                </c:pt>
                <c:pt idx="2">
                  <c:v>7900</c:v>
                </c:pt>
                <c:pt idx="3" formatCode="_ * #\ ##0_ ;_ * \-#\ ##0_ ;_ * &quot;-&quot;??_ ;_ @_ ">
                  <c:v>77260</c:v>
                </c:pt>
              </c:numCache>
            </c:numRef>
          </c:val>
          <c:extLst>
            <c:ext xmlns:c16="http://schemas.microsoft.com/office/drawing/2014/chart" uri="{C3380CC4-5D6E-409C-BE32-E72D297353CC}">
              <c16:uniqueId val="{00000001-08CC-4A25-8D7C-9031449DBD0D}"/>
            </c:ext>
          </c:extLst>
        </c:ser>
        <c:ser>
          <c:idx val="2"/>
          <c:order val="2"/>
          <c:tx>
            <c:strRef>
              <c:f>'Tab2'!$Y$100</c:f>
              <c:strCache>
                <c:ptCount val="1"/>
                <c:pt idx="0">
                  <c:v>2026</c:v>
                </c:pt>
              </c:strCache>
            </c:strRef>
          </c:tx>
          <c:spPr>
            <a:solidFill>
              <a:srgbClr val="993366"/>
            </a:solidFill>
            <a:ln w="12700">
              <a:solidFill>
                <a:srgbClr val="000000"/>
              </a:solidFill>
              <a:prstDash val="solid"/>
            </a:ln>
          </c:spPr>
          <c:invertIfNegative val="0"/>
          <c:cat>
            <c:strRef>
              <c:f>'Tab2'!$V$101:$V$104</c:f>
              <c:strCache>
                <c:ptCount val="4"/>
                <c:pt idx="0">
                  <c:v>Brann</c:v>
                </c:pt>
                <c:pt idx="1">
                  <c:v>Vann</c:v>
                </c:pt>
                <c:pt idx="2">
                  <c:v>Tyveri</c:v>
                </c:pt>
                <c:pt idx="3">
                  <c:v>Andre</c:v>
                </c:pt>
              </c:strCache>
            </c:strRef>
          </c:cat>
          <c:val>
            <c:numRef>
              <c:f>'Tab2'!$Y$101:$Y$104</c:f>
              <c:numCache>
                <c:formatCode>#,##0</c:formatCode>
                <c:ptCount val="4"/>
                <c:pt idx="0">
                  <c:v>6922</c:v>
                </c:pt>
                <c:pt idx="1">
                  <c:v>30894</c:v>
                </c:pt>
                <c:pt idx="2">
                  <c:v>6776</c:v>
                </c:pt>
                <c:pt idx="3" formatCode="_ * #\ ##0_ ;_ * \-#\ ##0_ ;_ * &quot;-&quot;??_ ;_ @_ ">
                  <c:v>68766</c:v>
                </c:pt>
              </c:numCache>
            </c:numRef>
          </c:val>
          <c:extLst>
            <c:ext xmlns:c16="http://schemas.microsoft.com/office/drawing/2014/chart" uri="{C3380CC4-5D6E-409C-BE32-E72D297353CC}">
              <c16:uniqueId val="{00000002-08CC-4A25-8D7C-9031449DBD0D}"/>
            </c:ext>
          </c:extLst>
        </c:ser>
        <c:dLbls>
          <c:showLegendKey val="0"/>
          <c:showVal val="0"/>
          <c:showCatName val="0"/>
          <c:showSerName val="0"/>
          <c:showPercent val="0"/>
          <c:showBubbleSize val="0"/>
        </c:dLbls>
        <c:gapWidth val="150"/>
        <c:axId val="269555968"/>
        <c:axId val="269565952"/>
      </c:barChart>
      <c:catAx>
        <c:axId val="269555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565952"/>
        <c:crosses val="autoZero"/>
        <c:auto val="1"/>
        <c:lblAlgn val="ctr"/>
        <c:lblOffset val="100"/>
        <c:tickLblSkip val="1"/>
        <c:tickMarkSkip val="1"/>
        <c:noMultiLvlLbl val="0"/>
      </c:catAx>
      <c:valAx>
        <c:axId val="269565952"/>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555968"/>
        <c:crosses val="autoZero"/>
        <c:crossBetween val="between"/>
      </c:valAx>
      <c:spPr>
        <a:noFill/>
        <a:ln w="12700">
          <a:solidFill>
            <a:srgbClr val="808080"/>
          </a:solidFill>
          <a:prstDash val="solid"/>
        </a:ln>
      </c:spPr>
    </c:plotArea>
    <c:legend>
      <c:legendPos val="r"/>
      <c:layout>
        <c:manualLayout>
          <c:xMode val="edge"/>
          <c:yMode val="edge"/>
          <c:x val="0.51411505994183149"/>
          <c:y val="7.3111766103988021E-2"/>
          <c:w val="0.26486524319596133"/>
          <c:h val="0.1630097335011849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7690941385436"/>
          <c:y val="5.0131990708472525E-2"/>
          <c:w val="0.83303730017761957"/>
          <c:h val="0.80211185133556062"/>
        </c:manualLayout>
      </c:layout>
      <c:barChart>
        <c:barDir val="col"/>
        <c:grouping val="clustered"/>
        <c:varyColors val="0"/>
        <c:ser>
          <c:idx val="0"/>
          <c:order val="0"/>
          <c:tx>
            <c:strRef>
              <c:f>'Tab2'!$W$111</c:f>
              <c:strCache>
                <c:ptCount val="1"/>
                <c:pt idx="0">
                  <c:v>2024</c:v>
                </c:pt>
              </c:strCache>
            </c:strRef>
          </c:tx>
          <c:spPr>
            <a:pattFill prst="solidDmnd">
              <a:fgClr>
                <a:srgbClr val="9999FF"/>
              </a:fgClr>
              <a:bgClr>
                <a:srgbClr val="FFFFFF"/>
              </a:bgClr>
            </a:pattFill>
            <a:ln w="12700">
              <a:solidFill>
                <a:srgbClr val="000000"/>
              </a:solidFill>
              <a:prstDash val="solid"/>
            </a:ln>
          </c:spPr>
          <c:invertIfNegative val="0"/>
          <c:cat>
            <c:strRef>
              <c:f>'Tab2'!$V$112:$V$115</c:f>
              <c:strCache>
                <c:ptCount val="4"/>
                <c:pt idx="0">
                  <c:v>Brann                                                       (inkl avbrudd)</c:v>
                </c:pt>
                <c:pt idx="1">
                  <c:v>Vann</c:v>
                </c:pt>
                <c:pt idx="2">
                  <c:v>Tyveri</c:v>
                </c:pt>
                <c:pt idx="3">
                  <c:v>Andre</c:v>
                </c:pt>
              </c:strCache>
            </c:strRef>
          </c:cat>
          <c:val>
            <c:numRef>
              <c:f>'Tab2'!$W$112:$W$115</c:f>
              <c:numCache>
                <c:formatCode>#\ ##0.0</c:formatCode>
                <c:ptCount val="4"/>
                <c:pt idx="0">
                  <c:v>1770.5452152039006</c:v>
                </c:pt>
                <c:pt idx="1">
                  <c:v>2872.2760083969697</c:v>
                </c:pt>
                <c:pt idx="2">
                  <c:v>172.94986992488302</c:v>
                </c:pt>
                <c:pt idx="3">
                  <c:v>1800.4934145930793</c:v>
                </c:pt>
              </c:numCache>
            </c:numRef>
          </c:val>
          <c:extLst>
            <c:ext xmlns:c16="http://schemas.microsoft.com/office/drawing/2014/chart" uri="{C3380CC4-5D6E-409C-BE32-E72D297353CC}">
              <c16:uniqueId val="{00000000-3F4B-49F0-880E-8FA78B3D72F2}"/>
            </c:ext>
          </c:extLst>
        </c:ser>
        <c:ser>
          <c:idx val="1"/>
          <c:order val="1"/>
          <c:tx>
            <c:strRef>
              <c:f>'Tab2'!$X$111</c:f>
              <c:strCache>
                <c:ptCount val="1"/>
                <c:pt idx="0">
                  <c:v>2025</c:v>
                </c:pt>
              </c:strCache>
            </c:strRef>
          </c:tx>
          <c:spPr>
            <a:pattFill prst="wdUpDiag">
              <a:fgClr>
                <a:srgbClr val="000000"/>
              </a:fgClr>
              <a:bgClr>
                <a:srgbClr val="FFFFFF"/>
              </a:bgClr>
            </a:pattFill>
            <a:ln w="12700">
              <a:solidFill>
                <a:srgbClr val="000000"/>
              </a:solidFill>
              <a:prstDash val="solid"/>
            </a:ln>
          </c:spPr>
          <c:invertIfNegative val="0"/>
          <c:cat>
            <c:strRef>
              <c:f>'Tab2'!$V$112:$V$115</c:f>
              <c:strCache>
                <c:ptCount val="4"/>
                <c:pt idx="0">
                  <c:v>Brann                                                       (inkl avbrudd)</c:v>
                </c:pt>
                <c:pt idx="1">
                  <c:v>Vann</c:v>
                </c:pt>
                <c:pt idx="2">
                  <c:v>Tyveri</c:v>
                </c:pt>
                <c:pt idx="3">
                  <c:v>Andre</c:v>
                </c:pt>
              </c:strCache>
            </c:strRef>
          </c:cat>
          <c:val>
            <c:numRef>
              <c:f>'Tab2'!$X$112:$X$115</c:f>
              <c:numCache>
                <c:formatCode>#\ ##0.0</c:formatCode>
                <c:ptCount val="4"/>
                <c:pt idx="0">
                  <c:v>2140.8457832602599</c:v>
                </c:pt>
                <c:pt idx="1">
                  <c:v>1877.8559882720303</c:v>
                </c:pt>
                <c:pt idx="2">
                  <c:v>185.42141029286324</c:v>
                </c:pt>
                <c:pt idx="3">
                  <c:v>1337.4336680203623</c:v>
                </c:pt>
              </c:numCache>
            </c:numRef>
          </c:val>
          <c:extLst>
            <c:ext xmlns:c16="http://schemas.microsoft.com/office/drawing/2014/chart" uri="{C3380CC4-5D6E-409C-BE32-E72D297353CC}">
              <c16:uniqueId val="{00000001-3F4B-49F0-880E-8FA78B3D72F2}"/>
            </c:ext>
          </c:extLst>
        </c:ser>
        <c:ser>
          <c:idx val="2"/>
          <c:order val="2"/>
          <c:tx>
            <c:strRef>
              <c:f>'Tab2'!$Y$111</c:f>
              <c:strCache>
                <c:ptCount val="1"/>
                <c:pt idx="0">
                  <c:v>2026</c:v>
                </c:pt>
              </c:strCache>
            </c:strRef>
          </c:tx>
          <c:spPr>
            <a:solidFill>
              <a:srgbClr val="993366"/>
            </a:solidFill>
            <a:ln w="12700">
              <a:solidFill>
                <a:srgbClr val="000000"/>
              </a:solidFill>
              <a:prstDash val="solid"/>
            </a:ln>
          </c:spPr>
          <c:invertIfNegative val="0"/>
          <c:cat>
            <c:strRef>
              <c:f>'Tab2'!$V$112:$V$115</c:f>
              <c:strCache>
                <c:ptCount val="4"/>
                <c:pt idx="0">
                  <c:v>Brann                                                       (inkl avbrudd)</c:v>
                </c:pt>
                <c:pt idx="1">
                  <c:v>Vann</c:v>
                </c:pt>
                <c:pt idx="2">
                  <c:v>Tyveri</c:v>
                </c:pt>
                <c:pt idx="3">
                  <c:v>Andre</c:v>
                </c:pt>
              </c:strCache>
            </c:strRef>
          </c:cat>
          <c:val>
            <c:numRef>
              <c:f>'Tab2'!$Y$112:$Y$115</c:f>
              <c:numCache>
                <c:formatCode>#\ ##0.0</c:formatCode>
                <c:ptCount val="4"/>
                <c:pt idx="0">
                  <c:v>2143.7000858441106</c:v>
                </c:pt>
                <c:pt idx="1">
                  <c:v>2231.2531125500873</c:v>
                </c:pt>
                <c:pt idx="2">
                  <c:v>217.05354332936017</c:v>
                </c:pt>
                <c:pt idx="3">
                  <c:v>1361.3943342289122</c:v>
                </c:pt>
              </c:numCache>
            </c:numRef>
          </c:val>
          <c:extLst>
            <c:ext xmlns:c16="http://schemas.microsoft.com/office/drawing/2014/chart" uri="{C3380CC4-5D6E-409C-BE32-E72D297353CC}">
              <c16:uniqueId val="{00000002-3F4B-49F0-880E-8FA78B3D72F2}"/>
            </c:ext>
          </c:extLst>
        </c:ser>
        <c:dLbls>
          <c:showLegendKey val="0"/>
          <c:showVal val="0"/>
          <c:showCatName val="0"/>
          <c:showSerName val="0"/>
          <c:showPercent val="0"/>
          <c:showBubbleSize val="0"/>
        </c:dLbls>
        <c:gapWidth val="150"/>
        <c:axId val="269611392"/>
        <c:axId val="269612928"/>
      </c:barChart>
      <c:catAx>
        <c:axId val="26961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612928"/>
        <c:crosses val="autoZero"/>
        <c:auto val="1"/>
        <c:lblAlgn val="ctr"/>
        <c:lblOffset val="100"/>
        <c:tickLblSkip val="1"/>
        <c:tickMarkSkip val="1"/>
        <c:noMultiLvlLbl val="0"/>
      </c:catAx>
      <c:valAx>
        <c:axId val="269612928"/>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nb-NO"/>
                  <a:t>Millioner kroner</a:t>
                </a:r>
              </a:p>
            </c:rich>
          </c:tx>
          <c:layout>
            <c:manualLayout>
              <c:xMode val="edge"/>
              <c:yMode val="edge"/>
              <c:x val="4.7957371225577312E-2"/>
              <c:y val="0.35092403687007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611392"/>
        <c:crosses val="autoZero"/>
        <c:crossBetween val="between"/>
      </c:valAx>
      <c:spPr>
        <a:noFill/>
        <a:ln w="12700">
          <a:solidFill>
            <a:srgbClr val="808080"/>
          </a:solidFill>
          <a:prstDash val="solid"/>
        </a:ln>
      </c:spPr>
    </c:plotArea>
    <c:legend>
      <c:legendPos val="r"/>
      <c:layout>
        <c:manualLayout>
          <c:xMode val="edge"/>
          <c:yMode val="edge"/>
          <c:x val="0.58436944937832958"/>
          <c:y val="8.4432717678099983E-2"/>
          <c:w val="0.26110124333925488"/>
          <c:h val="0.1372034432371470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849637689473844"/>
          <c:y val="1.0723874628062159E-2"/>
          <c:w val="0.81766992340769262"/>
          <c:h val="0.80965253441863694"/>
        </c:manualLayout>
      </c:layout>
      <c:bar3DChart>
        <c:barDir val="bar"/>
        <c:grouping val="clustered"/>
        <c:varyColors val="0"/>
        <c:ser>
          <c:idx val="0"/>
          <c:order val="0"/>
          <c:tx>
            <c:strRef>
              <c:f>'Tab2'!$W$121</c:f>
              <c:strCache>
                <c:ptCount val="1"/>
                <c:pt idx="0">
                  <c:v>2024</c:v>
                </c:pt>
              </c:strCache>
            </c:strRef>
          </c:tx>
          <c:spPr>
            <a:pattFill prst="narVert">
              <a:fgClr>
                <a:srgbClr val="3366FF"/>
              </a:fgClr>
              <a:bgClr>
                <a:srgbClr val="FFFFFF"/>
              </a:bgClr>
            </a:pattFill>
            <a:ln w="12700">
              <a:solidFill>
                <a:srgbClr val="000000"/>
              </a:solidFill>
              <a:prstDash val="solid"/>
            </a:ln>
          </c:spPr>
          <c:invertIfNegative val="0"/>
          <c:cat>
            <c:strRef>
              <c:f>'Tab2'!$V$122:$V$125</c:f>
              <c:strCache>
                <c:ptCount val="4"/>
                <c:pt idx="0">
                  <c:v>Reise</c:v>
                </c:pt>
                <c:pt idx="1">
                  <c:v>Villa</c:v>
                </c:pt>
                <c:pt idx="2">
                  <c:v>Hjem</c:v>
                </c:pt>
                <c:pt idx="3">
                  <c:v>Næring</c:v>
                </c:pt>
              </c:strCache>
            </c:strRef>
          </c:cat>
          <c:val>
            <c:numRef>
              <c:f>'Tab2'!$W$122:$W$125</c:f>
              <c:numCache>
                <c:formatCode>0</c:formatCode>
                <c:ptCount val="4"/>
                <c:pt idx="0">
                  <c:v>92765.108974358969</c:v>
                </c:pt>
                <c:pt idx="1">
                  <c:v>48264.131969514638</c:v>
                </c:pt>
                <c:pt idx="2">
                  <c:v>63559.629222693104</c:v>
                </c:pt>
                <c:pt idx="3">
                  <c:v>18591.561395126613</c:v>
                </c:pt>
              </c:numCache>
            </c:numRef>
          </c:val>
          <c:extLst>
            <c:ext xmlns:c16="http://schemas.microsoft.com/office/drawing/2014/chart" uri="{C3380CC4-5D6E-409C-BE32-E72D297353CC}">
              <c16:uniqueId val="{00000000-D0D5-4F54-A685-BCAE46FDAC00}"/>
            </c:ext>
          </c:extLst>
        </c:ser>
        <c:ser>
          <c:idx val="1"/>
          <c:order val="1"/>
          <c:tx>
            <c:strRef>
              <c:f>'Tab2'!$X$121</c:f>
              <c:strCache>
                <c:ptCount val="1"/>
                <c:pt idx="0">
                  <c:v>2025</c:v>
                </c:pt>
              </c:strCache>
            </c:strRef>
          </c:tx>
          <c:spPr>
            <a:solidFill>
              <a:srgbClr val="FFFFCC"/>
            </a:solidFill>
            <a:ln w="12700">
              <a:solidFill>
                <a:srgbClr val="000000"/>
              </a:solidFill>
              <a:prstDash val="solid"/>
            </a:ln>
          </c:spPr>
          <c:invertIfNegative val="0"/>
          <c:cat>
            <c:strRef>
              <c:f>'Tab2'!$V$122:$V$125</c:f>
              <c:strCache>
                <c:ptCount val="4"/>
                <c:pt idx="0">
                  <c:v>Reise</c:v>
                </c:pt>
                <c:pt idx="1">
                  <c:v>Villa</c:v>
                </c:pt>
                <c:pt idx="2">
                  <c:v>Hjem</c:v>
                </c:pt>
                <c:pt idx="3">
                  <c:v>Næring</c:v>
                </c:pt>
              </c:strCache>
            </c:strRef>
          </c:cat>
          <c:val>
            <c:numRef>
              <c:f>'Tab2'!$X$122:$X$125</c:f>
              <c:numCache>
                <c:formatCode>0</c:formatCode>
                <c:ptCount val="4"/>
                <c:pt idx="0">
                  <c:v>100721</c:v>
                </c:pt>
                <c:pt idx="1">
                  <c:v>36564</c:v>
                </c:pt>
                <c:pt idx="2">
                  <c:v>59522</c:v>
                </c:pt>
                <c:pt idx="3">
                  <c:v>14088</c:v>
                </c:pt>
              </c:numCache>
            </c:numRef>
          </c:val>
          <c:extLst>
            <c:ext xmlns:c16="http://schemas.microsoft.com/office/drawing/2014/chart" uri="{C3380CC4-5D6E-409C-BE32-E72D297353CC}">
              <c16:uniqueId val="{00000001-D0D5-4F54-A685-BCAE46FDAC00}"/>
            </c:ext>
          </c:extLst>
        </c:ser>
        <c:ser>
          <c:idx val="2"/>
          <c:order val="2"/>
          <c:tx>
            <c:strRef>
              <c:f>'Tab2'!$Y$121</c:f>
              <c:strCache>
                <c:ptCount val="1"/>
                <c:pt idx="0">
                  <c:v>2026</c:v>
                </c:pt>
              </c:strCache>
            </c:strRef>
          </c:tx>
          <c:spPr>
            <a:solidFill>
              <a:srgbClr val="993366"/>
            </a:solidFill>
            <a:ln w="12700">
              <a:solidFill>
                <a:srgbClr val="000000"/>
              </a:solidFill>
              <a:prstDash val="solid"/>
            </a:ln>
          </c:spPr>
          <c:invertIfNegative val="0"/>
          <c:cat>
            <c:strRef>
              <c:f>'Tab2'!$V$122:$V$125</c:f>
              <c:strCache>
                <c:ptCount val="4"/>
                <c:pt idx="0">
                  <c:v>Reise</c:v>
                </c:pt>
                <c:pt idx="1">
                  <c:v>Villa</c:v>
                </c:pt>
                <c:pt idx="2">
                  <c:v>Hjem</c:v>
                </c:pt>
                <c:pt idx="3">
                  <c:v>Næring</c:v>
                </c:pt>
              </c:strCache>
            </c:strRef>
          </c:cat>
          <c:val>
            <c:numRef>
              <c:f>'Tab2'!$Y$122:$Y$125</c:f>
              <c:numCache>
                <c:formatCode>0</c:formatCode>
                <c:ptCount val="4"/>
                <c:pt idx="0">
                  <c:v>104963</c:v>
                </c:pt>
                <c:pt idx="1">
                  <c:v>38154</c:v>
                </c:pt>
                <c:pt idx="2">
                  <c:v>51475</c:v>
                </c:pt>
                <c:pt idx="3">
                  <c:v>14118</c:v>
                </c:pt>
              </c:numCache>
            </c:numRef>
          </c:val>
          <c:extLst>
            <c:ext xmlns:c16="http://schemas.microsoft.com/office/drawing/2014/chart" uri="{C3380CC4-5D6E-409C-BE32-E72D297353CC}">
              <c16:uniqueId val="{00000002-D0D5-4F54-A685-BCAE46FDAC00}"/>
            </c:ext>
          </c:extLst>
        </c:ser>
        <c:dLbls>
          <c:showLegendKey val="0"/>
          <c:showVal val="0"/>
          <c:showCatName val="0"/>
          <c:showSerName val="0"/>
          <c:showPercent val="0"/>
          <c:showBubbleSize val="0"/>
        </c:dLbls>
        <c:gapWidth val="150"/>
        <c:shape val="cylinder"/>
        <c:axId val="270634368"/>
        <c:axId val="270640256"/>
        <c:axId val="0"/>
      </c:bar3DChart>
      <c:catAx>
        <c:axId val="27063436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640256"/>
        <c:crosses val="autoZero"/>
        <c:auto val="1"/>
        <c:lblAlgn val="ctr"/>
        <c:lblOffset val="100"/>
        <c:tickLblSkip val="1"/>
        <c:tickMarkSkip val="1"/>
        <c:noMultiLvlLbl val="0"/>
      </c:catAx>
      <c:valAx>
        <c:axId val="270640256"/>
        <c:scaling>
          <c:orientation val="minMax"/>
        </c:scaling>
        <c:delete val="0"/>
        <c:axPos val="b"/>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634368"/>
        <c:crosses val="autoZero"/>
        <c:crossBetween val="between"/>
      </c:valAx>
      <c:spPr>
        <a:noFill/>
        <a:ln w="25400">
          <a:noFill/>
        </a:ln>
      </c:spPr>
    </c:plotArea>
    <c:legend>
      <c:legendPos val="r"/>
      <c:layout>
        <c:manualLayout>
          <c:xMode val="edge"/>
          <c:yMode val="edge"/>
          <c:x val="0.82142936080358375"/>
          <c:y val="0.11796274795409577"/>
          <c:w val="9.774436090226106E-2"/>
          <c:h val="0.2305632841471331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36"/>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041229666341193"/>
          <c:y val="3.8990869354381667E-2"/>
          <c:w val="0.79213628009473036"/>
          <c:h val="0.80045961203995464"/>
        </c:manualLayout>
      </c:layout>
      <c:bar3DChart>
        <c:barDir val="bar"/>
        <c:grouping val="clustered"/>
        <c:varyColors val="0"/>
        <c:ser>
          <c:idx val="0"/>
          <c:order val="0"/>
          <c:tx>
            <c:strRef>
              <c:f>'Tab2'!$W$128</c:f>
              <c:strCache>
                <c:ptCount val="1"/>
                <c:pt idx="0">
                  <c:v>2024</c:v>
                </c:pt>
              </c:strCache>
            </c:strRef>
          </c:tx>
          <c:spPr>
            <a:pattFill prst="narVert">
              <a:fgClr>
                <a:srgbClr val="3366FF"/>
              </a:fgClr>
              <a:bgClr>
                <a:srgbClr val="FFFFFF"/>
              </a:bgClr>
            </a:pattFill>
            <a:ln w="12700">
              <a:solidFill>
                <a:srgbClr val="000000"/>
              </a:solidFill>
              <a:prstDash val="solid"/>
            </a:ln>
          </c:spPr>
          <c:invertIfNegative val="0"/>
          <c:cat>
            <c:strRef>
              <c:f>'Tab2'!$V$129:$V$133</c:f>
              <c:strCache>
                <c:ptCount val="5"/>
                <c:pt idx="0">
                  <c:v>Fritidsbåt</c:v>
                </c:pt>
                <c:pt idx="1">
                  <c:v>Ansvar</c:v>
                </c:pt>
                <c:pt idx="2">
                  <c:v>Yrkesskade</c:v>
                </c:pt>
                <c:pt idx="3">
                  <c:v>Hytte</c:v>
                </c:pt>
                <c:pt idx="4">
                  <c:v>Ulykke</c:v>
                </c:pt>
              </c:strCache>
            </c:strRef>
          </c:cat>
          <c:val>
            <c:numRef>
              <c:f>'Tab2'!$W$129:$W$133</c:f>
              <c:numCache>
                <c:formatCode>0</c:formatCode>
                <c:ptCount val="5"/>
                <c:pt idx="0">
                  <c:v>2296.269950124688</c:v>
                </c:pt>
                <c:pt idx="1">
                  <c:v>3764.605</c:v>
                </c:pt>
                <c:pt idx="2">
                  <c:v>2800.3848653061223</c:v>
                </c:pt>
                <c:pt idx="3">
                  <c:v>7686.2174959451677</c:v>
                </c:pt>
                <c:pt idx="4">
                  <c:v>11726.093333333334</c:v>
                </c:pt>
              </c:numCache>
            </c:numRef>
          </c:val>
          <c:extLst>
            <c:ext xmlns:c16="http://schemas.microsoft.com/office/drawing/2014/chart" uri="{C3380CC4-5D6E-409C-BE32-E72D297353CC}">
              <c16:uniqueId val="{00000000-5C52-4D4B-8DAE-66DEFB61BB20}"/>
            </c:ext>
          </c:extLst>
        </c:ser>
        <c:ser>
          <c:idx val="1"/>
          <c:order val="1"/>
          <c:tx>
            <c:strRef>
              <c:f>'Tab2'!$X$128</c:f>
              <c:strCache>
                <c:ptCount val="1"/>
                <c:pt idx="0">
                  <c:v>2025</c:v>
                </c:pt>
              </c:strCache>
            </c:strRef>
          </c:tx>
          <c:spPr>
            <a:solidFill>
              <a:srgbClr val="FFFFCC"/>
            </a:solidFill>
            <a:ln w="12700">
              <a:solidFill>
                <a:srgbClr val="000000"/>
              </a:solidFill>
              <a:prstDash val="solid"/>
            </a:ln>
          </c:spPr>
          <c:invertIfNegative val="0"/>
          <c:cat>
            <c:strRef>
              <c:f>'Tab2'!$V$129:$V$133</c:f>
              <c:strCache>
                <c:ptCount val="5"/>
                <c:pt idx="0">
                  <c:v>Fritidsbåt</c:v>
                </c:pt>
                <c:pt idx="1">
                  <c:v>Ansvar</c:v>
                </c:pt>
                <c:pt idx="2">
                  <c:v>Yrkesskade</c:v>
                </c:pt>
                <c:pt idx="3">
                  <c:v>Hytte</c:v>
                </c:pt>
                <c:pt idx="4">
                  <c:v>Ulykke</c:v>
                </c:pt>
              </c:strCache>
            </c:strRef>
          </c:cat>
          <c:val>
            <c:numRef>
              <c:f>'Tab2'!$X$129:$X$133</c:f>
              <c:numCache>
                <c:formatCode>0</c:formatCode>
                <c:ptCount val="5"/>
                <c:pt idx="0">
                  <c:v>1460</c:v>
                </c:pt>
                <c:pt idx="1">
                  <c:v>3893</c:v>
                </c:pt>
                <c:pt idx="2">
                  <c:v>2799</c:v>
                </c:pt>
                <c:pt idx="3">
                  <c:v>5104</c:v>
                </c:pt>
                <c:pt idx="4">
                  <c:v>14056</c:v>
                </c:pt>
              </c:numCache>
            </c:numRef>
          </c:val>
          <c:extLst>
            <c:ext xmlns:c16="http://schemas.microsoft.com/office/drawing/2014/chart" uri="{C3380CC4-5D6E-409C-BE32-E72D297353CC}">
              <c16:uniqueId val="{00000001-5C52-4D4B-8DAE-66DEFB61BB20}"/>
            </c:ext>
          </c:extLst>
        </c:ser>
        <c:ser>
          <c:idx val="2"/>
          <c:order val="2"/>
          <c:tx>
            <c:strRef>
              <c:f>'Tab2'!$Y$128</c:f>
              <c:strCache>
                <c:ptCount val="1"/>
                <c:pt idx="0">
                  <c:v>2026</c:v>
                </c:pt>
              </c:strCache>
            </c:strRef>
          </c:tx>
          <c:spPr>
            <a:solidFill>
              <a:srgbClr val="993366"/>
            </a:solidFill>
            <a:ln w="12700">
              <a:solidFill>
                <a:srgbClr val="000000"/>
              </a:solidFill>
              <a:prstDash val="solid"/>
            </a:ln>
          </c:spPr>
          <c:invertIfNegative val="0"/>
          <c:cat>
            <c:strRef>
              <c:f>'Tab2'!$V$129:$V$133</c:f>
              <c:strCache>
                <c:ptCount val="5"/>
                <c:pt idx="0">
                  <c:v>Fritidsbåt</c:v>
                </c:pt>
                <c:pt idx="1">
                  <c:v>Ansvar</c:v>
                </c:pt>
                <c:pt idx="2">
                  <c:v>Yrkesskade</c:v>
                </c:pt>
                <c:pt idx="3">
                  <c:v>Hytte</c:v>
                </c:pt>
                <c:pt idx="4">
                  <c:v>Ulykke</c:v>
                </c:pt>
              </c:strCache>
            </c:strRef>
          </c:cat>
          <c:val>
            <c:numRef>
              <c:f>'Tab2'!$Y$129:$Y$133</c:f>
              <c:numCache>
                <c:formatCode>0</c:formatCode>
                <c:ptCount val="5"/>
                <c:pt idx="0">
                  <c:v>1178</c:v>
                </c:pt>
                <c:pt idx="1">
                  <c:v>3656</c:v>
                </c:pt>
                <c:pt idx="2">
                  <c:v>3283</c:v>
                </c:pt>
                <c:pt idx="3">
                  <c:v>6357</c:v>
                </c:pt>
                <c:pt idx="4">
                  <c:v>14371</c:v>
                </c:pt>
              </c:numCache>
            </c:numRef>
          </c:val>
          <c:extLst>
            <c:ext xmlns:c16="http://schemas.microsoft.com/office/drawing/2014/chart" uri="{C3380CC4-5D6E-409C-BE32-E72D297353CC}">
              <c16:uniqueId val="{00000002-5C52-4D4B-8DAE-66DEFB61BB20}"/>
            </c:ext>
          </c:extLst>
        </c:ser>
        <c:dLbls>
          <c:showLegendKey val="0"/>
          <c:showVal val="0"/>
          <c:showCatName val="0"/>
          <c:showSerName val="0"/>
          <c:showPercent val="0"/>
          <c:showBubbleSize val="0"/>
        </c:dLbls>
        <c:gapWidth val="150"/>
        <c:shape val="cylinder"/>
        <c:axId val="270747904"/>
        <c:axId val="270757888"/>
        <c:axId val="0"/>
      </c:bar3DChart>
      <c:catAx>
        <c:axId val="2707479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757888"/>
        <c:crosses val="autoZero"/>
        <c:auto val="1"/>
        <c:lblAlgn val="ctr"/>
        <c:lblOffset val="100"/>
        <c:tickLblSkip val="1"/>
        <c:tickMarkSkip val="1"/>
        <c:noMultiLvlLbl val="0"/>
      </c:catAx>
      <c:valAx>
        <c:axId val="270757888"/>
        <c:scaling>
          <c:orientation val="minMax"/>
        </c:scaling>
        <c:delete val="0"/>
        <c:axPos val="b"/>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747904"/>
        <c:crosses val="autoZero"/>
        <c:crossBetween val="between"/>
      </c:valAx>
      <c:spPr>
        <a:noFill/>
        <a:ln w="25400">
          <a:noFill/>
        </a:ln>
      </c:spPr>
    </c:plotArea>
    <c:legend>
      <c:legendPos val="r"/>
      <c:layout>
        <c:manualLayout>
          <c:xMode val="edge"/>
          <c:yMode val="edge"/>
          <c:x val="0.80711767770601706"/>
          <c:y val="0.56422090587300433"/>
          <c:w val="0.10299645128629202"/>
          <c:h val="0.1582571215295344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566614958665"/>
          <c:y val="4.7126376644779866E-2"/>
          <c:w val="0.72887760912680699"/>
          <c:h val="0.75545138253069033"/>
        </c:manualLayout>
      </c:layout>
      <c:lineChart>
        <c:grouping val="standard"/>
        <c:varyColors val="0"/>
        <c:ser>
          <c:idx val="0"/>
          <c:order val="0"/>
          <c:tx>
            <c:strRef>
              <c:f>'Tab2'!$M$70</c:f>
              <c:strCache>
                <c:ptCount val="1"/>
                <c:pt idx="0">
                  <c:v>Erstatning</c:v>
                </c:pt>
              </c:strCache>
            </c:strRef>
          </c:tx>
          <c:spPr>
            <a:ln w="25400"/>
          </c:spPr>
          <c:marker>
            <c:symbol val="none"/>
          </c:marker>
          <c:cat>
            <c:numRef>
              <c:f>'Tab2'!$K$71:$K$243</c:f>
              <c:numCache>
                <c:formatCode>General</c:formatCode>
                <c:ptCount val="173"/>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pt idx="164">
                  <c:v>2024</c:v>
                </c:pt>
                <c:pt idx="168">
                  <c:v>2025</c:v>
                </c:pt>
                <c:pt idx="172">
                  <c:v>2026</c:v>
                </c:pt>
              </c:numCache>
            </c:numRef>
          </c:cat>
          <c:val>
            <c:numRef>
              <c:f>'Tab2'!$N$71:$N$243</c:f>
              <c:numCache>
                <c:formatCode>#\ ##0.0</c:formatCode>
                <c:ptCount val="173"/>
                <c:pt idx="0">
                  <c:v>289.17643694595324</c:v>
                </c:pt>
                <c:pt idx="1">
                  <c:v>242.23034734917698</c:v>
                </c:pt>
                <c:pt idx="2">
                  <c:v>221.51898734177183</c:v>
                </c:pt>
                <c:pt idx="3">
                  <c:v>271.35231316725935</c:v>
                </c:pt>
                <c:pt idx="4">
                  <c:v>290.97865485299997</c:v>
                </c:pt>
                <c:pt idx="5">
                  <c:v>275.24451493523611</c:v>
                </c:pt>
                <c:pt idx="6">
                  <c:v>272.90001310444194</c:v>
                </c:pt>
                <c:pt idx="7">
                  <c:v>305.24006195147081</c:v>
                </c:pt>
                <c:pt idx="8">
                  <c:v>329.85226693835909</c:v>
                </c:pt>
                <c:pt idx="9">
                  <c:v>360.53783614759169</c:v>
                </c:pt>
                <c:pt idx="10">
                  <c:v>319.47890818858514</c:v>
                </c:pt>
                <c:pt idx="11">
                  <c:v>362.33211233211176</c:v>
                </c:pt>
                <c:pt idx="12">
                  <c:v>335.93749999999949</c:v>
                </c:pt>
                <c:pt idx="13">
                  <c:v>359.46745562130121</c:v>
                </c:pt>
                <c:pt idx="14">
                  <c:v>289.32261768082617</c:v>
                </c:pt>
                <c:pt idx="15">
                  <c:v>338.57383492419933</c:v>
                </c:pt>
                <c:pt idx="16">
                  <c:v>369.88543371522036</c:v>
                </c:pt>
                <c:pt idx="17">
                  <c:v>365.00859475719756</c:v>
                </c:pt>
                <c:pt idx="18">
                  <c:v>298.70198957335839</c:v>
                </c:pt>
                <c:pt idx="19">
                  <c:v>351.43185618729041</c:v>
                </c:pt>
                <c:pt idx="20">
                  <c:v>334.49263502454943</c:v>
                </c:pt>
                <c:pt idx="21">
                  <c:v>238.44148029284889</c:v>
                </c:pt>
                <c:pt idx="22">
                  <c:v>371.37862137862078</c:v>
                </c:pt>
                <c:pt idx="23">
                  <c:v>491.9728159164772</c:v>
                </c:pt>
                <c:pt idx="24">
                  <c:v>347.56751486789454</c:v>
                </c:pt>
                <c:pt idx="25">
                  <c:v>280.91771242456133</c:v>
                </c:pt>
                <c:pt idx="26">
                  <c:v>247.18457720939071</c:v>
                </c:pt>
                <c:pt idx="27">
                  <c:v>311.85031185031136</c:v>
                </c:pt>
                <c:pt idx="28">
                  <c:v>333.90971118796102</c:v>
                </c:pt>
                <c:pt idx="29">
                  <c:v>268.63124884707577</c:v>
                </c:pt>
                <c:pt idx="30">
                  <c:v>232.9749103942649</c:v>
                </c:pt>
                <c:pt idx="31">
                  <c:v>271.17418421766206</c:v>
                </c:pt>
                <c:pt idx="32">
                  <c:v>292.62258209626589</c:v>
                </c:pt>
                <c:pt idx="33">
                  <c:v>281.35548054716588</c:v>
                </c:pt>
                <c:pt idx="34">
                  <c:v>294.45727482678944</c:v>
                </c:pt>
                <c:pt idx="35">
                  <c:v>304.43210855581953</c:v>
                </c:pt>
                <c:pt idx="36">
                  <c:v>284.39560439560398</c:v>
                </c:pt>
                <c:pt idx="37">
                  <c:v>245.05122417086267</c:v>
                </c:pt>
                <c:pt idx="38">
                  <c:v>283.14977018471893</c:v>
                </c:pt>
                <c:pt idx="39">
                  <c:v>233.65492290464272</c:v>
                </c:pt>
                <c:pt idx="40">
                  <c:v>293.17286277197138</c:v>
                </c:pt>
                <c:pt idx="41">
                  <c:v>243.98508980006744</c:v>
                </c:pt>
                <c:pt idx="42">
                  <c:v>281.8814739344536</c:v>
                </c:pt>
                <c:pt idx="43">
                  <c:v>333.47421808960206</c:v>
                </c:pt>
                <c:pt idx="44">
                  <c:v>399.40828402366805</c:v>
                </c:pt>
                <c:pt idx="45">
                  <c:v>349.17372703632191</c:v>
                </c:pt>
                <c:pt idx="46">
                  <c:v>354.75653553829392</c:v>
                </c:pt>
                <c:pt idx="47">
                  <c:v>292.40737664063766</c:v>
                </c:pt>
                <c:pt idx="48">
                  <c:v>352.28957338164992</c:v>
                </c:pt>
                <c:pt idx="49">
                  <c:v>303.07365323305777</c:v>
                </c:pt>
                <c:pt idx="50">
                  <c:v>368.26616529060669</c:v>
                </c:pt>
                <c:pt idx="51">
                  <c:v>349.6503496503492</c:v>
                </c:pt>
                <c:pt idx="52">
                  <c:v>766.7809897109247</c:v>
                </c:pt>
                <c:pt idx="53">
                  <c:v>474.80385019817129</c:v>
                </c:pt>
                <c:pt idx="54">
                  <c:v>483.28634716069223</c:v>
                </c:pt>
                <c:pt idx="55">
                  <c:v>466.09154085789544</c:v>
                </c:pt>
                <c:pt idx="56">
                  <c:v>504.5853427148383</c:v>
                </c:pt>
                <c:pt idx="57">
                  <c:v>553.69655932603666</c:v>
                </c:pt>
                <c:pt idx="58">
                  <c:v>586.37115187780387</c:v>
                </c:pt>
                <c:pt idx="59">
                  <c:v>523.17854909318248</c:v>
                </c:pt>
                <c:pt idx="60">
                  <c:v>551.94050662328516</c:v>
                </c:pt>
                <c:pt idx="61">
                  <c:v>488.96690070210553</c:v>
                </c:pt>
                <c:pt idx="62">
                  <c:v>496.95544936025817</c:v>
                </c:pt>
                <c:pt idx="63">
                  <c:v>571.19395004201272</c:v>
                </c:pt>
                <c:pt idx="64">
                  <c:v>623.00864815657621</c:v>
                </c:pt>
                <c:pt idx="65">
                  <c:v>626.0349239801285</c:v>
                </c:pt>
                <c:pt idx="66">
                  <c:v>842.40980258679235</c:v>
                </c:pt>
                <c:pt idx="67">
                  <c:v>762.91341508732637</c:v>
                </c:pt>
                <c:pt idx="68">
                  <c:v>635.93910869245371</c:v>
                </c:pt>
                <c:pt idx="69">
                  <c:v>461.83122301105101</c:v>
                </c:pt>
                <c:pt idx="70">
                  <c:v>572.53999561691774</c:v>
                </c:pt>
                <c:pt idx="71">
                  <c:v>872.947277441658</c:v>
                </c:pt>
                <c:pt idx="72">
                  <c:v>1198.0201532784538</c:v>
                </c:pt>
                <c:pt idx="73">
                  <c:v>793.09376754632115</c:v>
                </c:pt>
                <c:pt idx="74">
                  <c:v>712.3034227567058</c:v>
                </c:pt>
                <c:pt idx="75">
                  <c:v>901.21010544193439</c:v>
                </c:pt>
                <c:pt idx="76">
                  <c:v>820.78260257583088</c:v>
                </c:pt>
                <c:pt idx="77">
                  <c:v>714.16083916083812</c:v>
                </c:pt>
                <c:pt idx="78">
                  <c:v>882.58001122964492</c:v>
                </c:pt>
                <c:pt idx="79">
                  <c:v>804.22730422730308</c:v>
                </c:pt>
                <c:pt idx="80">
                  <c:v>1051.8190361122281</c:v>
                </c:pt>
                <c:pt idx="81">
                  <c:v>695.42434413315891</c:v>
                </c:pt>
                <c:pt idx="82">
                  <c:v>739.8432666529169</c:v>
                </c:pt>
                <c:pt idx="83">
                  <c:v>805.95026642983873</c:v>
                </c:pt>
                <c:pt idx="84">
                  <c:v>884.17133488181298</c:v>
                </c:pt>
                <c:pt idx="85">
                  <c:v>584.55433455433354</c:v>
                </c:pt>
                <c:pt idx="86">
                  <c:v>772.80462899931786</c:v>
                </c:pt>
                <c:pt idx="87">
                  <c:v>722.33468286099799</c:v>
                </c:pt>
                <c:pt idx="88">
                  <c:v>706.98870171165572</c:v>
                </c:pt>
                <c:pt idx="89">
                  <c:v>539.52991452991375</c:v>
                </c:pt>
                <c:pt idx="90">
                  <c:v>749.01423511327812</c:v>
                </c:pt>
                <c:pt idx="91">
                  <c:v>793.76657824933557</c:v>
                </c:pt>
                <c:pt idx="92">
                  <c:v>964.8370497427087</c:v>
                </c:pt>
                <c:pt idx="93">
                  <c:v>707.57486788021015</c:v>
                </c:pt>
                <c:pt idx="94">
                  <c:v>814.15174765558254</c:v>
                </c:pt>
                <c:pt idx="95">
                  <c:v>849.38590820943648</c:v>
                </c:pt>
                <c:pt idx="96">
                  <c:v>1063.175122749589</c:v>
                </c:pt>
                <c:pt idx="97">
                  <c:v>835.88009623512448</c:v>
                </c:pt>
                <c:pt idx="98">
                  <c:v>1067.977014496538</c:v>
                </c:pt>
                <c:pt idx="99">
                  <c:v>902.95466123280494</c:v>
                </c:pt>
                <c:pt idx="100">
                  <c:v>933.77295387139361</c:v>
                </c:pt>
                <c:pt idx="101">
                  <c:v>864.43883984867455</c:v>
                </c:pt>
                <c:pt idx="102">
                  <c:v>1129.0070611760282</c:v>
                </c:pt>
                <c:pt idx="103">
                  <c:v>1084.294614767749</c:v>
                </c:pt>
                <c:pt idx="104">
                  <c:v>1137.846153846152</c:v>
                </c:pt>
                <c:pt idx="105">
                  <c:v>923.75007649470535</c:v>
                </c:pt>
                <c:pt idx="106">
                  <c:v>1220.2490491964154</c:v>
                </c:pt>
                <c:pt idx="107">
                  <c:v>1153.3904484141435</c:v>
                </c:pt>
                <c:pt idx="108">
                  <c:v>2530.0715955810992</c:v>
                </c:pt>
                <c:pt idx="109">
                  <c:v>1290.4621782794136</c:v>
                </c:pt>
                <c:pt idx="110">
                  <c:v>1296.6702269418529</c:v>
                </c:pt>
                <c:pt idx="111">
                  <c:v>1326.548820891054</c:v>
                </c:pt>
                <c:pt idx="112">
                  <c:v>1567.737433174967</c:v>
                </c:pt>
                <c:pt idx="113">
                  <c:v>1140.022149443985</c:v>
                </c:pt>
                <c:pt idx="114">
                  <c:v>1359.3013585050878</c:v>
                </c:pt>
                <c:pt idx="115">
                  <c:v>1145.5705826155681</c:v>
                </c:pt>
                <c:pt idx="116">
                  <c:v>1269.1352983091372</c:v>
                </c:pt>
                <c:pt idx="117">
                  <c:v>927.85398636218815</c:v>
                </c:pt>
                <c:pt idx="118">
                  <c:v>1279.2509937046721</c:v>
                </c:pt>
                <c:pt idx="119">
                  <c:v>1204.5359524442918</c:v>
                </c:pt>
                <c:pt idx="120">
                  <c:v>1479.2961433551627</c:v>
                </c:pt>
                <c:pt idx="121">
                  <c:v>1448.5101673331053</c:v>
                </c:pt>
                <c:pt idx="122">
                  <c:v>1054.0027584280178</c:v>
                </c:pt>
                <c:pt idx="123">
                  <c:v>1273.1123216013395</c:v>
                </c:pt>
                <c:pt idx="124">
                  <c:v>1255.6311278534022</c:v>
                </c:pt>
                <c:pt idx="125">
                  <c:v>1031.1210249079245</c:v>
                </c:pt>
                <c:pt idx="126">
                  <c:v>1516.8336888951969</c:v>
                </c:pt>
                <c:pt idx="127">
                  <c:v>1212.7994981898091</c:v>
                </c:pt>
                <c:pt idx="128">
                  <c:v>1330.5986084132148</c:v>
                </c:pt>
                <c:pt idx="129">
                  <c:v>1019.0046131104735</c:v>
                </c:pt>
                <c:pt idx="130">
                  <c:v>1348.872112624289</c:v>
                </c:pt>
                <c:pt idx="131">
                  <c:v>1197.6438554868064</c:v>
                </c:pt>
                <c:pt idx="132">
                  <c:v>1376.7856617783389</c:v>
                </c:pt>
                <c:pt idx="133">
                  <c:v>1059.7632115384595</c:v>
                </c:pt>
                <c:pt idx="134">
                  <c:v>1858.6361730160377</c:v>
                </c:pt>
                <c:pt idx="135">
                  <c:v>1261.0854194654175</c:v>
                </c:pt>
                <c:pt idx="136">
                  <c:v>1351.8659354862843</c:v>
                </c:pt>
                <c:pt idx="137">
                  <c:v>1002.6455602090058</c:v>
                </c:pt>
                <c:pt idx="138">
                  <c:v>1184.1349417724143</c:v>
                </c:pt>
                <c:pt idx="139">
                  <c:v>1478.5921625544242</c:v>
                </c:pt>
                <c:pt idx="140">
                  <c:v>1509.4291146395333</c:v>
                </c:pt>
                <c:pt idx="141">
                  <c:v>1373.1783709447031</c:v>
                </c:pt>
                <c:pt idx="142">
                  <c:v>1530.6182241404838</c:v>
                </c:pt>
                <c:pt idx="143">
                  <c:v>1350.4533603698089</c:v>
                </c:pt>
                <c:pt idx="144">
                  <c:v>1436.5220638359388</c:v>
                </c:pt>
                <c:pt idx="145">
                  <c:v>1252.5433898458193</c:v>
                </c:pt>
                <c:pt idx="146">
                  <c:v>1743.2602685525628</c:v>
                </c:pt>
                <c:pt idx="147">
                  <c:v>1623.4627339720935</c:v>
                </c:pt>
                <c:pt idx="148">
                  <c:v>1467.7887625640219</c:v>
                </c:pt>
                <c:pt idx="149">
                  <c:v>1232.9391961932929</c:v>
                </c:pt>
                <c:pt idx="150">
                  <c:v>1454.824550382481</c:v>
                </c:pt>
                <c:pt idx="151">
                  <c:v>1529.7630303110016</c:v>
                </c:pt>
                <c:pt idx="152">
                  <c:v>2254.8721396742612</c:v>
                </c:pt>
                <c:pt idx="153">
                  <c:v>1270.3485674838432</c:v>
                </c:pt>
                <c:pt idx="154">
                  <c:v>1366.7285211334895</c:v>
                </c:pt>
                <c:pt idx="155">
                  <c:v>1506.6067679154139</c:v>
                </c:pt>
                <c:pt idx="156">
                  <c:v>1589.6290028711021</c:v>
                </c:pt>
                <c:pt idx="157">
                  <c:v>1199.3832654110117</c:v>
                </c:pt>
                <c:pt idx="158">
                  <c:v>1413.2405498062199</c:v>
                </c:pt>
                <c:pt idx="159">
                  <c:v>1764.2264773432319</c:v>
                </c:pt>
                <c:pt idx="160">
                  <c:v>1718.3376837713663</c:v>
                </c:pt>
                <c:pt idx="161">
                  <c:v>1484.2234439654299</c:v>
                </c:pt>
                <c:pt idx="162">
                  <c:v>2765.5949673141463</c:v>
                </c:pt>
                <c:pt idx="163">
                  <c:v>2193.8260492346944</c:v>
                </c:pt>
                <c:pt idx="164">
                  <c:v>2985.2498019000718</c:v>
                </c:pt>
                <c:pt idx="165">
                  <c:v>1549.1258923728819</c:v>
                </c:pt>
                <c:pt idx="166">
                  <c:v>1804.7504584824978</c:v>
                </c:pt>
                <c:pt idx="167">
                  <c:v>1453.4942933494285</c:v>
                </c:pt>
                <c:pt idx="168">
                  <c:v>1897.6343990687203</c:v>
                </c:pt>
                <c:pt idx="169">
                  <c:v>1268.2957300062862</c:v>
                </c:pt>
                <c:pt idx="170">
                  <c:v>1512.7826667256406</c:v>
                </c:pt>
                <c:pt idx="171">
                  <c:v>1580.363582328529</c:v>
                </c:pt>
                <c:pt idx="172">
                  <c:v>2178.9581177247014</c:v>
                </c:pt>
              </c:numCache>
            </c:numRef>
          </c:val>
          <c:smooth val="0"/>
          <c:extLst>
            <c:ext xmlns:c16="http://schemas.microsoft.com/office/drawing/2014/chart" uri="{C3380CC4-5D6E-409C-BE32-E72D297353CC}">
              <c16:uniqueId val="{00000000-DEC7-4D76-8CFA-CE137D68656F}"/>
            </c:ext>
          </c:extLst>
        </c:ser>
        <c:dLbls>
          <c:showLegendKey val="0"/>
          <c:showVal val="0"/>
          <c:showCatName val="0"/>
          <c:showSerName val="0"/>
          <c:showPercent val="0"/>
          <c:showBubbleSize val="0"/>
        </c:dLbls>
        <c:marker val="1"/>
        <c:smooth val="0"/>
        <c:axId val="270792576"/>
        <c:axId val="270663680"/>
      </c:lineChart>
      <c:lineChart>
        <c:grouping val="standard"/>
        <c:varyColors val="0"/>
        <c:ser>
          <c:idx val="1"/>
          <c:order val="1"/>
          <c:tx>
            <c:strRef>
              <c:f>'Tab2'!$L$70</c:f>
              <c:strCache>
                <c:ptCount val="1"/>
                <c:pt idx="0">
                  <c:v>Antall</c:v>
                </c:pt>
              </c:strCache>
            </c:strRef>
          </c:tx>
          <c:spPr>
            <a:ln w="25400"/>
          </c:spPr>
          <c:marker>
            <c:symbol val="none"/>
          </c:marker>
          <c:cat>
            <c:numRef>
              <c:f>'Tab2'!$K$71:$K$220</c:f>
              <c:numCache>
                <c:formatCode>General</c:formatCode>
                <c:ptCount val="150"/>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numCache>
            </c:numRef>
          </c:cat>
          <c:val>
            <c:numRef>
              <c:f>'Tab2'!$L$71:$L$243</c:f>
              <c:numCache>
                <c:formatCode>#,##0</c:formatCode>
                <c:ptCount val="173"/>
                <c:pt idx="0">
                  <c:v>11621</c:v>
                </c:pt>
                <c:pt idx="1">
                  <c:v>11120</c:v>
                </c:pt>
                <c:pt idx="2">
                  <c:v>11918</c:v>
                </c:pt>
                <c:pt idx="3">
                  <c:v>11905</c:v>
                </c:pt>
                <c:pt idx="4">
                  <c:v>13205</c:v>
                </c:pt>
                <c:pt idx="5">
                  <c:v>12453</c:v>
                </c:pt>
                <c:pt idx="6">
                  <c:v>12278</c:v>
                </c:pt>
                <c:pt idx="7">
                  <c:v>11449</c:v>
                </c:pt>
                <c:pt idx="8">
                  <c:v>16918</c:v>
                </c:pt>
                <c:pt idx="9">
                  <c:v>14237</c:v>
                </c:pt>
                <c:pt idx="10">
                  <c:v>14329</c:v>
                </c:pt>
                <c:pt idx="11">
                  <c:v>13060</c:v>
                </c:pt>
                <c:pt idx="12">
                  <c:v>14314</c:v>
                </c:pt>
                <c:pt idx="13">
                  <c:v>13505</c:v>
                </c:pt>
                <c:pt idx="14">
                  <c:v>12132</c:v>
                </c:pt>
                <c:pt idx="15">
                  <c:v>11763</c:v>
                </c:pt>
                <c:pt idx="16">
                  <c:v>17280</c:v>
                </c:pt>
                <c:pt idx="17">
                  <c:v>12241</c:v>
                </c:pt>
                <c:pt idx="18">
                  <c:v>11506</c:v>
                </c:pt>
                <c:pt idx="19">
                  <c:v>12860</c:v>
                </c:pt>
                <c:pt idx="20">
                  <c:v>10180</c:v>
                </c:pt>
                <c:pt idx="21">
                  <c:v>11081</c:v>
                </c:pt>
                <c:pt idx="22">
                  <c:v>15987</c:v>
                </c:pt>
                <c:pt idx="23">
                  <c:v>12493</c:v>
                </c:pt>
                <c:pt idx="24">
                  <c:v>10988</c:v>
                </c:pt>
                <c:pt idx="25">
                  <c:v>10292</c:v>
                </c:pt>
                <c:pt idx="26">
                  <c:v>11352</c:v>
                </c:pt>
                <c:pt idx="27">
                  <c:v>11958</c:v>
                </c:pt>
                <c:pt idx="28">
                  <c:v>13741</c:v>
                </c:pt>
                <c:pt idx="29">
                  <c:v>10045</c:v>
                </c:pt>
                <c:pt idx="30">
                  <c:v>10870</c:v>
                </c:pt>
                <c:pt idx="31">
                  <c:v>11076</c:v>
                </c:pt>
                <c:pt idx="32">
                  <c:v>10172</c:v>
                </c:pt>
                <c:pt idx="33">
                  <c:v>10188</c:v>
                </c:pt>
                <c:pt idx="34">
                  <c:v>10621</c:v>
                </c:pt>
                <c:pt idx="35">
                  <c:v>11640</c:v>
                </c:pt>
                <c:pt idx="36">
                  <c:v>10520</c:v>
                </c:pt>
                <c:pt idx="37">
                  <c:v>10661</c:v>
                </c:pt>
                <c:pt idx="38">
                  <c:v>11590</c:v>
                </c:pt>
                <c:pt idx="39">
                  <c:v>11917</c:v>
                </c:pt>
                <c:pt idx="40">
                  <c:v>11275</c:v>
                </c:pt>
                <c:pt idx="41">
                  <c:v>10076</c:v>
                </c:pt>
                <c:pt idx="42">
                  <c:v>11766</c:v>
                </c:pt>
                <c:pt idx="43">
                  <c:v>12707</c:v>
                </c:pt>
                <c:pt idx="44">
                  <c:v>15224</c:v>
                </c:pt>
                <c:pt idx="45">
                  <c:v>13585</c:v>
                </c:pt>
                <c:pt idx="46">
                  <c:v>13956</c:v>
                </c:pt>
                <c:pt idx="47">
                  <c:v>14006</c:v>
                </c:pt>
                <c:pt idx="48">
                  <c:v>13188</c:v>
                </c:pt>
                <c:pt idx="49">
                  <c:v>11077</c:v>
                </c:pt>
                <c:pt idx="50">
                  <c:v>13937</c:v>
                </c:pt>
                <c:pt idx="51">
                  <c:v>13920</c:v>
                </c:pt>
                <c:pt idx="52">
                  <c:v>29850</c:v>
                </c:pt>
                <c:pt idx="53">
                  <c:v>17799</c:v>
                </c:pt>
                <c:pt idx="54">
                  <c:v>16263</c:v>
                </c:pt>
                <c:pt idx="55">
                  <c:v>16638</c:v>
                </c:pt>
                <c:pt idx="56">
                  <c:v>17837</c:v>
                </c:pt>
                <c:pt idx="57">
                  <c:v>16872</c:v>
                </c:pt>
                <c:pt idx="58">
                  <c:v>17873</c:v>
                </c:pt>
                <c:pt idx="59">
                  <c:v>15493</c:v>
                </c:pt>
                <c:pt idx="60">
                  <c:v>17629</c:v>
                </c:pt>
                <c:pt idx="61">
                  <c:v>14484</c:v>
                </c:pt>
                <c:pt idx="62">
                  <c:v>15693</c:v>
                </c:pt>
                <c:pt idx="63">
                  <c:v>16502</c:v>
                </c:pt>
                <c:pt idx="64">
                  <c:v>18095</c:v>
                </c:pt>
                <c:pt idx="65">
                  <c:v>12899</c:v>
                </c:pt>
                <c:pt idx="66">
                  <c:v>23305</c:v>
                </c:pt>
                <c:pt idx="67">
                  <c:v>18359</c:v>
                </c:pt>
                <c:pt idx="68">
                  <c:v>17570</c:v>
                </c:pt>
                <c:pt idx="69">
                  <c:v>14069</c:v>
                </c:pt>
                <c:pt idx="70">
                  <c:v>16329</c:v>
                </c:pt>
                <c:pt idx="71">
                  <c:v>21735</c:v>
                </c:pt>
                <c:pt idx="72">
                  <c:v>27280</c:v>
                </c:pt>
                <c:pt idx="73">
                  <c:v>17111</c:v>
                </c:pt>
                <c:pt idx="74">
                  <c:v>16407</c:v>
                </c:pt>
                <c:pt idx="75">
                  <c:v>16945</c:v>
                </c:pt>
                <c:pt idx="76">
                  <c:v>17523</c:v>
                </c:pt>
                <c:pt idx="77">
                  <c:v>17469</c:v>
                </c:pt>
                <c:pt idx="78">
                  <c:v>19641</c:v>
                </c:pt>
                <c:pt idx="79">
                  <c:v>17442</c:v>
                </c:pt>
                <c:pt idx="80">
                  <c:v>22781</c:v>
                </c:pt>
                <c:pt idx="81">
                  <c:v>15417</c:v>
                </c:pt>
                <c:pt idx="82">
                  <c:v>18848</c:v>
                </c:pt>
                <c:pt idx="83">
                  <c:v>16096</c:v>
                </c:pt>
                <c:pt idx="84">
                  <c:v>17805</c:v>
                </c:pt>
                <c:pt idx="85">
                  <c:v>13855</c:v>
                </c:pt>
                <c:pt idx="86">
                  <c:v>17630</c:v>
                </c:pt>
                <c:pt idx="87">
                  <c:v>16674</c:v>
                </c:pt>
                <c:pt idx="88">
                  <c:v>15151</c:v>
                </c:pt>
                <c:pt idx="89">
                  <c:v>14855</c:v>
                </c:pt>
                <c:pt idx="90">
                  <c:v>13014</c:v>
                </c:pt>
                <c:pt idx="91">
                  <c:v>22745</c:v>
                </c:pt>
                <c:pt idx="92">
                  <c:v>18196</c:v>
                </c:pt>
                <c:pt idx="93">
                  <c:v>13943</c:v>
                </c:pt>
                <c:pt idx="94">
                  <c:v>13690</c:v>
                </c:pt>
                <c:pt idx="95">
                  <c:v>16682</c:v>
                </c:pt>
                <c:pt idx="96">
                  <c:v>18623</c:v>
                </c:pt>
                <c:pt idx="97">
                  <c:v>15831</c:v>
                </c:pt>
                <c:pt idx="98">
                  <c:v>18428</c:v>
                </c:pt>
                <c:pt idx="99">
                  <c:v>15870</c:v>
                </c:pt>
                <c:pt idx="100">
                  <c:v>17004</c:v>
                </c:pt>
                <c:pt idx="101">
                  <c:v>14987</c:v>
                </c:pt>
                <c:pt idx="102">
                  <c:v>19290</c:v>
                </c:pt>
                <c:pt idx="103">
                  <c:v>16976</c:v>
                </c:pt>
                <c:pt idx="104">
                  <c:v>18865</c:v>
                </c:pt>
                <c:pt idx="105">
                  <c:v>14610</c:v>
                </c:pt>
                <c:pt idx="106">
                  <c:v>19220</c:v>
                </c:pt>
                <c:pt idx="107">
                  <c:v>16838</c:v>
                </c:pt>
                <c:pt idx="108">
                  <c:v>40484.70904761905</c:v>
                </c:pt>
                <c:pt idx="109">
                  <c:v>20633.79583333333</c:v>
                </c:pt>
                <c:pt idx="110">
                  <c:v>19149.335833333338</c:v>
                </c:pt>
                <c:pt idx="111">
                  <c:v>22322.361666666664</c:v>
                </c:pt>
                <c:pt idx="112">
                  <c:v>26141.662648809524</c:v>
                </c:pt>
                <c:pt idx="113">
                  <c:v>18851.951101190472</c:v>
                </c:pt>
                <c:pt idx="114">
                  <c:v>24107.386250000007</c:v>
                </c:pt>
                <c:pt idx="115">
                  <c:v>18022.572976190484</c:v>
                </c:pt>
                <c:pt idx="116">
                  <c:v>18517.39324404762</c:v>
                </c:pt>
                <c:pt idx="117">
                  <c:v>14087.60675595238</c:v>
                </c:pt>
                <c:pt idx="118" formatCode="0">
                  <c:v>20999.460714285713</c:v>
                </c:pt>
                <c:pt idx="119" formatCode="0">
                  <c:v>17946.539285714287</c:v>
                </c:pt>
                <c:pt idx="120" formatCode="0">
                  <c:v>21974.571815476189</c:v>
                </c:pt>
                <c:pt idx="121" formatCode="0">
                  <c:v>23960.428184523811</c:v>
                </c:pt>
                <c:pt idx="122" formatCode="0">
                  <c:v>18388.581422924897</c:v>
                </c:pt>
                <c:pt idx="123" formatCode="0">
                  <c:v>18420.418577075106</c:v>
                </c:pt>
                <c:pt idx="124" formatCode="0">
                  <c:v>19713</c:v>
                </c:pt>
                <c:pt idx="125" formatCode="0">
                  <c:v>16691</c:v>
                </c:pt>
                <c:pt idx="126" formatCode="0">
                  <c:v>21817</c:v>
                </c:pt>
                <c:pt idx="127" formatCode="0">
                  <c:v>20183</c:v>
                </c:pt>
                <c:pt idx="128" formatCode="0">
                  <c:v>19630</c:v>
                </c:pt>
                <c:pt idx="129" formatCode="0">
                  <c:v>15703.949675889351</c:v>
                </c:pt>
                <c:pt idx="130" formatCode="0">
                  <c:v>22728.974837944646</c:v>
                </c:pt>
                <c:pt idx="131" formatCode="0">
                  <c:v>17661.404213438705</c:v>
                </c:pt>
                <c:pt idx="132" formatCode="0">
                  <c:v>20668.165818181998</c:v>
                </c:pt>
                <c:pt idx="133" formatCode="0">
                  <c:v>19039.287573122998</c:v>
                </c:pt>
                <c:pt idx="134" formatCode="0">
                  <c:v>25325.005330874006</c:v>
                </c:pt>
                <c:pt idx="135" formatCode="0">
                  <c:v>18369.446222722992</c:v>
                </c:pt>
                <c:pt idx="136" formatCode="0">
                  <c:v>20188.970584052</c:v>
                </c:pt>
                <c:pt idx="137" formatCode="0">
                  <c:v>16357.538075795001</c:v>
                </c:pt>
                <c:pt idx="138" formatCode="0">
                  <c:v>19399</c:v>
                </c:pt>
                <c:pt idx="139" formatCode="0">
                  <c:v>23333</c:v>
                </c:pt>
                <c:pt idx="140" formatCode="0">
                  <c:v>25111</c:v>
                </c:pt>
                <c:pt idx="141" formatCode="0">
                  <c:v>20973.437462450995</c:v>
                </c:pt>
                <c:pt idx="142" formatCode="0">
                  <c:v>22635.655438734771</c:v>
                </c:pt>
                <c:pt idx="143" formatCode="0">
                  <c:v>22335.438371541502</c:v>
                </c:pt>
                <c:pt idx="144" formatCode="0">
                  <c:v>22394.924612648225</c:v>
                </c:pt>
                <c:pt idx="145" formatCode="0">
                  <c:v>19703.243703557309</c:v>
                </c:pt>
                <c:pt idx="146" formatCode="0">
                  <c:v>26165.077849802379</c:v>
                </c:pt>
                <c:pt idx="147" formatCode="0">
                  <c:v>22621.988837944664</c:v>
                </c:pt>
                <c:pt idx="148" formatCode="0">
                  <c:v>22417.308750988144</c:v>
                </c:pt>
                <c:pt idx="149" formatCode="0">
                  <c:v>20318.697663474304</c:v>
                </c:pt>
                <c:pt idx="150" formatCode="0">
                  <c:v>23115.129949173919</c:v>
                </c:pt>
                <c:pt idx="151" formatCode="0">
                  <c:v>24544.608407612643</c:v>
                </c:pt>
                <c:pt idx="152" formatCode="0">
                  <c:v>34994.274094861663</c:v>
                </c:pt>
                <c:pt idx="153" formatCode="0">
                  <c:v>20425.734197628459</c:v>
                </c:pt>
                <c:pt idx="154" formatCode="0">
                  <c:v>24805.341992094851</c:v>
                </c:pt>
                <c:pt idx="155" formatCode="0">
                  <c:v>23357.504896820246</c:v>
                </c:pt>
                <c:pt idx="156" formatCode="0">
                  <c:v>24505.067470355731</c:v>
                </c:pt>
                <c:pt idx="157" formatCode="0">
                  <c:v>18109.505441201181</c:v>
                </c:pt>
                <c:pt idx="158" formatCode="0">
                  <c:v>22326.885249827203</c:v>
                </c:pt>
                <c:pt idx="159" formatCode="0">
                  <c:v>24565.831590744419</c:v>
                </c:pt>
                <c:pt idx="160" formatCode="0">
                  <c:v>26844.315237154147</c:v>
                </c:pt>
                <c:pt idx="161" formatCode="0">
                  <c:v>22123.086754773376</c:v>
                </c:pt>
                <c:pt idx="162" formatCode="0">
                  <c:v>33547.567308467726</c:v>
                </c:pt>
                <c:pt idx="163" formatCode="0">
                  <c:v>27405.288644268774</c:v>
                </c:pt>
                <c:pt idx="164" formatCode="0">
                  <c:v>43293.220189723317</c:v>
                </c:pt>
                <c:pt idx="165" formatCode="0">
                  <c:v>24161.997458923011</c:v>
                </c:pt>
                <c:pt idx="166" formatCode="0">
                  <c:v>27298.711137914943</c:v>
                </c:pt>
                <c:pt idx="167" formatCode="0">
                  <c:v>23779.642928853747</c:v>
                </c:pt>
                <c:pt idx="168" formatCode="0">
                  <c:v>26747</c:v>
                </c:pt>
                <c:pt idx="169" formatCode="0">
                  <c:v>19398</c:v>
                </c:pt>
                <c:pt idx="170" formatCode="0">
                  <c:v>24946</c:v>
                </c:pt>
                <c:pt idx="171" formatCode="0">
                  <c:v>24373</c:v>
                </c:pt>
                <c:pt idx="172" formatCode="0">
                  <c:v>30894</c:v>
                </c:pt>
              </c:numCache>
            </c:numRef>
          </c:val>
          <c:smooth val="0"/>
          <c:extLst>
            <c:ext xmlns:c16="http://schemas.microsoft.com/office/drawing/2014/chart" uri="{C3380CC4-5D6E-409C-BE32-E72D297353CC}">
              <c16:uniqueId val="{00000001-DEC7-4D76-8CFA-CE137D68656F}"/>
            </c:ext>
          </c:extLst>
        </c:ser>
        <c:dLbls>
          <c:showLegendKey val="0"/>
          <c:showVal val="0"/>
          <c:showCatName val="0"/>
          <c:showSerName val="0"/>
          <c:showPercent val="0"/>
          <c:showBubbleSize val="0"/>
        </c:dLbls>
        <c:upDownBars>
          <c:gapWidth val="150"/>
          <c:upBars/>
          <c:downBars/>
        </c:upDownBars>
        <c:marker val="1"/>
        <c:smooth val="0"/>
        <c:axId val="270667776"/>
        <c:axId val="270665600"/>
      </c:lineChart>
      <c:catAx>
        <c:axId val="270792576"/>
        <c:scaling>
          <c:orientation val="minMax"/>
        </c:scaling>
        <c:delete val="0"/>
        <c:axPos val="b"/>
        <c:majorGridlines>
          <c:spPr>
            <a:ln>
              <a:solidFill>
                <a:srgbClr val="4F81BD">
                  <a:alpha val="25000"/>
                </a:srgbClr>
              </a:solidFill>
            </a:ln>
          </c:spPr>
        </c:majorGridlines>
        <c:title>
          <c:tx>
            <c:rich>
              <a:bodyPr/>
              <a:lstStyle/>
              <a:p>
                <a:pPr>
                  <a:defRPr sz="1200"/>
                </a:pPr>
                <a:r>
                  <a:rPr lang="en-US" sz="1200"/>
                  <a:t>År</a:t>
                </a:r>
              </a:p>
            </c:rich>
          </c:tx>
          <c:layout>
            <c:manualLayout>
              <c:xMode val="edge"/>
              <c:yMode val="edge"/>
              <c:x val="0.48913710180525038"/>
              <c:y val="0.92512795900512435"/>
            </c:manualLayout>
          </c:layout>
          <c:overlay val="0"/>
        </c:title>
        <c:numFmt formatCode="General" sourceLinked="1"/>
        <c:majorTickMark val="out"/>
        <c:minorTickMark val="out"/>
        <c:tickLblPos val="nextTo"/>
        <c:txPr>
          <a:bodyPr rot="-3000000" vert="horz"/>
          <a:lstStyle/>
          <a:p>
            <a:pPr>
              <a:defRPr/>
            </a:pPr>
            <a:endParaRPr lang="nb-NO"/>
          </a:p>
        </c:txPr>
        <c:crossAx val="270663680"/>
        <c:crosses val="autoZero"/>
        <c:auto val="1"/>
        <c:lblAlgn val="ctr"/>
        <c:lblOffset val="100"/>
        <c:tickLblSkip val="1"/>
        <c:tickMarkSkip val="4"/>
        <c:noMultiLvlLbl val="0"/>
      </c:catAx>
      <c:valAx>
        <c:axId val="270663680"/>
        <c:scaling>
          <c:orientation val="minMax"/>
        </c:scaling>
        <c:delete val="0"/>
        <c:axPos val="l"/>
        <c:majorGridlines/>
        <c:title>
          <c:tx>
            <c:rich>
              <a:bodyPr rot="-5400000" vert="horz" anchor="ctr" anchorCtr="1"/>
              <a:lstStyle/>
              <a:p>
                <a:pPr>
                  <a:defRPr/>
                </a:pPr>
                <a:r>
                  <a:rPr lang="en-US"/>
                  <a:t>KPI-justert erstatning (millioner kroner)</a:t>
                </a:r>
              </a:p>
            </c:rich>
          </c:tx>
          <c:layout>
            <c:manualLayout>
              <c:xMode val="edge"/>
              <c:yMode val="edge"/>
              <c:x val="1.5657612176468372E-2"/>
              <c:y val="0.13385355900279908"/>
            </c:manualLayout>
          </c:layout>
          <c:overlay val="0"/>
        </c:title>
        <c:numFmt formatCode="#,##0" sourceLinked="0"/>
        <c:majorTickMark val="out"/>
        <c:minorTickMark val="none"/>
        <c:tickLblPos val="nextTo"/>
        <c:crossAx val="270792576"/>
        <c:crosses val="autoZero"/>
        <c:crossBetween val="between"/>
      </c:valAx>
      <c:valAx>
        <c:axId val="270665600"/>
        <c:scaling>
          <c:orientation val="minMax"/>
        </c:scaling>
        <c:delete val="0"/>
        <c:axPos val="r"/>
        <c:title>
          <c:tx>
            <c:rich>
              <a:bodyPr rot="-5400000" vert="horz"/>
              <a:lstStyle/>
              <a:p>
                <a:pPr>
                  <a:defRPr/>
                </a:pPr>
                <a:r>
                  <a:rPr lang="en-US"/>
                  <a:t>Antall meldte vannskader</a:t>
                </a:r>
              </a:p>
            </c:rich>
          </c:tx>
          <c:overlay val="0"/>
        </c:title>
        <c:numFmt formatCode="#,##0" sourceLinked="1"/>
        <c:majorTickMark val="out"/>
        <c:minorTickMark val="none"/>
        <c:tickLblPos val="nextTo"/>
        <c:crossAx val="270667776"/>
        <c:crosses val="max"/>
        <c:crossBetween val="between"/>
      </c:valAx>
      <c:catAx>
        <c:axId val="270667776"/>
        <c:scaling>
          <c:orientation val="minMax"/>
        </c:scaling>
        <c:delete val="1"/>
        <c:axPos val="b"/>
        <c:numFmt formatCode="General" sourceLinked="1"/>
        <c:majorTickMark val="out"/>
        <c:minorTickMark val="none"/>
        <c:tickLblPos val="none"/>
        <c:crossAx val="270665600"/>
        <c:crosses val="autoZero"/>
        <c:auto val="0"/>
        <c:lblAlgn val="ctr"/>
        <c:lblOffset val="100"/>
        <c:noMultiLvlLbl val="0"/>
      </c:catAx>
    </c:plotArea>
    <c:legend>
      <c:legendPos val="r"/>
      <c:layout>
        <c:manualLayout>
          <c:xMode val="edge"/>
          <c:yMode val="edge"/>
          <c:x val="0.17254097125419141"/>
          <c:y val="8.1243623616814989E-2"/>
          <c:w val="0.2317650782352112"/>
          <c:h val="0.10148035666735998"/>
        </c:manualLayout>
      </c:layou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566614958665"/>
          <c:y val="4.7126376644779866E-2"/>
          <c:w val="0.72887760912680721"/>
          <c:h val="0.80035630261243251"/>
        </c:manualLayout>
      </c:layout>
      <c:lineChart>
        <c:grouping val="standard"/>
        <c:varyColors val="0"/>
        <c:ser>
          <c:idx val="0"/>
          <c:order val="0"/>
          <c:tx>
            <c:strRef>
              <c:f>'Tab2'!$M$70</c:f>
              <c:strCache>
                <c:ptCount val="1"/>
                <c:pt idx="0">
                  <c:v>Erstatning</c:v>
                </c:pt>
              </c:strCache>
            </c:strRef>
          </c:tx>
          <c:spPr>
            <a:ln w="25400"/>
          </c:spPr>
          <c:marker>
            <c:symbol val="none"/>
          </c:marker>
          <c:cat>
            <c:numRef>
              <c:f>'Tab2'!$K$103:$K$243</c:f>
              <c:numCache>
                <c:formatCode>General</c:formatCode>
                <c:ptCount val="141"/>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pt idx="132">
                  <c:v>2024</c:v>
                </c:pt>
                <c:pt idx="136">
                  <c:v>2025</c:v>
                </c:pt>
                <c:pt idx="140">
                  <c:v>2026</c:v>
                </c:pt>
              </c:numCache>
            </c:numRef>
          </c:cat>
          <c:val>
            <c:numRef>
              <c:f>'Tab2'!$Q$103:$Q$243</c:f>
              <c:numCache>
                <c:formatCode>#\ ##0.0</c:formatCode>
                <c:ptCount val="141"/>
                <c:pt idx="0">
                  <c:v>847.72829509671465</c:v>
                </c:pt>
                <c:pt idx="1">
                  <c:v>820.08349618049249</c:v>
                </c:pt>
                <c:pt idx="2">
                  <c:v>956.87511103215331</c:v>
                </c:pt>
                <c:pt idx="3">
                  <c:v>940.61150762181603</c:v>
                </c:pt>
                <c:pt idx="4">
                  <c:v>899.99999999999852</c:v>
                </c:pt>
                <c:pt idx="5">
                  <c:v>894.25247438791314</c:v>
                </c:pt>
                <c:pt idx="6">
                  <c:v>954.81744861677089</c:v>
                </c:pt>
                <c:pt idx="7">
                  <c:v>916.53027823240427</c:v>
                </c:pt>
                <c:pt idx="8">
                  <c:v>962.39506595853879</c:v>
                </c:pt>
                <c:pt idx="9">
                  <c:v>747.41613012538005</c:v>
                </c:pt>
                <c:pt idx="10">
                  <c:v>824.63066734589836</c:v>
                </c:pt>
                <c:pt idx="11">
                  <c:v>986.89771766694651</c:v>
                </c:pt>
                <c:pt idx="12">
                  <c:v>903.63482671174836</c:v>
                </c:pt>
                <c:pt idx="13">
                  <c:v>1036.6160557000237</c:v>
                </c:pt>
                <c:pt idx="14">
                  <c:v>888.45736239872929</c:v>
                </c:pt>
                <c:pt idx="15">
                  <c:v>811.1812593454049</c:v>
                </c:pt>
                <c:pt idx="16">
                  <c:v>1118.0200955361538</c:v>
                </c:pt>
                <c:pt idx="17">
                  <c:v>944.9848769721234</c:v>
                </c:pt>
                <c:pt idx="18">
                  <c:v>997.0980135698502</c:v>
                </c:pt>
                <c:pt idx="19">
                  <c:v>751.95153683525643</c:v>
                </c:pt>
                <c:pt idx="20">
                  <c:v>979.70765964396378</c:v>
                </c:pt>
                <c:pt idx="21">
                  <c:v>1183.571948556174</c:v>
                </c:pt>
                <c:pt idx="22">
                  <c:v>1171.7680225533609</c:v>
                </c:pt>
                <c:pt idx="23">
                  <c:v>1329.579039859412</c:v>
                </c:pt>
                <c:pt idx="24">
                  <c:v>1236.6590244288068</c:v>
                </c:pt>
                <c:pt idx="25">
                  <c:v>1307.7710416502614</c:v>
                </c:pt>
                <c:pt idx="26">
                  <c:v>1417.8017478938648</c:v>
                </c:pt>
                <c:pt idx="27">
                  <c:v>1102.251407129454</c:v>
                </c:pt>
                <c:pt idx="28">
                  <c:v>1161.2053606011293</c:v>
                </c:pt>
                <c:pt idx="29">
                  <c:v>1112.7613610060935</c:v>
                </c:pt>
                <c:pt idx="30">
                  <c:v>833.97564359488115</c:v>
                </c:pt>
                <c:pt idx="31">
                  <c:v>1410.5110381177876</c:v>
                </c:pt>
                <c:pt idx="32">
                  <c:v>1306.8957669549366</c:v>
                </c:pt>
                <c:pt idx="33">
                  <c:v>1645.7172964022254</c:v>
                </c:pt>
                <c:pt idx="34">
                  <c:v>1072.157930565008</c:v>
                </c:pt>
                <c:pt idx="35">
                  <c:v>1738.201412114453</c:v>
                </c:pt>
                <c:pt idx="36">
                  <c:v>1507.3907927636394</c:v>
                </c:pt>
                <c:pt idx="37">
                  <c:v>1233.6236551269833</c:v>
                </c:pt>
                <c:pt idx="38">
                  <c:v>1289.7216743370575</c:v>
                </c:pt>
                <c:pt idx="39">
                  <c:v>1331.0285220397557</c:v>
                </c:pt>
                <c:pt idx="40">
                  <c:v>1555.8472892421205</c:v>
                </c:pt>
                <c:pt idx="41">
                  <c:v>1619.5255474452529</c:v>
                </c:pt>
                <c:pt idx="42">
                  <c:v>2085.3198605279977</c:v>
                </c:pt>
                <c:pt idx="43">
                  <c:v>1421.1662302738641</c:v>
                </c:pt>
                <c:pt idx="44">
                  <c:v>1443.4513336617617</c:v>
                </c:pt>
                <c:pt idx="45">
                  <c:v>1204.7202797202776</c:v>
                </c:pt>
                <c:pt idx="46">
                  <c:v>1571.9750140370556</c:v>
                </c:pt>
                <c:pt idx="47">
                  <c:v>1625.9528759528735</c:v>
                </c:pt>
                <c:pt idx="48">
                  <c:v>1824.4059605316122</c:v>
                </c:pt>
                <c:pt idx="49">
                  <c:v>1400.4383861908327</c:v>
                </c:pt>
                <c:pt idx="50">
                  <c:v>1478.3116793840627</c:v>
                </c:pt>
                <c:pt idx="51">
                  <c:v>1301.9196611558939</c:v>
                </c:pt>
                <c:pt idx="52">
                  <c:v>1255.636015849158</c:v>
                </c:pt>
                <c:pt idx="53">
                  <c:v>1201.1599511599491</c:v>
                </c:pt>
                <c:pt idx="54">
                  <c:v>1110.7896528250492</c:v>
                </c:pt>
                <c:pt idx="55">
                  <c:v>1196.693657219972</c:v>
                </c:pt>
                <c:pt idx="56">
                  <c:v>1209.6610513497037</c:v>
                </c:pt>
                <c:pt idx="57">
                  <c:v>1244.4911858974338</c:v>
                </c:pt>
                <c:pt idx="58">
                  <c:v>1390.2626478647312</c:v>
                </c:pt>
                <c:pt idx="59">
                  <c:v>1319.2970822281143</c:v>
                </c:pt>
                <c:pt idx="60">
                  <c:v>1562.2113735321261</c:v>
                </c:pt>
                <c:pt idx="61">
                  <c:v>1323.1552162849853</c:v>
                </c:pt>
                <c:pt idx="62">
                  <c:v>1403.2067676568936</c:v>
                </c:pt>
                <c:pt idx="63">
                  <c:v>1334.841628959274</c:v>
                </c:pt>
                <c:pt idx="64">
                  <c:v>1787.5613747954144</c:v>
                </c:pt>
                <c:pt idx="65">
                  <c:v>1693.3805839131255</c:v>
                </c:pt>
                <c:pt idx="66">
                  <c:v>1109.4423403421695</c:v>
                </c:pt>
                <c:pt idx="67">
                  <c:v>1451.3818135506851</c:v>
                </c:pt>
                <c:pt idx="68">
                  <c:v>1520.1615447718789</c:v>
                </c:pt>
                <c:pt idx="69">
                  <c:v>1818.726355611599</c:v>
                </c:pt>
                <c:pt idx="70">
                  <c:v>2322.2208335936971</c:v>
                </c:pt>
                <c:pt idx="71">
                  <c:v>1788.9087656529491</c:v>
                </c:pt>
                <c:pt idx="72">
                  <c:v>1615.2307692307668</c:v>
                </c:pt>
                <c:pt idx="73">
                  <c:v>1649.0728841564139</c:v>
                </c:pt>
                <c:pt idx="74">
                  <c:v>1960.0355784566277</c:v>
                </c:pt>
                <c:pt idx="75">
                  <c:v>1810.9733868027686</c:v>
                </c:pt>
                <c:pt idx="76">
                  <c:v>2463.2418863188059</c:v>
                </c:pt>
                <c:pt idx="77">
                  <c:v>2061.3773348451359</c:v>
                </c:pt>
                <c:pt idx="78">
                  <c:v>1935.4159142891506</c:v>
                </c:pt>
                <c:pt idx="79">
                  <c:v>1954.084675014906</c:v>
                </c:pt>
                <c:pt idx="80">
                  <c:v>2509.0098073969007</c:v>
                </c:pt>
                <c:pt idx="81">
                  <c:v>2251.0275983558395</c:v>
                </c:pt>
                <c:pt idx="82">
                  <c:v>1910.2960408988195</c:v>
                </c:pt>
                <c:pt idx="83">
                  <c:v>1896.3493921336542</c:v>
                </c:pt>
                <c:pt idx="84">
                  <c:v>1679.6829292913401</c:v>
                </c:pt>
                <c:pt idx="85">
                  <c:v>1515.386172668826</c:v>
                </c:pt>
                <c:pt idx="86">
                  <c:v>1674.6463333780544</c:v>
                </c:pt>
                <c:pt idx="87">
                  <c:v>1560.3319605487409</c:v>
                </c:pt>
                <c:pt idx="88">
                  <c:v>1660.1851943505708</c:v>
                </c:pt>
                <c:pt idx="89">
                  <c:v>1623.3840977872608</c:v>
                </c:pt>
                <c:pt idx="90">
                  <c:v>1896.4074214617503</c:v>
                </c:pt>
                <c:pt idx="91">
                  <c:v>1723.6099851855965</c:v>
                </c:pt>
                <c:pt idx="92">
                  <c:v>2102.8025234079214</c:v>
                </c:pt>
                <c:pt idx="93">
                  <c:v>1630.1386545493756</c:v>
                </c:pt>
                <c:pt idx="94">
                  <c:v>1768.4924889275653</c:v>
                </c:pt>
                <c:pt idx="95">
                  <c:v>1543.552688555669</c:v>
                </c:pt>
                <c:pt idx="96">
                  <c:v>1778.3403861803188</c:v>
                </c:pt>
                <c:pt idx="97">
                  <c:v>1662.360650911319</c:v>
                </c:pt>
                <c:pt idx="98">
                  <c:v>1846.1331608470591</c:v>
                </c:pt>
                <c:pt idx="99">
                  <c:v>1934.3923354496474</c:v>
                </c:pt>
                <c:pt idx="100">
                  <c:v>1707.6935323217051</c:v>
                </c:pt>
                <c:pt idx="101">
                  <c:v>1321.3902122181335</c:v>
                </c:pt>
                <c:pt idx="102">
                  <c:v>1975.2942788104149</c:v>
                </c:pt>
                <c:pt idx="103">
                  <c:v>1602.0593496093529</c:v>
                </c:pt>
                <c:pt idx="104">
                  <c:v>1702.9829738558715</c:v>
                </c:pt>
                <c:pt idx="105">
                  <c:v>2194.2112438876388</c:v>
                </c:pt>
                <c:pt idx="106">
                  <c:v>1245.4958483471701</c:v>
                </c:pt>
                <c:pt idx="107">
                  <c:v>1561.5280945469599</c:v>
                </c:pt>
                <c:pt idx="108">
                  <c:v>1621.1911001490137</c:v>
                </c:pt>
                <c:pt idx="109">
                  <c:v>1877.124668241172</c:v>
                </c:pt>
                <c:pt idx="110">
                  <c:v>2301.1916107023117</c:v>
                </c:pt>
                <c:pt idx="111">
                  <c:v>1818.0094841476223</c:v>
                </c:pt>
                <c:pt idx="112">
                  <c:v>1727.7779921687825</c:v>
                </c:pt>
                <c:pt idx="113">
                  <c:v>1675.2194432777603</c:v>
                </c:pt>
                <c:pt idx="114">
                  <c:v>1845.9784838866624</c:v>
                </c:pt>
                <c:pt idx="115">
                  <c:v>1512.5155425843263</c:v>
                </c:pt>
                <c:pt idx="116">
                  <c:v>2192.8860378500231</c:v>
                </c:pt>
                <c:pt idx="117">
                  <c:v>1468.8357868541068</c:v>
                </c:pt>
                <c:pt idx="118">
                  <c:v>1277.0405663097072</c:v>
                </c:pt>
                <c:pt idx="119">
                  <c:v>1468.7416678771763</c:v>
                </c:pt>
                <c:pt idx="120">
                  <c:v>1810.548224987758</c:v>
                </c:pt>
                <c:pt idx="121">
                  <c:v>1761.6601421924738</c:v>
                </c:pt>
                <c:pt idx="122">
                  <c:v>1640.9217094078651</c:v>
                </c:pt>
                <c:pt idx="123">
                  <c:v>1498.526511329467</c:v>
                </c:pt>
                <c:pt idx="124">
                  <c:v>1828.2659374276243</c:v>
                </c:pt>
                <c:pt idx="125">
                  <c:v>1564.5738799649541</c:v>
                </c:pt>
                <c:pt idx="126">
                  <c:v>2226.2132768149668</c:v>
                </c:pt>
                <c:pt idx="127">
                  <c:v>2164.1653168663111</c:v>
                </c:pt>
                <c:pt idx="128">
                  <c:v>1828.6388083978197</c:v>
                </c:pt>
                <c:pt idx="129">
                  <c:v>2060.329155431808</c:v>
                </c:pt>
                <c:pt idx="130">
                  <c:v>1452.8593732514835</c:v>
                </c:pt>
                <c:pt idx="131">
                  <c:v>2112.0577085474679</c:v>
                </c:pt>
                <c:pt idx="132" formatCode="_(* #\ ##0_);_(* \(#\ ##0\);_(* &quot;-&quot;??_);_(@_)">
                  <c:v>1840.1851832799441</c:v>
                </c:pt>
                <c:pt idx="133" formatCode="_(* #\ ##0_);_(* \(#\ ##0\);_(* &quot;-&quot;??_);_(@_)">
                  <c:v>1993.0436522788436</c:v>
                </c:pt>
                <c:pt idx="134" formatCode="_(* #\ ##0_);_(* \(#\ ##0\);_(* &quot;-&quot;??_);_(@_)">
                  <c:v>1719.6841289654017</c:v>
                </c:pt>
                <c:pt idx="135" formatCode="_(* #\ ##0_);_(* \(#\ ##0\);_(* &quot;-&quot;??_);_(@_)">
                  <c:v>1742.1136872273619</c:v>
                </c:pt>
                <c:pt idx="136" formatCode="_(* #\ ##0_);_(* \(#\ ##0\);_(* &quot;-&quot;??_);_(@_)">
                  <c:v>2163.3941190315491</c:v>
                </c:pt>
                <c:pt idx="137" formatCode="_(* #\ ##0_);_(* \(#\ ##0\);_(* &quot;-&quot;??_);_(@_)">
                  <c:v>2003.4176767926331</c:v>
                </c:pt>
                <c:pt idx="138" formatCode="_(* #\ ##0_);_(* \(#\ ##0\);_(* &quot;-&quot;??_);_(@_)">
                  <c:v>1973.3208344321044</c:v>
                </c:pt>
                <c:pt idx="139" formatCode="_(* #\ ##0_);_(* \(#\ ##0\);_(* &quot;-&quot;??_);_(@_)">
                  <c:v>1507.7477408681575</c:v>
                </c:pt>
                <c:pt idx="140" formatCode="_(* #\ ##0_);_(* \(#\ ##0\);_(* &quot;-&quot;??_);_(@_)">
                  <c:v>2093.4571150821457</c:v>
                </c:pt>
              </c:numCache>
            </c:numRef>
          </c:val>
          <c:smooth val="0"/>
          <c:extLst>
            <c:ext xmlns:c16="http://schemas.microsoft.com/office/drawing/2014/chart" uri="{C3380CC4-5D6E-409C-BE32-E72D297353CC}">
              <c16:uniqueId val="{00000000-E0D7-4248-80EF-997285299449}"/>
            </c:ext>
          </c:extLst>
        </c:ser>
        <c:dLbls>
          <c:showLegendKey val="0"/>
          <c:showVal val="0"/>
          <c:showCatName val="0"/>
          <c:showSerName val="0"/>
          <c:showPercent val="0"/>
          <c:showBubbleSize val="0"/>
        </c:dLbls>
        <c:marker val="1"/>
        <c:smooth val="0"/>
        <c:axId val="270702464"/>
        <c:axId val="270704000"/>
      </c:lineChart>
      <c:lineChart>
        <c:grouping val="standard"/>
        <c:varyColors val="0"/>
        <c:ser>
          <c:idx val="1"/>
          <c:order val="1"/>
          <c:tx>
            <c:strRef>
              <c:f>'Tab2'!$L$70</c:f>
              <c:strCache>
                <c:ptCount val="1"/>
                <c:pt idx="0">
                  <c:v>Antall</c:v>
                </c:pt>
              </c:strCache>
            </c:strRef>
          </c:tx>
          <c:spPr>
            <a:ln w="25400"/>
          </c:spPr>
          <c:marker>
            <c:symbol val="none"/>
          </c:marker>
          <c:cat>
            <c:numRef>
              <c:f>'Tab2'!$K$103:$K$220</c:f>
              <c:numCache>
                <c:formatCode>General</c:formatCode>
                <c:ptCount val="118"/>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numCache>
            </c:numRef>
          </c:cat>
          <c:val>
            <c:numRef>
              <c:f>'Tab2'!$O$103:$O$243</c:f>
              <c:numCache>
                <c:formatCode>#,##0</c:formatCode>
                <c:ptCount val="141"/>
                <c:pt idx="0">
                  <c:v>6727</c:v>
                </c:pt>
                <c:pt idx="1">
                  <c:v>5864</c:v>
                </c:pt>
                <c:pt idx="2">
                  <c:v>7951</c:v>
                </c:pt>
                <c:pt idx="3">
                  <c:v>13048</c:v>
                </c:pt>
                <c:pt idx="4">
                  <c:v>6509</c:v>
                </c:pt>
                <c:pt idx="5">
                  <c:v>5632</c:v>
                </c:pt>
                <c:pt idx="6">
                  <c:v>8642</c:v>
                </c:pt>
                <c:pt idx="7">
                  <c:v>7139</c:v>
                </c:pt>
                <c:pt idx="8">
                  <c:v>6982</c:v>
                </c:pt>
                <c:pt idx="9">
                  <c:v>6332</c:v>
                </c:pt>
                <c:pt idx="10">
                  <c:v>6675</c:v>
                </c:pt>
                <c:pt idx="11">
                  <c:v>6319</c:v>
                </c:pt>
                <c:pt idx="12">
                  <c:v>6291</c:v>
                </c:pt>
                <c:pt idx="13">
                  <c:v>5517</c:v>
                </c:pt>
                <c:pt idx="14">
                  <c:v>8952</c:v>
                </c:pt>
                <c:pt idx="15">
                  <c:v>8189</c:v>
                </c:pt>
                <c:pt idx="16">
                  <c:v>7699</c:v>
                </c:pt>
                <c:pt idx="17">
                  <c:v>5465</c:v>
                </c:pt>
                <c:pt idx="18">
                  <c:v>9139</c:v>
                </c:pt>
                <c:pt idx="19">
                  <c:v>7500</c:v>
                </c:pt>
                <c:pt idx="20">
                  <c:v>7239</c:v>
                </c:pt>
                <c:pt idx="21">
                  <c:v>6503</c:v>
                </c:pt>
                <c:pt idx="22">
                  <c:v>8934</c:v>
                </c:pt>
                <c:pt idx="23">
                  <c:v>7966</c:v>
                </c:pt>
                <c:pt idx="24">
                  <c:v>7574</c:v>
                </c:pt>
                <c:pt idx="25">
                  <c:v>7284</c:v>
                </c:pt>
                <c:pt idx="26">
                  <c:v>14581</c:v>
                </c:pt>
                <c:pt idx="27">
                  <c:v>9445</c:v>
                </c:pt>
                <c:pt idx="28">
                  <c:v>7614</c:v>
                </c:pt>
                <c:pt idx="29">
                  <c:v>6009</c:v>
                </c:pt>
                <c:pt idx="30">
                  <c:v>8328</c:v>
                </c:pt>
                <c:pt idx="31">
                  <c:v>7526</c:v>
                </c:pt>
                <c:pt idx="32">
                  <c:v>8863</c:v>
                </c:pt>
                <c:pt idx="33">
                  <c:v>5920</c:v>
                </c:pt>
                <c:pt idx="34">
                  <c:v>11181</c:v>
                </c:pt>
                <c:pt idx="35">
                  <c:v>9544</c:v>
                </c:pt>
                <c:pt idx="36">
                  <c:v>9154</c:v>
                </c:pt>
                <c:pt idx="37">
                  <c:v>10238</c:v>
                </c:pt>
                <c:pt idx="38">
                  <c:v>13877</c:v>
                </c:pt>
                <c:pt idx="39">
                  <c:v>9978</c:v>
                </c:pt>
                <c:pt idx="40">
                  <c:v>7776</c:v>
                </c:pt>
                <c:pt idx="41">
                  <c:v>5711</c:v>
                </c:pt>
                <c:pt idx="42">
                  <c:v>15359</c:v>
                </c:pt>
                <c:pt idx="43">
                  <c:v>9601</c:v>
                </c:pt>
                <c:pt idx="44">
                  <c:v>6856</c:v>
                </c:pt>
                <c:pt idx="45">
                  <c:v>9323</c:v>
                </c:pt>
                <c:pt idx="46">
                  <c:v>17422</c:v>
                </c:pt>
                <c:pt idx="47">
                  <c:v>8123</c:v>
                </c:pt>
                <c:pt idx="48">
                  <c:v>6823</c:v>
                </c:pt>
                <c:pt idx="49">
                  <c:v>5618</c:v>
                </c:pt>
                <c:pt idx="50">
                  <c:v>16056</c:v>
                </c:pt>
                <c:pt idx="51">
                  <c:v>7652</c:v>
                </c:pt>
                <c:pt idx="52">
                  <c:v>7033</c:v>
                </c:pt>
                <c:pt idx="53">
                  <c:v>6436</c:v>
                </c:pt>
                <c:pt idx="54">
                  <c:v>11805</c:v>
                </c:pt>
                <c:pt idx="55">
                  <c:v>10088</c:v>
                </c:pt>
                <c:pt idx="56">
                  <c:v>7287</c:v>
                </c:pt>
                <c:pt idx="57">
                  <c:v>6172</c:v>
                </c:pt>
                <c:pt idx="58">
                  <c:v>6734</c:v>
                </c:pt>
                <c:pt idx="59">
                  <c:v>8144</c:v>
                </c:pt>
                <c:pt idx="60">
                  <c:v>6106</c:v>
                </c:pt>
                <c:pt idx="61">
                  <c:v>5246</c:v>
                </c:pt>
                <c:pt idx="62">
                  <c:v>9450</c:v>
                </c:pt>
                <c:pt idx="63">
                  <c:v>10233</c:v>
                </c:pt>
                <c:pt idx="64">
                  <c:v>7737</c:v>
                </c:pt>
                <c:pt idx="65">
                  <c:v>5067</c:v>
                </c:pt>
                <c:pt idx="66">
                  <c:v>6417</c:v>
                </c:pt>
                <c:pt idx="67">
                  <c:v>5114</c:v>
                </c:pt>
                <c:pt idx="68">
                  <c:v>6274</c:v>
                </c:pt>
                <c:pt idx="69">
                  <c:v>5831</c:v>
                </c:pt>
                <c:pt idx="70">
                  <c:v>12252</c:v>
                </c:pt>
                <c:pt idx="71">
                  <c:v>7247</c:v>
                </c:pt>
                <c:pt idx="72">
                  <c:v>6194</c:v>
                </c:pt>
                <c:pt idx="73">
                  <c:v>5486</c:v>
                </c:pt>
                <c:pt idx="74">
                  <c:v>13278</c:v>
                </c:pt>
                <c:pt idx="75">
                  <c:v>6227</c:v>
                </c:pt>
                <c:pt idx="76">
                  <c:v>6690</c:v>
                </c:pt>
                <c:pt idx="77">
                  <c:v>5716</c:v>
                </c:pt>
                <c:pt idx="78">
                  <c:v>9089</c:v>
                </c:pt>
                <c:pt idx="79">
                  <c:v>5858</c:v>
                </c:pt>
                <c:pt idx="80">
                  <c:v>5959</c:v>
                </c:pt>
                <c:pt idx="81">
                  <c:v>7524</c:v>
                </c:pt>
                <c:pt idx="82">
                  <c:v>10171</c:v>
                </c:pt>
                <c:pt idx="83">
                  <c:v>8775.7956028314002</c:v>
                </c:pt>
                <c:pt idx="84">
                  <c:v>6822.44890070785</c:v>
                </c:pt>
                <c:pt idx="85">
                  <c:v>4838.55109929215</c:v>
                </c:pt>
                <c:pt idx="86" formatCode="0">
                  <c:v>6828.0536397386386</c:v>
                </c:pt>
                <c:pt idx="87" formatCode="0">
                  <c:v>5621.9463602613596</c:v>
                </c:pt>
                <c:pt idx="88" formatCode="0">
                  <c:v>5520.4451678348678</c:v>
                </c:pt>
                <c:pt idx="89" formatCode="0">
                  <c:v>6388.5548321651322</c:v>
                </c:pt>
                <c:pt idx="90" formatCode="0">
                  <c:v>11492.955434782609</c:v>
                </c:pt>
                <c:pt idx="91" formatCode="0">
                  <c:v>7745.0445652173912</c:v>
                </c:pt>
                <c:pt idx="92" formatCode="0">
                  <c:v>7032</c:v>
                </c:pt>
                <c:pt idx="93" formatCode="0">
                  <c:v>6228</c:v>
                </c:pt>
                <c:pt idx="94" formatCode="0">
                  <c:v>20407</c:v>
                </c:pt>
                <c:pt idx="95" formatCode="0">
                  <c:v>12863</c:v>
                </c:pt>
                <c:pt idx="96" formatCode="0">
                  <c:v>9848</c:v>
                </c:pt>
                <c:pt idx="97" formatCode="0">
                  <c:v>5422.7168724637304</c:v>
                </c:pt>
                <c:pt idx="98" formatCode="0">
                  <c:v>8619.8584362319707</c:v>
                </c:pt>
                <c:pt idx="99" formatCode="0">
                  <c:v>7193.856491304301</c:v>
                </c:pt>
                <c:pt idx="100" formatCode="0">
                  <c:v>6682.5362000000005</c:v>
                </c:pt>
                <c:pt idx="101" formatCode="0">
                  <c:v>5385.3991579709982</c:v>
                </c:pt>
                <c:pt idx="102" formatCode="0">
                  <c:v>9666.7747891530034</c:v>
                </c:pt>
                <c:pt idx="103" formatCode="0">
                  <c:v>6575.4640743699983</c:v>
                </c:pt>
                <c:pt idx="104" formatCode="0">
                  <c:v>7124.2571060979999</c:v>
                </c:pt>
                <c:pt idx="105" formatCode="0">
                  <c:v>5007.3623026510004</c:v>
                </c:pt>
                <c:pt idx="106" formatCode="0">
                  <c:v>8892</c:v>
                </c:pt>
                <c:pt idx="107" formatCode="0">
                  <c:v>6366</c:v>
                </c:pt>
                <c:pt idx="108" formatCode="0">
                  <c:v>6317</c:v>
                </c:pt>
                <c:pt idx="109" formatCode="0">
                  <c:v>5869.5992710140017</c:v>
                </c:pt>
                <c:pt idx="110" formatCode="0">
                  <c:v>10333.380031159912</c:v>
                </c:pt>
                <c:pt idx="111" formatCode="0">
                  <c:v>7362.2217963768126</c:v>
                </c:pt>
                <c:pt idx="112" formatCode="0">
                  <c:v>6179.0660115942028</c:v>
                </c:pt>
                <c:pt idx="113" formatCode="0">
                  <c:v>8628.701004347824</c:v>
                </c:pt>
                <c:pt idx="114" formatCode="0">
                  <c:v>13748.462299275363</c:v>
                </c:pt>
                <c:pt idx="115" formatCode="0">
                  <c:v>7776.9221253623255</c:v>
                </c:pt>
                <c:pt idx="116" formatCode="0">
                  <c:v>7817.2878601449283</c:v>
                </c:pt>
                <c:pt idx="117" formatCode="0">
                  <c:v>6698.4276256020294</c:v>
                </c:pt>
                <c:pt idx="118" formatCode="0">
                  <c:v>9381.5569490356484</c:v>
                </c:pt>
                <c:pt idx="119" formatCode="0">
                  <c:v>8299.8127776884066</c:v>
                </c:pt>
                <c:pt idx="120" formatCode="0">
                  <c:v>8185.2405021739132</c:v>
                </c:pt>
                <c:pt idx="121" formatCode="0">
                  <c:v>6967.5044210144924</c:v>
                </c:pt>
                <c:pt idx="122" formatCode="0">
                  <c:v>11835.432255072465</c:v>
                </c:pt>
                <c:pt idx="123" formatCode="0">
                  <c:v>7240.0729996128648</c:v>
                </c:pt>
                <c:pt idx="124" formatCode="0">
                  <c:v>6900.0468369565224</c:v>
                </c:pt>
                <c:pt idx="125" formatCode="0">
                  <c:v>6398.5711338452893</c:v>
                </c:pt>
                <c:pt idx="126" formatCode="0">
                  <c:v>9773.5265829437976</c:v>
                </c:pt>
                <c:pt idx="127" formatCode="0">
                  <c:v>7886.590696433057</c:v>
                </c:pt>
                <c:pt idx="128" formatCode="0">
                  <c:v>6557.2362137681157</c:v>
                </c:pt>
                <c:pt idx="129" formatCode="0">
                  <c:v>6814.816473074854</c:v>
                </c:pt>
                <c:pt idx="130" formatCode="0">
                  <c:v>7564.7841240265989</c:v>
                </c:pt>
                <c:pt idx="131" formatCode="0">
                  <c:v>10671.830522463766</c:v>
                </c:pt>
                <c:pt idx="132" formatCode="_(* #\ ##0_);_(* \(#\ ##0\);_(* &quot;-&quot;??_);_(@_)">
                  <c:v>8194.415441304347</c:v>
                </c:pt>
                <c:pt idx="133" formatCode="_(* #\ ##0_);_(* \(#\ ##0\);_(* &quot;-&quot;??_);_(@_)">
                  <c:v>9625.8553342463492</c:v>
                </c:pt>
                <c:pt idx="134" formatCode="_(* #\ ##0_);_(* \(#\ ##0\);_(* &quot;-&quot;??_);_(@_)">
                  <c:v>10461.248100536261</c:v>
                </c:pt>
                <c:pt idx="135" formatCode="_(* #\ ##0_);_(* \(#\ ##0\);_(* &quot;-&quot;??_);_(@_)">
                  <c:v>7310.8396253623141</c:v>
                </c:pt>
                <c:pt idx="136" formatCode="_(* #\ ##0_);_(* \(#\ ##0\);_(* &quot;-&quot;??_);_(@_)">
                  <c:v>7505</c:v>
                </c:pt>
                <c:pt idx="137" formatCode="_(* #\ ##0_);_(* \(#\ ##0\);_(* &quot;-&quot;??_);_(@_)">
                  <c:v>5920</c:v>
                </c:pt>
                <c:pt idx="138" formatCode="_(* #\ ##0_);_(* \(#\ ##0\);_(* &quot;-&quot;??_);_(@_)">
                  <c:v>12192</c:v>
                </c:pt>
                <c:pt idx="139" formatCode="_(* #\ ##0_);_(* \(#\ ##0\);_(* &quot;-&quot;??_);_(@_)">
                  <c:v>6891</c:v>
                </c:pt>
                <c:pt idx="140">
                  <c:v>6922</c:v>
                </c:pt>
              </c:numCache>
            </c:numRef>
          </c:val>
          <c:smooth val="0"/>
          <c:extLst>
            <c:ext xmlns:c16="http://schemas.microsoft.com/office/drawing/2014/chart" uri="{C3380CC4-5D6E-409C-BE32-E72D297353CC}">
              <c16:uniqueId val="{00000001-E0D7-4248-80EF-997285299449}"/>
            </c:ext>
          </c:extLst>
        </c:ser>
        <c:dLbls>
          <c:showLegendKey val="0"/>
          <c:showVal val="0"/>
          <c:showCatName val="0"/>
          <c:showSerName val="0"/>
          <c:showPercent val="0"/>
          <c:showBubbleSize val="0"/>
        </c:dLbls>
        <c:upDownBars>
          <c:gapWidth val="150"/>
          <c:upBars/>
          <c:downBars/>
        </c:upDownBars>
        <c:marker val="1"/>
        <c:smooth val="0"/>
        <c:axId val="270716288"/>
        <c:axId val="270714368"/>
      </c:lineChart>
      <c:catAx>
        <c:axId val="270702464"/>
        <c:scaling>
          <c:orientation val="minMax"/>
        </c:scaling>
        <c:delete val="0"/>
        <c:axPos val="b"/>
        <c:majorGridlines>
          <c:spPr>
            <a:ln>
              <a:solidFill>
                <a:srgbClr val="4F81BD">
                  <a:alpha val="25000"/>
                </a:srgbClr>
              </a:solidFill>
            </a:ln>
          </c:spPr>
        </c:majorGridlines>
        <c:numFmt formatCode="General" sourceLinked="1"/>
        <c:majorTickMark val="out"/>
        <c:minorTickMark val="out"/>
        <c:tickLblPos val="nextTo"/>
        <c:txPr>
          <a:bodyPr rot="-3000000" vert="horz"/>
          <a:lstStyle/>
          <a:p>
            <a:pPr>
              <a:defRPr/>
            </a:pPr>
            <a:endParaRPr lang="nb-NO"/>
          </a:p>
        </c:txPr>
        <c:crossAx val="270704000"/>
        <c:crosses val="autoZero"/>
        <c:auto val="1"/>
        <c:lblAlgn val="ctr"/>
        <c:lblOffset val="100"/>
        <c:tickLblSkip val="1"/>
        <c:tickMarkSkip val="4"/>
        <c:noMultiLvlLbl val="0"/>
      </c:catAx>
      <c:valAx>
        <c:axId val="270704000"/>
        <c:scaling>
          <c:orientation val="minMax"/>
        </c:scaling>
        <c:delete val="0"/>
        <c:axPos val="l"/>
        <c:majorGridlines/>
        <c:title>
          <c:tx>
            <c:rich>
              <a:bodyPr rot="-5400000" vert="horz" anchor="ctr" anchorCtr="1"/>
              <a:lstStyle/>
              <a:p>
                <a:pPr>
                  <a:defRPr/>
                </a:pPr>
                <a:r>
                  <a:rPr lang="en-US"/>
                  <a:t>KPI-justert erstatning (millioner kroner)</a:t>
                </a:r>
              </a:p>
            </c:rich>
          </c:tx>
          <c:layout>
            <c:manualLayout>
              <c:xMode val="edge"/>
              <c:yMode val="edge"/>
              <c:x val="1.5657612176468372E-2"/>
              <c:y val="0.13385355900279908"/>
            </c:manualLayout>
          </c:layout>
          <c:overlay val="0"/>
        </c:title>
        <c:numFmt formatCode="#,##0" sourceLinked="0"/>
        <c:majorTickMark val="out"/>
        <c:minorTickMark val="none"/>
        <c:tickLblPos val="nextTo"/>
        <c:crossAx val="270702464"/>
        <c:crosses val="autoZero"/>
        <c:crossBetween val="between"/>
      </c:valAx>
      <c:valAx>
        <c:axId val="270714368"/>
        <c:scaling>
          <c:orientation val="minMax"/>
        </c:scaling>
        <c:delete val="0"/>
        <c:axPos val="r"/>
        <c:title>
          <c:tx>
            <c:rich>
              <a:bodyPr rot="-5400000" vert="horz"/>
              <a:lstStyle/>
              <a:p>
                <a:pPr>
                  <a:defRPr/>
                </a:pPr>
                <a:r>
                  <a:rPr lang="en-US"/>
                  <a:t>Antall meldte brannskader</a:t>
                </a:r>
              </a:p>
            </c:rich>
          </c:tx>
          <c:overlay val="0"/>
        </c:title>
        <c:numFmt formatCode="#,##0" sourceLinked="1"/>
        <c:majorTickMark val="out"/>
        <c:minorTickMark val="none"/>
        <c:tickLblPos val="nextTo"/>
        <c:crossAx val="270716288"/>
        <c:crosses val="max"/>
        <c:crossBetween val="between"/>
      </c:valAx>
      <c:catAx>
        <c:axId val="270716288"/>
        <c:scaling>
          <c:orientation val="minMax"/>
        </c:scaling>
        <c:delete val="1"/>
        <c:axPos val="b"/>
        <c:numFmt formatCode="General" sourceLinked="1"/>
        <c:majorTickMark val="out"/>
        <c:minorTickMark val="none"/>
        <c:tickLblPos val="none"/>
        <c:crossAx val="270714368"/>
        <c:crosses val="autoZero"/>
        <c:auto val="0"/>
        <c:lblAlgn val="ctr"/>
        <c:lblOffset val="100"/>
        <c:noMultiLvlLbl val="0"/>
      </c:catAx>
    </c:plotArea>
    <c:legend>
      <c:legendPos val="r"/>
      <c:layout>
        <c:manualLayout>
          <c:xMode val="edge"/>
          <c:yMode val="edge"/>
          <c:x val="0.17254097125419141"/>
          <c:y val="8.1243623616814989E-2"/>
          <c:w val="0.2317650782352112"/>
          <c:h val="0.10148035666735998"/>
        </c:manualLayout>
      </c:layou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304067</xdr:colOff>
      <xdr:row>18</xdr:row>
      <xdr:rowOff>58370</xdr:rowOff>
    </xdr:from>
    <xdr:to>
      <xdr:col>4</xdr:col>
      <xdr:colOff>424734</xdr:colOff>
      <xdr:row>21</xdr:row>
      <xdr:rowOff>20270</xdr:rowOff>
    </xdr:to>
    <xdr:sp macro="" textlink="">
      <xdr:nvSpPr>
        <xdr:cNvPr id="8" name="Text Box 6">
          <a:extLst>
            <a:ext uri="{FF2B5EF4-FFF2-40B4-BE49-F238E27FC236}">
              <a16:creationId xmlns:a16="http://schemas.microsoft.com/office/drawing/2014/main" id="{6C236B56-5657-47C8-989C-E211142F3FE7}"/>
            </a:ext>
          </a:extLst>
        </xdr:cNvPr>
        <xdr:cNvSpPr txBox="1"/>
      </xdr:nvSpPr>
      <xdr:spPr>
        <a:xfrm>
          <a:off x="304067" y="4281120"/>
          <a:ext cx="3486167" cy="517525"/>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1. KVARTAL 2026 </a:t>
          </a:r>
          <a:r>
            <a:rPr lang="nb-NO" sz="1000">
              <a:effectLst/>
              <a:latin typeface="Arial"/>
              <a:ea typeface="ＭＳ 明朝"/>
              <a:cs typeface="Times New Roman"/>
            </a:rPr>
            <a:t>(</a:t>
          </a:r>
          <a:r>
            <a:rPr lang="nb-NO" sz="1000">
              <a:solidFill>
                <a:schemeClr val="dk1"/>
              </a:solidFill>
              <a:effectLst/>
              <a:latin typeface="Arial"/>
              <a:ea typeface="ＭＳ 明朝"/>
              <a:cs typeface="Times New Roman"/>
            </a:rPr>
            <a:t>02. juni 2026</a:t>
          </a:r>
          <a:r>
            <a:rPr lang="nb-NO" sz="1000">
              <a:effectLst/>
              <a:latin typeface="Arial"/>
              <a:ea typeface="ＭＳ 明朝"/>
              <a:cs typeface="Times New Roman"/>
            </a:rPr>
            <a:t>)</a:t>
          </a:r>
          <a:endParaRPr lang="nb-NO" sz="1200">
            <a:effectLst/>
            <a:ea typeface="ＭＳ 明朝"/>
            <a:cs typeface="Times New Roman"/>
          </a:endParaRPr>
        </a:p>
      </xdr:txBody>
    </xdr:sp>
    <xdr:clientData/>
  </xdr:twoCellAnchor>
  <xdr:twoCellAnchor>
    <xdr:from>
      <xdr:col>0</xdr:col>
      <xdr:colOff>295275</xdr:colOff>
      <xdr:row>13</xdr:row>
      <xdr:rowOff>117231</xdr:rowOff>
    </xdr:from>
    <xdr:to>
      <xdr:col>7</xdr:col>
      <xdr:colOff>95250</xdr:colOff>
      <xdr:row>17</xdr:row>
      <xdr:rowOff>101600</xdr:rowOff>
    </xdr:to>
    <xdr:sp macro="" textlink="">
      <xdr:nvSpPr>
        <xdr:cNvPr id="9" name="Text Box 4">
          <a:extLst>
            <a:ext uri="{FF2B5EF4-FFF2-40B4-BE49-F238E27FC236}">
              <a16:creationId xmlns:a16="http://schemas.microsoft.com/office/drawing/2014/main" id="{5856D3A2-E0F3-4AD9-A702-028D7F73472C}"/>
            </a:ext>
          </a:extLst>
        </xdr:cNvPr>
        <xdr:cNvSpPr txBox="1"/>
      </xdr:nvSpPr>
      <xdr:spPr>
        <a:xfrm>
          <a:off x="295275" y="2755656"/>
          <a:ext cx="5638800" cy="1165469"/>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2800" b="1">
              <a:solidFill>
                <a:srgbClr val="005670"/>
              </a:solidFill>
              <a:effectLst/>
              <a:latin typeface="Arial"/>
              <a:ea typeface="ＭＳ 明朝"/>
              <a:cs typeface="Times New Roman"/>
            </a:rPr>
            <a:t>SKADESTATISTIKK	</a:t>
          </a:r>
          <a:endParaRPr lang="nb-NO" sz="1200">
            <a:solidFill>
              <a:srgbClr val="005670"/>
            </a:solidFill>
            <a:effectLst/>
            <a:ea typeface="ＭＳ 明朝"/>
            <a:cs typeface="Times New Roman"/>
          </a:endParaRPr>
        </a:p>
        <a:p>
          <a:pPr>
            <a:lnSpc>
              <a:spcPct val="120000"/>
            </a:lnSpc>
            <a:spcAft>
              <a:spcPts val="0"/>
            </a:spcAft>
          </a:pPr>
          <a:r>
            <a:rPr lang="en-GB" sz="2600">
              <a:solidFill>
                <a:srgbClr val="005670"/>
              </a:solidFill>
              <a:effectLst/>
              <a:latin typeface="Arial"/>
              <a:ea typeface="ＭＳ 明朝"/>
              <a:cs typeface="MinionPro-Regular"/>
            </a:rPr>
            <a:t>landbasert</a:t>
          </a:r>
          <a:r>
            <a:rPr lang="en-GB" sz="2600" baseline="0">
              <a:solidFill>
                <a:srgbClr val="005670"/>
              </a:solidFill>
              <a:effectLst/>
              <a:latin typeface="Arial"/>
              <a:ea typeface="ＭＳ 明朝"/>
              <a:cs typeface="MinionPro-Regular"/>
            </a:rPr>
            <a:t> skadeforsikring</a:t>
          </a:r>
          <a:r>
            <a:rPr lang="nb-NO" sz="1200">
              <a:effectLst/>
              <a:ea typeface="ＭＳ 明朝"/>
              <a:cs typeface="Times New Roman"/>
            </a:rPr>
            <a:t> </a:t>
          </a:r>
        </a:p>
      </xdr:txBody>
    </xdr:sp>
    <xdr:clientData/>
  </xdr:twoCellAnchor>
  <xdr:twoCellAnchor>
    <xdr:from>
      <xdr:col>0</xdr:col>
      <xdr:colOff>292100</xdr:colOff>
      <xdr:row>16</xdr:row>
      <xdr:rowOff>410309</xdr:rowOff>
    </xdr:from>
    <xdr:to>
      <xdr:col>6</xdr:col>
      <xdr:colOff>695353</xdr:colOff>
      <xdr:row>18</xdr:row>
      <xdr:rowOff>43961</xdr:rowOff>
    </xdr:to>
    <xdr:sp macro="" textlink="">
      <xdr:nvSpPr>
        <xdr:cNvPr id="10" name="Text Box 5">
          <a:extLst>
            <a:ext uri="{FF2B5EF4-FFF2-40B4-BE49-F238E27FC236}">
              <a16:creationId xmlns:a16="http://schemas.microsoft.com/office/drawing/2014/main" id="{C65A56DF-C6C9-4ACE-81B2-6DDF0692C997}"/>
            </a:ext>
          </a:extLst>
        </xdr:cNvPr>
        <xdr:cNvSpPr txBox="1"/>
      </xdr:nvSpPr>
      <xdr:spPr>
        <a:xfrm>
          <a:off x="292100" y="3810734"/>
          <a:ext cx="5480078" cy="471852"/>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20000"/>
            </a:lnSpc>
            <a:spcAft>
              <a:spcPts val="0"/>
            </a:spcAft>
          </a:pPr>
          <a:r>
            <a:rPr lang="en-GB" sz="1400">
              <a:solidFill>
                <a:srgbClr val="000000"/>
              </a:solidFill>
              <a:effectLst/>
              <a:latin typeface="Arial"/>
              <a:ea typeface="ＭＳ 明朝"/>
              <a:cs typeface="MinionPro-Regular"/>
            </a:rPr>
            <a:t>Statistikk over antall meldte skader og totalt anslåtte erstatninger</a:t>
          </a:r>
        </a:p>
        <a:p>
          <a:pPr>
            <a:spcAft>
              <a:spcPts val="0"/>
            </a:spcAft>
          </a:pPr>
          <a:r>
            <a:rPr lang="nb-NO" sz="1200">
              <a:effectLst/>
              <a:ea typeface="ＭＳ 明朝"/>
              <a:cs typeface="Times New Roman"/>
            </a:rPr>
            <a:t> </a:t>
          </a:r>
        </a:p>
      </xdr:txBody>
    </xdr:sp>
    <xdr:clientData/>
  </xdr:twoCellAnchor>
  <xdr:twoCellAnchor editAs="oneCell">
    <xdr:from>
      <xdr:col>0</xdr:col>
      <xdr:colOff>281354</xdr:colOff>
      <xdr:row>5</xdr:row>
      <xdr:rowOff>14653</xdr:rowOff>
    </xdr:from>
    <xdr:to>
      <xdr:col>9</xdr:col>
      <xdr:colOff>591039</xdr:colOff>
      <xdr:row>12</xdr:row>
      <xdr:rowOff>222182</xdr:rowOff>
    </xdr:to>
    <xdr:pic>
      <xdr:nvPicPr>
        <xdr:cNvPr id="11" name="Bilde 7">
          <a:extLst>
            <a:ext uri="{FF2B5EF4-FFF2-40B4-BE49-F238E27FC236}">
              <a16:creationId xmlns:a16="http://schemas.microsoft.com/office/drawing/2014/main" id="{35ED7BBA-853A-4832-B8DE-6AEB5DF8F3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354" y="824278"/>
          <a:ext cx="7805860" cy="1788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109</xdr:row>
      <xdr:rowOff>7908</xdr:rowOff>
    </xdr:from>
    <xdr:to>
      <xdr:col>7</xdr:col>
      <xdr:colOff>342900</xdr:colOff>
      <xdr:row>120</xdr:row>
      <xdr:rowOff>95249</xdr:rowOff>
    </xdr:to>
    <xdr:sp macro="" textlink="">
      <xdr:nvSpPr>
        <xdr:cNvPr id="3310" name="Text Box 4">
          <a:extLst>
            <a:ext uri="{FF2B5EF4-FFF2-40B4-BE49-F238E27FC236}">
              <a16:creationId xmlns:a16="http://schemas.microsoft.com/office/drawing/2014/main" id="{00000000-0008-0000-0100-0000EE0C0000}"/>
            </a:ext>
          </a:extLst>
        </xdr:cNvPr>
        <xdr:cNvSpPr txBox="1">
          <a:spLocks noChangeArrowheads="1"/>
        </xdr:cNvSpPr>
      </xdr:nvSpPr>
      <xdr:spPr bwMode="auto">
        <a:xfrm>
          <a:off x="3552825" y="17657733"/>
          <a:ext cx="2524125" cy="1868516"/>
        </a:xfrm>
        <a:prstGeom prst="rect">
          <a:avLst/>
        </a:prstGeom>
        <a:solidFill>
          <a:srgbClr val="FFFFFF"/>
        </a:solidFill>
        <a:ln w="9525">
          <a:noFill/>
          <a:miter lim="800000"/>
          <a:headEnd/>
          <a:tailEnd/>
        </a:ln>
      </xdr:spPr>
      <xdr:txBody>
        <a:bodyPr/>
        <a:lstStyle/>
        <a:p>
          <a:endParaRPr lang="nb-NO" sz="1100" b="0" i="0" baseline="0">
            <a:solidFill>
              <a:schemeClr val="dk1"/>
            </a:solidFill>
            <a:latin typeface="Times New Roman" pitchFamily="18" charset="0"/>
            <a:ea typeface="+mn-ea"/>
            <a:cs typeface="Times New Roman"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87951</xdr:colOff>
      <xdr:row>4</xdr:row>
      <xdr:rowOff>60960</xdr:rowOff>
    </xdr:from>
    <xdr:to>
      <xdr:col>1</xdr:col>
      <xdr:colOff>590550</xdr:colOff>
      <xdr:row>44</xdr:row>
      <xdr:rowOff>161913</xdr:rowOff>
    </xdr:to>
    <xdr:sp macro="" textlink="">
      <xdr:nvSpPr>
        <xdr:cNvPr id="5121" name="Text Box 1">
          <a:extLst>
            <a:ext uri="{FF2B5EF4-FFF2-40B4-BE49-F238E27FC236}">
              <a16:creationId xmlns:a16="http://schemas.microsoft.com/office/drawing/2014/main" id="{00000000-0008-0000-0200-000001140000}"/>
            </a:ext>
          </a:extLst>
        </xdr:cNvPr>
        <xdr:cNvSpPr txBox="1">
          <a:spLocks noChangeArrowheads="1"/>
        </xdr:cNvSpPr>
      </xdr:nvSpPr>
      <xdr:spPr bwMode="auto">
        <a:xfrm>
          <a:off x="87951" y="609600"/>
          <a:ext cx="2361879" cy="8025753"/>
        </a:xfrm>
        <a:prstGeom prst="rect">
          <a:avLst/>
        </a:prstGeom>
        <a:solidFill>
          <a:srgbClr val="FFFFFF"/>
        </a:solidFill>
        <a:ln w="9525">
          <a:noFill/>
          <a:miter lim="800000"/>
          <a:headEnd/>
          <a:tailEnd/>
        </a:ln>
      </xdr:spPr>
      <xdr:txBody>
        <a:bodyPr vertOverflow="clip" wrap="square" lIns="27432" tIns="27432" rIns="0" bIns="0" anchor="t" upright="1"/>
        <a:lstStyle/>
        <a:p>
          <a:pPr rtl="0"/>
          <a:r>
            <a:rPr lang="en-US" sz="1100" b="1" i="0">
              <a:latin typeface="Times New Roman" pitchFamily="18" charset="0"/>
              <a:ea typeface="+mn-ea"/>
              <a:cs typeface="Times New Roman" pitchFamily="18" charset="0"/>
            </a:rPr>
            <a:t>Brann-kombinert privatmarkedet</a:t>
          </a:r>
        </a:p>
        <a:p>
          <a:pPr rtl="0"/>
          <a:endParaRPr lang="en-US" sz="1100" b="1" i="0">
            <a:latin typeface="Times New Roman" pitchFamily="18" charset="0"/>
            <a:ea typeface="+mn-ea"/>
            <a:cs typeface="Times New Roman"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100" b="1" i="0">
              <a:latin typeface="Times New Roman" pitchFamily="18" charset="0"/>
              <a:ea typeface="+mn-ea"/>
              <a:cs typeface="Times New Roman" pitchFamily="18" charset="0"/>
            </a:rPr>
            <a:t>Brann-kombinert næring</a:t>
          </a:r>
        </a:p>
        <a:p>
          <a:pPr rtl="0"/>
          <a:endParaRPr lang="nb-NO" sz="1100" b="0" i="0" baseline="0">
            <a:latin typeface="Times New Roman" pitchFamily="18" charset="0"/>
            <a:ea typeface="+mn-ea"/>
            <a:cs typeface="Times New Roman" pitchFamily="18" charset="0"/>
          </a:endParaRPr>
        </a:p>
      </xdr:txBody>
    </xdr:sp>
    <xdr:clientData/>
  </xdr:twoCellAnchor>
  <xdr:twoCellAnchor>
    <xdr:from>
      <xdr:col>2</xdr:col>
      <xdr:colOff>400050</xdr:colOff>
      <xdr:row>4</xdr:row>
      <xdr:rowOff>59851</xdr:rowOff>
    </xdr:from>
    <xdr:to>
      <xdr:col>6</xdr:col>
      <xdr:colOff>395305</xdr:colOff>
      <xdr:row>44</xdr:row>
      <xdr:rowOff>161925</xdr:rowOff>
    </xdr:to>
    <xdr:sp macro="" textlink="">
      <xdr:nvSpPr>
        <xdr:cNvPr id="5122" name="Text Box 2">
          <a:extLst>
            <a:ext uri="{FF2B5EF4-FFF2-40B4-BE49-F238E27FC236}">
              <a16:creationId xmlns:a16="http://schemas.microsoft.com/office/drawing/2014/main" id="{00000000-0008-0000-0200-000002140000}"/>
            </a:ext>
          </a:extLst>
        </xdr:cNvPr>
        <xdr:cNvSpPr txBox="1">
          <a:spLocks noChangeArrowheads="1"/>
        </xdr:cNvSpPr>
      </xdr:nvSpPr>
      <xdr:spPr bwMode="auto">
        <a:xfrm>
          <a:off x="2990850" y="608491"/>
          <a:ext cx="2525095" cy="8026874"/>
        </a:xfrm>
        <a:prstGeom prst="rect">
          <a:avLst/>
        </a:prstGeom>
        <a:solidFill>
          <a:srgbClr val="FFFFFF"/>
        </a:solidFill>
        <a:ln w="9525">
          <a:noFill/>
          <a:miter lim="800000"/>
          <a:headEnd/>
          <a:tailEnd/>
        </a:ln>
      </xdr:spPr>
      <xdr:txBody>
        <a:bodyPr vertOverflow="clip" wrap="square" lIns="27432" tIns="27432" rIns="0" bIns="0" anchor="t" upright="1"/>
        <a:lstStyle/>
        <a:p>
          <a:pPr rtl="0"/>
          <a:r>
            <a:rPr lang="en-US" sz="1100" b="1" i="0">
              <a:latin typeface="Times New Roman" pitchFamily="18" charset="0"/>
              <a:ea typeface="+mn-ea"/>
              <a:cs typeface="Times New Roman" pitchFamily="18" charset="0"/>
            </a:rPr>
            <a:t>Reiseforsikring</a:t>
          </a:r>
        </a:p>
        <a:p>
          <a:pPr rtl="0"/>
          <a:endParaRPr lang="nb-NO" sz="1100">
            <a:latin typeface="Times New Roman" pitchFamily="18" charset="0"/>
            <a:ea typeface="+mn-ea"/>
            <a:cs typeface="Times New Roman" pitchFamily="18" charset="0"/>
          </a:endParaRPr>
        </a:p>
        <a:p>
          <a:pPr rtl="0"/>
          <a:r>
            <a:rPr lang="nb-NO" sz="1100" b="1" i="0" baseline="0">
              <a:latin typeface="Times New Roman" pitchFamily="18" charset="0"/>
              <a:ea typeface="+mn-ea"/>
              <a:cs typeface="Times New Roman" pitchFamily="18" charset="0"/>
            </a:rPr>
            <a:t>Fritidsbåtforsikring</a:t>
          </a:r>
        </a:p>
        <a:p>
          <a:pPr rtl="0"/>
          <a:endParaRPr lang="nb-NO" sz="1100" b="1" i="0" baseline="0">
            <a:latin typeface="Times New Roman" pitchFamily="18" charset="0"/>
            <a:ea typeface="+mn-ea"/>
            <a:cs typeface="Times New Roman" pitchFamily="18" charset="0"/>
          </a:endParaRPr>
        </a:p>
        <a:p>
          <a:pPr rtl="0"/>
          <a:r>
            <a:rPr lang="nb-NO" sz="1100" b="1" i="0" baseline="0">
              <a:latin typeface="Times New Roman" pitchFamily="18" charset="0"/>
              <a:ea typeface="+mn-ea"/>
              <a:cs typeface="Times New Roman" pitchFamily="18" charset="0"/>
            </a:rPr>
            <a:t>Personproduktene</a:t>
          </a:r>
        </a:p>
      </xdr:txBody>
    </xdr:sp>
    <xdr:clientData/>
  </xdr:twoCellAnchor>
  <xdr:twoCellAnchor>
    <xdr:from>
      <xdr:col>0</xdr:col>
      <xdr:colOff>65091</xdr:colOff>
      <xdr:row>3</xdr:row>
      <xdr:rowOff>76200</xdr:rowOff>
    </xdr:from>
    <xdr:to>
      <xdr:col>6</xdr:col>
      <xdr:colOff>472440</xdr:colOff>
      <xdr:row>46</xdr:row>
      <xdr:rowOff>152400</xdr:rowOff>
    </xdr:to>
    <xdr:sp macro="" textlink="">
      <xdr:nvSpPr>
        <xdr:cNvPr id="2" name="Text Box 1">
          <a:extLst>
            <a:ext uri="{FF2B5EF4-FFF2-40B4-BE49-F238E27FC236}">
              <a16:creationId xmlns:a16="http://schemas.microsoft.com/office/drawing/2014/main" id="{1EAFC8D4-E570-4B54-8F84-9E7ACA23FF8B}"/>
            </a:ext>
          </a:extLst>
        </xdr:cNvPr>
        <xdr:cNvSpPr txBox="1">
          <a:spLocks noChangeArrowheads="1"/>
        </xdr:cNvSpPr>
      </xdr:nvSpPr>
      <xdr:spPr bwMode="auto">
        <a:xfrm>
          <a:off x="65091" y="426720"/>
          <a:ext cx="5474649" cy="8595360"/>
        </a:xfrm>
        <a:prstGeom prst="rect">
          <a:avLst/>
        </a:prstGeom>
        <a:solidFill>
          <a:srgbClr val="FFFFFF"/>
        </a:solidFill>
        <a:ln w="9525">
          <a:noFill/>
          <a:miter lim="800000"/>
          <a:headEnd/>
          <a:tailEnd/>
        </a:ln>
      </xdr:spPr>
      <xdr:txBody>
        <a:bodyPr vertOverflow="clip" wrap="square" lIns="27432" tIns="27432" rIns="0" bIns="0" anchor="t" upright="1"/>
        <a:lstStyle/>
        <a:p>
          <a:r>
            <a:rPr lang="nb-NO" sz="900" b="1">
              <a:effectLst/>
              <a:latin typeface="+mn-lt"/>
              <a:ea typeface="+mn-ea"/>
              <a:cs typeface="+mn-cs"/>
            </a:rPr>
            <a:t>HOVEDTREKK 1.kvartal 2026 – store brannskader på boliger og hytte. Gunstige kjøreforhold, men dyrere reparasjoner.</a:t>
          </a:r>
        </a:p>
        <a:p>
          <a:endParaRPr lang="nb-NO" sz="600">
            <a:effectLst/>
          </a:endParaRPr>
        </a:p>
        <a:p>
          <a:r>
            <a:rPr lang="nb-NO" sz="900" b="1">
              <a:effectLst/>
              <a:latin typeface="+mn-lt"/>
              <a:ea typeface="+mn-ea"/>
              <a:cs typeface="+mn-cs"/>
            </a:rPr>
            <a:t>Mindre reiseaktivitet</a:t>
          </a:r>
          <a:endParaRPr lang="nb-NO" sz="600">
            <a:effectLst/>
          </a:endParaRPr>
        </a:p>
        <a:p>
          <a:r>
            <a:rPr lang="nb-NO" sz="900">
              <a:effectLst/>
              <a:latin typeface="+mn-lt"/>
              <a:ea typeface="+mn-ea"/>
              <a:cs typeface="+mn-cs"/>
            </a:rPr>
            <a:t>Erstatningene totalt for landbasert forsikring for 1.kvartal i år er på 19,7 mrd.kr, en økning på 11% fra 1.kv. i fjor, mens antall meldte skader økte med bare 3%. Motorvogn har omtrent like mange skader som i fjor, mens erstatningene fortsetter å øke; hittil i år er det erstatninger for 7,3 mrd.kr, en økning på 7% fra i fjor. Totale erstatninger på hjem, villa og hytte økte med 15% fra i fjor som hovedsakelig skyldes økte brannskader. Hittil i år har det vært noe mindre reiseaktivitet og dermed reduserte erstatninger på reiseforsikring. Mens personskadene har økt mye, slik som yrkesskade, barneforsikring og ulykke. Samlet er det personskadeerstatninger for nesten 4,3 mrd.kr mot 3,2 mrd. i fjor.     </a:t>
          </a:r>
          <a:endParaRPr lang="nb-NO" sz="600">
            <a:effectLst/>
          </a:endParaRPr>
        </a:p>
        <a:p>
          <a:r>
            <a:rPr lang="nb-NO" sz="900">
              <a:effectLst/>
              <a:latin typeface="+mn-lt"/>
              <a:ea typeface="+mn-ea"/>
              <a:cs typeface="+mn-cs"/>
            </a:rPr>
            <a:t> </a:t>
          </a:r>
          <a:endParaRPr lang="nb-NO" sz="600">
            <a:effectLst/>
          </a:endParaRPr>
        </a:p>
        <a:p>
          <a:r>
            <a:rPr lang="nb-NO" sz="900" b="1">
              <a:effectLst/>
              <a:latin typeface="+mn-lt"/>
              <a:ea typeface="+mn-ea"/>
              <a:cs typeface="+mn-cs"/>
            </a:rPr>
            <a:t>Motor – økte skadekostnader og like mange skader, noe flere kollisjoner og færre kaskoskader</a:t>
          </a:r>
          <a:endParaRPr lang="nb-NO" sz="600">
            <a:effectLst/>
          </a:endParaRPr>
        </a:p>
        <a:p>
          <a:r>
            <a:rPr lang="nb-NO" sz="900">
              <a:effectLst/>
              <a:latin typeface="+mn-lt"/>
              <a:ea typeface="+mn-ea"/>
              <a:cs typeface="+mn-cs"/>
            </a:rPr>
            <a:t>På motorkjøretøy samlet er antall meldte skader omtrent like mange som 1.kv. i fjor; økningen totalt er på 0,3%, mens person-/varebil økte med 1,5%. Person-/varebil har erstatninger på 6,2 mrd. hittil i år mot 5,6 mrd. i fjor. Kjøreforholdene både i fjor og år har vært relativt gunstige; sammenlignet med ett av de verste, 1.kv.2024, hvor det totalt var 323.000 skader, sammenlignet med rundt 300.000 skader i fjor og i år. Totale erstatninger hittil i år er på 7,3 mrd.kr som er en økning på 7% fra i fjor. Erstatning etter kollisjoner – ansvar person og ting – økte med 14% fra i fjor, mens kasko-erstatning økte med 5%. Antall kaskoskader er redusert med 3%. Kasko utgjør nesten 50% av totale erstatninger hittil i år, mens ansvar utgjør 26%. Glasskader har gjennom flere år hatt en stor økning, men nå for 1.kv. i år er det en svak reduksjon i erstatning, og en noe større reduksjon i antall. Dette kan skyldes bedre kjøreforhold enn i fjor med mindre steinsprutskader.</a:t>
          </a:r>
          <a:endParaRPr lang="nb-NO" sz="600">
            <a:effectLst/>
          </a:endParaRPr>
        </a:p>
        <a:p>
          <a:r>
            <a:rPr lang="nb-NO" sz="900">
              <a:effectLst/>
              <a:latin typeface="+mn-lt"/>
              <a:ea typeface="+mn-ea"/>
              <a:cs typeface="+mn-cs"/>
            </a:rPr>
            <a:t> </a:t>
          </a:r>
          <a:endParaRPr lang="nb-NO" sz="600">
            <a:effectLst/>
          </a:endParaRPr>
        </a:p>
        <a:p>
          <a:r>
            <a:rPr lang="nb-NO" sz="900" b="1">
              <a:effectLst/>
              <a:latin typeface="+mn-lt"/>
              <a:ea typeface="+mn-ea"/>
              <a:cs typeface="+mn-cs"/>
            </a:rPr>
            <a:t>Hus, hjem, hytte – storbranner og mer vannskader og dyrere tyveriskader</a:t>
          </a:r>
          <a:endParaRPr lang="nb-NO" sz="600">
            <a:effectLst/>
          </a:endParaRPr>
        </a:p>
        <a:p>
          <a:r>
            <a:rPr lang="nb-NO" sz="900">
              <a:effectLst/>
              <a:latin typeface="+mn-lt"/>
              <a:ea typeface="+mn-ea"/>
              <a:cs typeface="+mn-cs"/>
            </a:rPr>
            <a:t>Erstatninger på private bygninger og innbo 1.kv.2026 er på 3,7 mrd.kr – en økning på 15% fra tilsvarende periode i fjor. I all hovedsak skyldes dette økte brannskader og noe mer erstatning etter vannskader. Sammenlignet med 1.kv.2024, hvor det var svært kaldt med vannskader for nesten 1,8 mrd.kr, er årets vannskader mer normale med 1,4 mrd.kr mot fjorårets 1,2 mrd. Innbrudd og tyveri utgjør en liten andel av de totale erstatningene, men snittbeløpet har økt fra 17.400 i 1.kv.2025 til 21.100 kr nå, noe som kan tyde på mer målrettede innbrudd og tyveri.</a:t>
          </a:r>
          <a:endParaRPr lang="nb-NO" sz="600">
            <a:effectLst/>
          </a:endParaRPr>
        </a:p>
        <a:p>
          <a:r>
            <a:rPr lang="nb-NO" sz="900">
              <a:effectLst/>
              <a:latin typeface="+mn-lt"/>
              <a:ea typeface="+mn-ea"/>
              <a:cs typeface="+mn-cs"/>
            </a:rPr>
            <a:t> </a:t>
          </a:r>
          <a:endParaRPr lang="nb-NO" sz="600">
            <a:effectLst/>
          </a:endParaRPr>
        </a:p>
        <a:p>
          <a:r>
            <a:rPr lang="nb-NO" sz="900" b="1">
              <a:effectLst/>
              <a:latin typeface="+mn-lt"/>
              <a:ea typeface="+mn-ea"/>
              <a:cs typeface="+mn-cs"/>
            </a:rPr>
            <a:t>Næringsbygg og landbruk – mindre branner og mer skader etter vann og innbrudd/tyveri/ran</a:t>
          </a:r>
          <a:endParaRPr lang="nb-NO" sz="600">
            <a:effectLst/>
          </a:endParaRPr>
        </a:p>
        <a:p>
          <a:r>
            <a:rPr lang="nb-NO" sz="900">
              <a:effectLst/>
              <a:latin typeface="+mn-lt"/>
              <a:ea typeface="+mn-ea"/>
              <a:cs typeface="+mn-cs"/>
            </a:rPr>
            <a:t>I 1.kv. i fjor var det en del større branner på landbruk og annen næringsvirksomhet med erstatning for nesten 1,2 mrd.kr, mens det hittil i år er brannerstatning for 850 mill.kr. 1.kv.2024 var svært kaldt som medførte mye vannskader etter frost og ble på hele 1,1 mrd.kr, mot 656 mill.kr i fjor og hittil i år på 835 mill.kr. I næringsforsikring er det ofte høye egenandeler, slik at ikke alle skader meldes til forsikringsselskapet. Hittil i år har det vært en stor økning av innbrudd/tyveri/ran, fra 63 mill.kr i fjor til nå 92 mill.kr. I gjennomsnitt ble det erstattet slike skader for drøye 109.000 kr hittil i år, mot 73.000 i fjor.    </a:t>
          </a:r>
          <a:endParaRPr lang="nb-NO" sz="600">
            <a:effectLst/>
          </a:endParaRPr>
        </a:p>
        <a:p>
          <a:r>
            <a:rPr lang="nb-NO" sz="900">
              <a:effectLst/>
              <a:latin typeface="+mn-lt"/>
              <a:ea typeface="+mn-ea"/>
              <a:cs typeface="+mn-cs"/>
            </a:rPr>
            <a:t> </a:t>
          </a:r>
          <a:endParaRPr lang="nb-NO" sz="600">
            <a:effectLst/>
          </a:endParaRPr>
        </a:p>
        <a:p>
          <a:r>
            <a:rPr lang="nb-NO" sz="900" b="1">
              <a:effectLst/>
              <a:latin typeface="+mn-lt"/>
              <a:ea typeface="+mn-ea"/>
              <a:cs typeface="+mn-cs"/>
            </a:rPr>
            <a:t>Reise – mindre reiseerstatning og flere avbestillinger </a:t>
          </a:r>
          <a:endParaRPr lang="nb-NO" sz="600">
            <a:effectLst/>
          </a:endParaRPr>
        </a:p>
        <a:p>
          <a:r>
            <a:rPr lang="nb-NO" sz="900">
              <a:effectLst/>
              <a:latin typeface="+mn-lt"/>
              <a:ea typeface="+mn-ea"/>
              <a:cs typeface="+mn-cs"/>
            </a:rPr>
            <a:t>Antall meldte reiseskader hittil i år økte med 4% fra 1.kv.2025, og hvor det er avbestilling som økte mest. Antakelig er det en urolig verden som kan ha medvirket til mindre reiseaktivitet. Hittil i år er det erstatning for 882,5 mill.kr mot nesten 1,1 mrd.kr i fjor. I fjor var erstatning på ulykke og reisesykdom samlet på 747 mill.kr mot hittil i år på 473 mill.kr. Erstatning etter avbestilling og annet har økt med nesten 30% fra i fjor.     </a:t>
          </a:r>
          <a:endParaRPr lang="nb-NO" sz="600">
            <a:effectLst/>
          </a:endParaRPr>
        </a:p>
        <a:p>
          <a:r>
            <a:rPr lang="nb-NO" sz="900">
              <a:effectLst/>
              <a:latin typeface="+mn-lt"/>
              <a:ea typeface="+mn-ea"/>
              <a:cs typeface="+mn-cs"/>
            </a:rPr>
            <a:t> </a:t>
          </a:r>
          <a:endParaRPr lang="nb-NO" sz="600">
            <a:effectLst/>
          </a:endParaRPr>
        </a:p>
        <a:p>
          <a:r>
            <a:rPr lang="nb-NO" sz="900">
              <a:effectLst/>
              <a:latin typeface="+mn-lt"/>
              <a:ea typeface="+mn-ea"/>
              <a:cs typeface="+mn-cs"/>
            </a:rPr>
            <a:t> </a:t>
          </a:r>
          <a:endParaRPr lang="nb-NO" sz="600">
            <a:effectLst/>
          </a:endParaRPr>
        </a:p>
        <a:p>
          <a:r>
            <a:rPr lang="nb-NO" sz="900" b="1">
              <a:effectLst/>
              <a:latin typeface="+mn-lt"/>
              <a:ea typeface="+mn-ea"/>
              <a:cs typeface="+mn-cs"/>
            </a:rPr>
            <a:t>Behandlingsforsikring – igjen økende bruk</a:t>
          </a:r>
          <a:endParaRPr lang="nb-NO" sz="600">
            <a:effectLst/>
          </a:endParaRPr>
        </a:p>
        <a:p>
          <a:r>
            <a:rPr lang="nb-NO" sz="900" i="1">
              <a:effectLst/>
              <a:latin typeface="+mn-lt"/>
              <a:ea typeface="+mn-ea"/>
              <a:cs typeface="+mn-cs"/>
            </a:rPr>
            <a:t>NB! Tellemåten for antall meldte saker/bruk, er endret for ett av selskapene. Dette er gjort tilbake i tid også Antall bruk telles som antall behandlinger per personer.</a:t>
          </a:r>
          <a:endParaRPr lang="nb-NO" sz="600">
            <a:effectLst/>
          </a:endParaRPr>
        </a:p>
        <a:p>
          <a:r>
            <a:rPr lang="nb-NO" sz="900">
              <a:effectLst/>
              <a:latin typeface="+mn-lt"/>
              <a:ea typeface="+mn-ea"/>
              <a:cs typeface="+mn-cs"/>
            </a:rPr>
            <a:t>Behandlingsforsikring har fortsatt økende portefølje; fra 1.kv.2025 til nå per 1.kv.2026, er det nesten 4% flere som har denne forsikringen. Det er 887.600 forsikrede per 1.kv.2026 mot 856.200 i fjor. Totale erstatninger hittil i år har økt med 16% fra samme periode i fjor, og er nå på 770 mill.kr. De største erstatningspostene er på legespesialist/diagnose og på operasjoner. Mens det er flest saker på bruk av fysioterapi og en økning på 12% i bruk fra i fjor. Hittil i år er det også økning på bruk av psykolog/psykiater; noe som kan ha sammenheng med at flere har dette dekket av forsikringen.  </a:t>
          </a:r>
          <a:endParaRPr lang="nb-NO" sz="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30389</xdr:colOff>
      <xdr:row>6</xdr:row>
      <xdr:rowOff>198211</xdr:rowOff>
    </xdr:from>
    <xdr:to>
      <xdr:col>21</xdr:col>
      <xdr:colOff>1047750</xdr:colOff>
      <xdr:row>30</xdr:row>
      <xdr:rowOff>76201</xdr:rowOff>
    </xdr:to>
    <xdr:graphicFrame macro="">
      <xdr:nvGraphicFramePr>
        <xdr:cNvPr id="1953" name="Chart 1">
          <a:extLst>
            <a:ext uri="{FF2B5EF4-FFF2-40B4-BE49-F238E27FC236}">
              <a16:creationId xmlns:a16="http://schemas.microsoft.com/office/drawing/2014/main" id="{00000000-0008-0000-03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639535</xdr:colOff>
      <xdr:row>33</xdr:row>
      <xdr:rowOff>136071</xdr:rowOff>
    </xdr:from>
    <xdr:to>
      <xdr:col>21</xdr:col>
      <xdr:colOff>951139</xdr:colOff>
      <xdr:row>56</xdr:row>
      <xdr:rowOff>1361</xdr:rowOff>
    </xdr:to>
    <xdr:graphicFrame macro="">
      <xdr:nvGraphicFramePr>
        <xdr:cNvPr id="1954" name="Chart 2">
          <a:extLst>
            <a:ext uri="{FF2B5EF4-FFF2-40B4-BE49-F238E27FC236}">
              <a16:creationId xmlns:a16="http://schemas.microsoft.com/office/drawing/2014/main" id="{00000000-0008-0000-03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63501</xdr:colOff>
      <xdr:row>6</xdr:row>
      <xdr:rowOff>127000</xdr:rowOff>
    </xdr:from>
    <xdr:to>
      <xdr:col>14</xdr:col>
      <xdr:colOff>609600</xdr:colOff>
      <xdr:row>28</xdr:row>
      <xdr:rowOff>127000</xdr:rowOff>
    </xdr:to>
    <xdr:graphicFrame macro="">
      <xdr:nvGraphicFramePr>
        <xdr:cNvPr id="1956" name="Chart 4">
          <a:extLst>
            <a:ext uri="{FF2B5EF4-FFF2-40B4-BE49-F238E27FC236}">
              <a16:creationId xmlns:a16="http://schemas.microsoft.com/office/drawing/2014/main" id="{00000000-0008-0000-0300-0000A4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54430</xdr:colOff>
      <xdr:row>7</xdr:row>
      <xdr:rowOff>40821</xdr:rowOff>
    </xdr:from>
    <xdr:to>
      <xdr:col>28</xdr:col>
      <xdr:colOff>719667</xdr:colOff>
      <xdr:row>26</xdr:row>
      <xdr:rowOff>1360</xdr:rowOff>
    </xdr:to>
    <xdr:graphicFrame macro="">
      <xdr:nvGraphicFramePr>
        <xdr:cNvPr id="1957" name="Chart 5">
          <a:extLst>
            <a:ext uri="{FF2B5EF4-FFF2-40B4-BE49-F238E27FC236}">
              <a16:creationId xmlns:a16="http://schemas.microsoft.com/office/drawing/2014/main" id="{00000000-0008-0000-0300-0000A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27215</xdr:colOff>
      <xdr:row>34</xdr:row>
      <xdr:rowOff>0</xdr:rowOff>
    </xdr:from>
    <xdr:to>
      <xdr:col>29</xdr:col>
      <xdr:colOff>55790</xdr:colOff>
      <xdr:row>56</xdr:row>
      <xdr:rowOff>47625</xdr:rowOff>
    </xdr:to>
    <xdr:graphicFrame macro="">
      <xdr:nvGraphicFramePr>
        <xdr:cNvPr id="1958" name="Chart 6">
          <a:extLst>
            <a:ext uri="{FF2B5EF4-FFF2-40B4-BE49-F238E27FC236}">
              <a16:creationId xmlns:a16="http://schemas.microsoft.com/office/drawing/2014/main" id="{00000000-0008-0000-0300-0000A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95250</xdr:colOff>
      <xdr:row>7</xdr:row>
      <xdr:rowOff>40821</xdr:rowOff>
    </xdr:from>
    <xdr:to>
      <xdr:col>7</xdr:col>
      <xdr:colOff>168729</xdr:colOff>
      <xdr:row>29</xdr:row>
      <xdr:rowOff>29935</xdr:rowOff>
    </xdr:to>
    <xdr:graphicFrame macro="">
      <xdr:nvGraphicFramePr>
        <xdr:cNvPr id="1959" name="Chart 7">
          <a:extLst>
            <a:ext uri="{FF2B5EF4-FFF2-40B4-BE49-F238E27FC236}">
              <a16:creationId xmlns:a16="http://schemas.microsoft.com/office/drawing/2014/main" id="{00000000-0008-0000-0300-0000A7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16328</xdr:rowOff>
    </xdr:from>
    <xdr:to>
      <xdr:col>7</xdr:col>
      <xdr:colOff>92529</xdr:colOff>
      <xdr:row>58</xdr:row>
      <xdr:rowOff>122464</xdr:rowOff>
    </xdr:to>
    <xdr:graphicFrame macro="">
      <xdr:nvGraphicFramePr>
        <xdr:cNvPr id="1960" name="Chart 8">
          <a:extLst>
            <a:ext uri="{FF2B5EF4-FFF2-40B4-BE49-F238E27FC236}">
              <a16:creationId xmlns:a16="http://schemas.microsoft.com/office/drawing/2014/main" id="{00000000-0008-0000-0300-0000A8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38100</xdr:colOff>
      <xdr:row>32</xdr:row>
      <xdr:rowOff>127000</xdr:rowOff>
    </xdr:from>
    <xdr:to>
      <xdr:col>15</xdr:col>
      <xdr:colOff>12700</xdr:colOff>
      <xdr:row>55</xdr:row>
      <xdr:rowOff>152400</xdr:rowOff>
    </xdr:to>
    <xdr:graphicFrame macro="">
      <xdr:nvGraphicFramePr>
        <xdr:cNvPr id="10" name="Chart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29</xdr:col>
      <xdr:colOff>0</xdr:colOff>
      <xdr:row>7</xdr:row>
      <xdr:rowOff>0</xdr:rowOff>
    </xdr:from>
    <xdr:to>
      <xdr:col>35</xdr:col>
      <xdr:colOff>736600</xdr:colOff>
      <xdr:row>29</xdr:row>
      <xdr:rowOff>71438</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29</xdr:col>
      <xdr:colOff>0</xdr:colOff>
      <xdr:row>34</xdr:row>
      <xdr:rowOff>0</xdr:rowOff>
    </xdr:from>
    <xdr:to>
      <xdr:col>35</xdr:col>
      <xdr:colOff>736600</xdr:colOff>
      <xdr:row>56</xdr:row>
      <xdr:rowOff>47625</xdr:rowOff>
    </xdr:to>
    <xdr:graphicFrame macro="">
      <xdr:nvGraphicFramePr>
        <xdr:cNvPr id="15" name="Chart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104775</xdr:rowOff>
    </xdr:from>
    <xdr:to>
      <xdr:col>2</xdr:col>
      <xdr:colOff>381000</xdr:colOff>
      <xdr:row>51</xdr:row>
      <xdr:rowOff>0</xdr:rowOff>
    </xdr:to>
    <xdr:sp macro="" textlink="">
      <xdr:nvSpPr>
        <xdr:cNvPr id="6145" name="Text Box 1">
          <a:extLst>
            <a:ext uri="{FF2B5EF4-FFF2-40B4-BE49-F238E27FC236}">
              <a16:creationId xmlns:a16="http://schemas.microsoft.com/office/drawing/2014/main" id="{00000000-0008-0000-1600-000001180000}"/>
            </a:ext>
          </a:extLst>
        </xdr:cNvPr>
        <xdr:cNvSpPr txBox="1">
          <a:spLocks noChangeArrowheads="1"/>
        </xdr:cNvSpPr>
      </xdr:nvSpPr>
      <xdr:spPr bwMode="auto">
        <a:xfrm>
          <a:off x="0" y="612775"/>
          <a:ext cx="2889250" cy="95472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200" b="1" i="0" strike="noStrike">
              <a:solidFill>
                <a:srgbClr val="000000"/>
              </a:solidFill>
              <a:latin typeface="Times New Roman"/>
              <a:cs typeface="Times New Roman"/>
            </a:rPr>
            <a:t>Formål</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Hovedformålet med statistikken er å skaffe en oversikt over utviklingen av antall skader og erstatningsnivå over tid innen de forskjellige bransjene i landbasert skadeforsikring, fordelt på skadetyper. </a:t>
          </a:r>
        </a:p>
        <a:p>
          <a:pPr algn="l" rtl="0">
            <a:defRPr sz="1000"/>
          </a:pPr>
          <a:endParaRPr lang="en-US" sz="1200" b="0" i="0" strike="noStrike">
            <a:solidFill>
              <a:srgbClr val="000000"/>
            </a:solidFill>
            <a:latin typeface="Times New Roman"/>
            <a:cs typeface="Times New Roman"/>
          </a:endParaRPr>
        </a:p>
        <a:p>
          <a:pPr rtl="0"/>
          <a:r>
            <a:rPr lang="en-US" sz="1100" b="1" i="0">
              <a:effectLst/>
              <a:latin typeface="+mn-lt"/>
              <a:ea typeface="+mn-ea"/>
              <a:cs typeface="+mn-cs"/>
            </a:rPr>
            <a:t>Datagrunnlag</a:t>
          </a:r>
          <a:endParaRPr lang="nb-NO" sz="1200">
            <a:effectLst/>
          </a:endParaRPr>
        </a:p>
        <a:p>
          <a:pPr rtl="0"/>
          <a:r>
            <a:rPr lang="en-US" sz="1100" b="0" i="0">
              <a:effectLst/>
              <a:latin typeface="+mn-lt"/>
              <a:ea typeface="+mn-ea"/>
              <a:cs typeface="+mn-cs"/>
            </a:rPr>
            <a:t>Følgende selskaper inngår i statistikken:</a:t>
          </a:r>
          <a:endParaRPr lang="nb-NO" sz="1200">
            <a:effectLst/>
          </a:endParaRPr>
        </a:p>
        <a:p>
          <a:pPr rtl="0"/>
          <a:r>
            <a:rPr lang="en-US" sz="1100" b="0" i="0">
              <a:effectLst/>
              <a:latin typeface="+mn-lt"/>
              <a:ea typeface="+mn-ea"/>
              <a:cs typeface="+mn-cs"/>
            </a:rPr>
            <a:t>     ACE European Group</a:t>
          </a:r>
          <a:endParaRPr lang="nb-NO" sz="1200">
            <a:effectLst/>
          </a:endParaRPr>
        </a:p>
        <a:p>
          <a:pPr rtl="0"/>
          <a:r>
            <a:rPr lang="en-US" sz="1100" b="0" i="0">
              <a:effectLst/>
              <a:latin typeface="+mn-lt"/>
              <a:ea typeface="+mn-ea"/>
              <a:cs typeface="+mn-cs"/>
            </a:rPr>
            <a:t>     AIG Europe</a:t>
          </a:r>
          <a:endParaRPr lang="nb-NO" sz="1200">
            <a:effectLst/>
          </a:endParaRPr>
        </a:p>
        <a:p>
          <a:pPr rtl="0"/>
          <a:r>
            <a:rPr lang="en-US" sz="1100" b="0" i="0">
              <a:effectLst/>
              <a:latin typeface="+mn-lt"/>
              <a:ea typeface="+mn-ea"/>
              <a:cs typeface="+mn-cs"/>
            </a:rPr>
            <a:t>     Codan Forsikring</a:t>
          </a:r>
          <a:endParaRPr lang="nb-NO" sz="1200">
            <a:effectLst/>
          </a:endParaRPr>
        </a:p>
        <a:p>
          <a:pPr rtl="0"/>
          <a:r>
            <a:rPr lang="en-US" sz="1100" b="0" i="0">
              <a:effectLst/>
              <a:latin typeface="+mn-lt"/>
              <a:ea typeface="+mn-ea"/>
              <a:cs typeface="+mn-cs"/>
            </a:rPr>
            <a:t>     Danica Pensjonsforsikring</a:t>
          </a:r>
          <a:endParaRPr lang="nb-NO" sz="1200">
            <a:effectLst/>
          </a:endParaRPr>
        </a:p>
        <a:p>
          <a:pPr rtl="0"/>
          <a:r>
            <a:rPr lang="en-US" sz="1100" b="0" i="0">
              <a:effectLst/>
              <a:latin typeface="+mn-lt"/>
              <a:ea typeface="+mn-ea"/>
              <a:cs typeface="+mn-cs"/>
            </a:rPr>
            <a:t>     DNB Forsikring</a:t>
          </a:r>
          <a:endParaRPr lang="nb-NO" sz="1200">
            <a:effectLst/>
          </a:endParaRPr>
        </a:p>
        <a:p>
          <a:pPr rtl="0" eaLnBrk="1" fontAlgn="auto" latinLnBrk="0" hangingPunct="1"/>
          <a:r>
            <a:rPr lang="en-US" sz="1100" b="0" i="0">
              <a:effectLst/>
              <a:latin typeface="+mn-lt"/>
              <a:ea typeface="+mn-ea"/>
              <a:cs typeface="+mn-cs"/>
            </a:rPr>
            <a:t>     Eika Forsikring</a:t>
          </a:r>
        </a:p>
        <a:p>
          <a:pPr rtl="0" eaLnBrk="1" fontAlgn="auto" latinLnBrk="0" hangingPunct="1"/>
          <a:r>
            <a:rPr lang="en-US" sz="1100" b="0" i="0" baseline="0">
              <a:effectLst/>
              <a:latin typeface="+mn-lt"/>
              <a:ea typeface="+mn-ea"/>
              <a:cs typeface="+mn-cs"/>
            </a:rPr>
            <a:t>     EGRO Forsikring</a:t>
          </a:r>
          <a:endParaRPr lang="nb-NO" sz="1200">
            <a:effectLst/>
          </a:endParaRPr>
        </a:p>
        <a:p>
          <a:pPr rtl="0" eaLnBrk="1" fontAlgn="auto" latinLnBrk="0" hangingPunct="1"/>
          <a:r>
            <a:rPr lang="en-US" sz="1100" b="0" i="0">
              <a:effectLst/>
              <a:latin typeface="+mn-lt"/>
              <a:ea typeface="+mn-ea"/>
              <a:cs typeface="+mn-cs"/>
            </a:rPr>
            <a:t>     Euro Insurance LTD</a:t>
          </a:r>
          <a:endParaRPr lang="nb-NO" sz="1200">
            <a:effectLst/>
          </a:endParaRPr>
        </a:p>
        <a:p>
          <a:pPr rtl="0"/>
          <a:r>
            <a:rPr lang="en-US" sz="1100" b="0" i="0">
              <a:effectLst/>
              <a:latin typeface="+mn-lt"/>
              <a:ea typeface="+mn-ea"/>
              <a:cs typeface="+mn-cs"/>
            </a:rPr>
            <a:t>     Frende Skadeforsikring</a:t>
          </a:r>
          <a:endParaRPr lang="nb-NO" sz="1200">
            <a:effectLst/>
          </a:endParaRPr>
        </a:p>
        <a:p>
          <a:pPr rtl="0"/>
          <a:r>
            <a:rPr lang="en-US" sz="1100" b="0" i="0">
              <a:effectLst/>
              <a:latin typeface="+mn-lt"/>
              <a:ea typeface="+mn-ea"/>
              <a:cs typeface="+mn-cs"/>
            </a:rPr>
            <a:t>     Gjensidige</a:t>
          </a:r>
          <a:endParaRPr lang="nb-NO" sz="1200">
            <a:effectLst/>
          </a:endParaRPr>
        </a:p>
        <a:p>
          <a:pPr rtl="0"/>
          <a:r>
            <a:rPr lang="en-US" sz="1100" b="0" i="0">
              <a:effectLst/>
              <a:latin typeface="+mn-lt"/>
              <a:ea typeface="+mn-ea"/>
              <a:cs typeface="+mn-cs"/>
            </a:rPr>
            <a:t>     If Skadeforsikring</a:t>
          </a:r>
          <a:endParaRPr lang="nb-NO" sz="1200">
            <a:effectLst/>
          </a:endParaRPr>
        </a:p>
        <a:p>
          <a:pPr rtl="0"/>
          <a:r>
            <a:rPr lang="en-US" sz="1100" b="0" i="0">
              <a:effectLst/>
              <a:latin typeface="+mn-lt"/>
              <a:ea typeface="+mn-ea"/>
              <a:cs typeface="+mn-cs"/>
            </a:rPr>
            <a:t>     Insr (tidl. Vardia)</a:t>
          </a:r>
          <a:endParaRPr lang="nb-NO" sz="1200">
            <a:effectLst/>
          </a:endParaRPr>
        </a:p>
        <a:p>
          <a:pPr rtl="0"/>
          <a:r>
            <a:rPr lang="en-US" sz="1100" b="0" i="0">
              <a:effectLst/>
              <a:latin typeface="+mn-lt"/>
              <a:ea typeface="+mn-ea"/>
              <a:cs typeface="+mn-cs"/>
            </a:rPr>
            <a:t>     Inter Hannover</a:t>
          </a:r>
          <a:endParaRPr lang="nb-NO" sz="1200">
            <a:effectLst/>
          </a:endParaRPr>
        </a:p>
        <a:p>
          <a:pPr rtl="0"/>
          <a:r>
            <a:rPr lang="en-US" sz="1100" b="0" i="0">
              <a:effectLst/>
              <a:latin typeface="+mn-lt"/>
              <a:ea typeface="+mn-ea"/>
              <a:cs typeface="+mn-cs"/>
            </a:rPr>
            <a:t>     Jernbanepersonalets bank og forsikring</a:t>
          </a:r>
          <a:endParaRPr lang="nb-NO" sz="1200">
            <a:effectLst/>
          </a:endParaRPr>
        </a:p>
        <a:p>
          <a:pPr rtl="0"/>
          <a:r>
            <a:rPr lang="en-US" sz="1100" b="0" i="0">
              <a:effectLst/>
              <a:latin typeface="+mn-lt"/>
              <a:ea typeface="+mn-ea"/>
              <a:cs typeface="+mn-cs"/>
            </a:rPr>
            <a:t>     KLP skadeforsikring</a:t>
          </a:r>
          <a:endParaRPr lang="nb-NO" sz="1200">
            <a:effectLst/>
          </a:endParaRPr>
        </a:p>
        <a:p>
          <a:pPr rtl="0"/>
          <a:r>
            <a:rPr lang="en-US" sz="1100" b="0" i="0">
              <a:effectLst/>
              <a:latin typeface="+mn-lt"/>
              <a:ea typeface="+mn-ea"/>
              <a:cs typeface="+mn-cs"/>
            </a:rPr>
            <a:t>     KNIF</a:t>
          </a:r>
          <a:r>
            <a:rPr lang="en-US" sz="1100" b="0" i="0" baseline="0">
              <a:effectLst/>
              <a:latin typeface="+mn-lt"/>
              <a:ea typeface="+mn-ea"/>
              <a:cs typeface="+mn-cs"/>
            </a:rPr>
            <a:t> Trygghet Forsikring</a:t>
          </a:r>
          <a:endParaRPr lang="nb-NO" sz="1200">
            <a:effectLst/>
          </a:endParaRPr>
        </a:p>
        <a:p>
          <a:pPr rtl="0" eaLnBrk="1" fontAlgn="auto" latinLnBrk="0" hangingPunct="1"/>
          <a:r>
            <a:rPr lang="en-US" sz="1100" b="0" i="0">
              <a:effectLst/>
              <a:latin typeface="+mn-lt"/>
              <a:ea typeface="+mn-ea"/>
              <a:cs typeface="+mn-cs"/>
            </a:rPr>
            <a:t>     Landkreditt Forsikring (tidl. Landbruksforsikring)</a:t>
          </a:r>
          <a:endParaRPr lang="nb-NO" sz="1200">
            <a:effectLst/>
          </a:endParaRPr>
        </a:p>
        <a:p>
          <a:pPr rtl="0" eaLnBrk="1" fontAlgn="auto" latinLnBrk="0" hangingPunct="1"/>
          <a:r>
            <a:rPr lang="en-US" sz="1100" b="0" i="0">
              <a:effectLst/>
              <a:latin typeface="+mn-lt"/>
              <a:ea typeface="+mn-ea"/>
              <a:cs typeface="+mn-cs"/>
            </a:rPr>
            <a:t>     Møretrygd</a:t>
          </a:r>
          <a:endParaRPr lang="nb-NO" sz="1200">
            <a:effectLst/>
          </a:endParaRPr>
        </a:p>
        <a:p>
          <a:pPr rtl="0" eaLnBrk="1" fontAlgn="auto" latinLnBrk="0" hangingPunct="1"/>
          <a:r>
            <a:rPr lang="en-US" sz="1100" b="0" i="0">
              <a:effectLst/>
              <a:latin typeface="+mn-lt"/>
              <a:ea typeface="+mn-ea"/>
              <a:cs typeface="+mn-cs"/>
            </a:rPr>
            <a:t>     NEMI</a:t>
          </a:r>
          <a:endParaRPr lang="nb-NO" sz="1200">
            <a:effectLst/>
          </a:endParaRPr>
        </a:p>
        <a:p>
          <a:pPr rtl="0" eaLnBrk="1" fontAlgn="auto" latinLnBrk="0" hangingPunct="1"/>
          <a:r>
            <a:rPr lang="en-US" sz="1100" b="0" i="0">
              <a:effectLst/>
              <a:latin typeface="+mn-lt"/>
              <a:ea typeface="+mn-ea"/>
              <a:cs typeface="+mn-cs"/>
            </a:rPr>
            <a:t>     Nordea Liv</a:t>
          </a:r>
          <a:endParaRPr lang="nb-NO" sz="1200">
            <a:effectLst/>
          </a:endParaRPr>
        </a:p>
        <a:p>
          <a:pPr rtl="0" eaLnBrk="1" fontAlgn="auto" latinLnBrk="0" hangingPunct="1"/>
          <a:r>
            <a:rPr lang="en-US" sz="1100" b="0" i="0">
              <a:effectLst/>
              <a:latin typeface="+mn-lt"/>
              <a:ea typeface="+mn-ea"/>
              <a:cs typeface="+mn-cs"/>
            </a:rPr>
            <a:t>     OBOS Skadeforsikring</a:t>
          </a:r>
          <a:endParaRPr lang="nb-NO" sz="1200">
            <a:effectLst/>
          </a:endParaRPr>
        </a:p>
        <a:p>
          <a:pPr rtl="0"/>
          <a:r>
            <a:rPr lang="en-US" sz="1100" b="0" i="0">
              <a:effectLst/>
              <a:latin typeface="+mn-lt"/>
              <a:ea typeface="+mn-ea"/>
              <a:cs typeface="+mn-cs"/>
            </a:rPr>
            <a:t>     Oslo Forsikring</a:t>
          </a:r>
        </a:p>
        <a:p>
          <a:pPr rtl="0"/>
          <a:r>
            <a:rPr lang="en-US" sz="1100" b="0" i="0">
              <a:effectLst/>
              <a:latin typeface="+mn-lt"/>
              <a:ea typeface="+mn-ea"/>
              <a:cs typeface="+mn-cs"/>
            </a:rPr>
            <a:t>     Protector Forsikring</a:t>
          </a:r>
          <a:endParaRPr lang="nb-NO" sz="1200">
            <a:effectLst/>
          </a:endParaRPr>
        </a:p>
        <a:p>
          <a:pPr rtl="0"/>
          <a:r>
            <a:rPr lang="en-US" sz="1100" b="0" i="0">
              <a:effectLst/>
              <a:latin typeface="+mn-lt"/>
              <a:ea typeface="+mn-ea"/>
              <a:cs typeface="+mn-cs"/>
            </a:rPr>
            <a:t>     Skogbrand</a:t>
          </a:r>
          <a:endParaRPr lang="nb-NO" sz="1200">
            <a:effectLst/>
          </a:endParaRPr>
        </a:p>
        <a:p>
          <a:pPr rtl="0"/>
          <a:r>
            <a:rPr lang="en-US" sz="1100" b="0" i="0">
              <a:effectLst/>
              <a:latin typeface="+mn-lt"/>
              <a:ea typeface="+mn-ea"/>
              <a:cs typeface="+mn-cs"/>
            </a:rPr>
            <a:t>     SpareBank 1 Forsikring</a:t>
          </a:r>
          <a:endParaRPr lang="nb-NO" sz="1200">
            <a:effectLst/>
          </a:endParaRPr>
        </a:p>
        <a:p>
          <a:pPr rtl="0"/>
          <a:r>
            <a:rPr lang="en-US" sz="1100" b="0" i="0">
              <a:effectLst/>
              <a:latin typeface="+mn-lt"/>
              <a:ea typeface="+mn-ea"/>
              <a:cs typeface="+mn-cs"/>
            </a:rPr>
            <a:t>     Storebrand Forsikring</a:t>
          </a:r>
          <a:endParaRPr lang="nb-NO" sz="1200">
            <a:effectLst/>
          </a:endParaRPr>
        </a:p>
        <a:p>
          <a:pPr rtl="0"/>
          <a:r>
            <a:rPr lang="en-US" sz="1100" b="0" i="0">
              <a:effectLst/>
              <a:latin typeface="+mn-lt"/>
              <a:ea typeface="+mn-ea"/>
              <a:cs typeface="+mn-cs"/>
            </a:rPr>
            <a:t>     Telenor Forsikring</a:t>
          </a:r>
          <a:endParaRPr lang="nb-NO" sz="1200">
            <a:effectLst/>
          </a:endParaRPr>
        </a:p>
        <a:p>
          <a:pPr rtl="0"/>
          <a:r>
            <a:rPr lang="en-US" sz="1100" b="0" i="0">
              <a:effectLst/>
              <a:latin typeface="+mn-lt"/>
              <a:ea typeface="+mn-ea"/>
              <a:cs typeface="+mn-cs"/>
            </a:rPr>
            <a:t>     Troll Forsikring</a:t>
          </a:r>
          <a:endParaRPr lang="nb-NO" sz="1200">
            <a:effectLst/>
          </a:endParaRPr>
        </a:p>
        <a:p>
          <a:pPr rtl="0"/>
          <a:r>
            <a:rPr lang="en-US" sz="1100" b="0" i="0">
              <a:effectLst/>
              <a:latin typeface="+mn-lt"/>
              <a:ea typeface="+mn-ea"/>
              <a:cs typeface="+mn-cs"/>
            </a:rPr>
            <a:t>     Tryg</a:t>
          </a:r>
          <a:endParaRPr lang="nb-NO" sz="1200">
            <a:effectLst/>
          </a:endParaRPr>
        </a:p>
        <a:p>
          <a:pPr rtl="0" eaLnBrk="1" fontAlgn="auto" latinLnBrk="0" hangingPunct="1"/>
          <a:r>
            <a:rPr lang="en-US" sz="1100" b="0" i="0">
              <a:effectLst/>
              <a:latin typeface="+mn-lt"/>
              <a:ea typeface="+mn-ea"/>
              <a:cs typeface="+mn-cs"/>
            </a:rPr>
            <a:t>     W. R. Berkley</a:t>
          </a:r>
          <a:endParaRPr lang="nb-NO" sz="1200">
            <a:effectLst/>
          </a:endParaRPr>
        </a:p>
        <a:p>
          <a:pPr rtl="0"/>
          <a:r>
            <a:rPr lang="en-US" sz="1100" b="0" i="0">
              <a:effectLst/>
              <a:latin typeface="+mn-lt"/>
              <a:ea typeface="+mn-ea"/>
              <a:cs typeface="+mn-cs"/>
            </a:rPr>
            <a:t>Disse selskapene utgjør hovedtyngden av det norske markedet for landbasert skadeforsikring, men vi gjør oppmerksom på at dette varierer fra bransje til bransje. F.eks. vil disse selskapene utgjøre så å si hele motorvognmarkedet, mens for industriforsikring eksisterer det en rekke andre aktører (captives og utenlandske selskaper) som ikke rapporterer til denne statistikken.</a:t>
          </a:r>
          <a:endParaRPr lang="nb-NO" sz="1200">
            <a:effectLst/>
          </a:endParaRPr>
        </a:p>
        <a:p>
          <a:pPr rtl="0" eaLnBrk="1" fontAlgn="auto" latinLnBrk="0" hangingPunct="1"/>
          <a:r>
            <a:rPr lang="en-US" sz="1100" b="0" i="1">
              <a:effectLst/>
              <a:latin typeface="+mn-lt"/>
              <a:ea typeface="+mn-ea"/>
              <a:cs typeface="+mn-cs"/>
            </a:rPr>
            <a:t>Naturskadeutbetalingene</a:t>
          </a:r>
          <a:r>
            <a:rPr lang="en-US" sz="1100" b="0" i="0">
              <a:effectLst/>
              <a:latin typeface="+mn-lt"/>
              <a:ea typeface="+mn-ea"/>
              <a:cs typeface="+mn-cs"/>
            </a:rPr>
            <a:t> er holdt utenfor statistikken. Det samme gjelder </a:t>
          </a:r>
          <a:r>
            <a:rPr lang="en-US" sz="1100" b="0" i="1">
              <a:effectLst/>
              <a:latin typeface="+mn-lt"/>
              <a:ea typeface="+mn-ea"/>
              <a:cs typeface="+mn-cs"/>
            </a:rPr>
            <a:t>kreditt</a:t>
          </a:r>
          <a:r>
            <a:rPr lang="en-US" sz="1100" b="0" i="0">
              <a:effectLst/>
              <a:latin typeface="+mn-lt"/>
              <a:ea typeface="+mn-ea"/>
              <a:cs typeface="+mn-cs"/>
            </a:rPr>
            <a:t>- og </a:t>
          </a:r>
          <a:r>
            <a:rPr lang="en-US" sz="1100" b="0" i="1">
              <a:effectLst/>
              <a:latin typeface="+mn-lt"/>
              <a:ea typeface="+mn-ea"/>
              <a:cs typeface="+mn-cs"/>
            </a:rPr>
            <a:t>sjøforsikring.</a:t>
          </a:r>
          <a:endParaRPr lang="nb-NO" sz="1200">
            <a:effectLst/>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2</xdr:col>
      <xdr:colOff>460375</xdr:colOff>
      <xdr:row>4</xdr:row>
      <xdr:rowOff>96537</xdr:rowOff>
    </xdr:from>
    <xdr:to>
      <xdr:col>7</xdr:col>
      <xdr:colOff>0</xdr:colOff>
      <xdr:row>50</xdr:row>
      <xdr:rowOff>142874</xdr:rowOff>
    </xdr:to>
    <xdr:sp macro="" textlink="">
      <xdr:nvSpPr>
        <xdr:cNvPr id="6146" name="Text Box 2">
          <a:extLst>
            <a:ext uri="{FF2B5EF4-FFF2-40B4-BE49-F238E27FC236}">
              <a16:creationId xmlns:a16="http://schemas.microsoft.com/office/drawing/2014/main" id="{00000000-0008-0000-1600-000002180000}"/>
            </a:ext>
          </a:extLst>
        </xdr:cNvPr>
        <xdr:cNvSpPr txBox="1">
          <a:spLocks noChangeArrowheads="1"/>
        </xdr:cNvSpPr>
      </xdr:nvSpPr>
      <xdr:spPr bwMode="auto">
        <a:xfrm>
          <a:off x="2968625" y="604537"/>
          <a:ext cx="2492375" cy="9539587"/>
        </a:xfrm>
        <a:prstGeom prst="rect">
          <a:avLst/>
        </a:prstGeom>
        <a:solidFill>
          <a:srgbClr val="FFFFFF"/>
        </a:solidFill>
        <a:ln w="9525">
          <a:noFill/>
          <a:miter lim="800000"/>
          <a:headEnd/>
          <a:tailEnd/>
        </a:ln>
      </xdr:spPr>
      <xdr:txBody>
        <a:bodyPr vertOverflow="clip" wrap="square" lIns="27432" tIns="27432" rIns="0" bIns="0" anchor="t" upright="1"/>
        <a:lstStyle/>
        <a:p>
          <a:pPr rtl="0"/>
          <a:r>
            <a:rPr lang="en-US" sz="1200" b="1" i="0">
              <a:latin typeface="Times New Roman" pitchFamily="18" charset="0"/>
              <a:ea typeface="+mn-ea"/>
              <a:cs typeface="Times New Roman" pitchFamily="18" charset="0"/>
            </a:rPr>
            <a:t>Prinsipper</a:t>
          </a:r>
          <a:endParaRPr lang="en-US" sz="1200" b="0" i="0">
            <a:latin typeface="Times New Roman" pitchFamily="18" charset="0"/>
            <a:ea typeface="+mn-ea"/>
            <a:cs typeface="Times New Roman" pitchFamily="18" charset="0"/>
          </a:endParaRPr>
        </a:p>
        <a:p>
          <a:pPr rtl="0"/>
          <a:r>
            <a:rPr lang="en-US" sz="1200" b="0" i="0">
              <a:latin typeface="Times New Roman" pitchFamily="18" charset="0"/>
              <a:ea typeface="+mn-ea"/>
              <a:cs typeface="Times New Roman" pitchFamily="18" charset="0"/>
            </a:rPr>
            <a:t>Det er lagt vekt på å kunne presentere så aktuelle tall som mulig. Tidligere tall oppdateres ikke, men presenteres for å vise hva man trodde på tilsvarende tidspunkt for de to foregående år. </a:t>
          </a:r>
          <a:endParaRPr lang="nb-NO" sz="1200">
            <a:latin typeface="Times New Roman" pitchFamily="18" charset="0"/>
            <a:cs typeface="Times New Roman" pitchFamily="18" charset="0"/>
          </a:endParaRPr>
        </a:p>
        <a:p>
          <a:pPr rtl="0"/>
          <a:endParaRPr lang="en-US" sz="1200" b="0" i="0">
            <a:latin typeface="Times New Roman" pitchFamily="18" charset="0"/>
            <a:ea typeface="+mn-ea"/>
            <a:cs typeface="Times New Roman" pitchFamily="18" charset="0"/>
          </a:endParaRPr>
        </a:p>
        <a:p>
          <a:pPr algn="l" rtl="0">
            <a:defRPr sz="1000"/>
          </a:pPr>
          <a:r>
            <a:rPr lang="en-US" sz="1200" b="1" i="0" strike="noStrike">
              <a:solidFill>
                <a:srgbClr val="000000"/>
              </a:solidFill>
              <a:latin typeface="Times New Roman"/>
              <a:cs typeface="Times New Roman"/>
            </a:rPr>
            <a:t>Begreper </a:t>
          </a:r>
        </a:p>
        <a:p>
          <a:pPr algn="l" rtl="0">
            <a:defRPr sz="1000"/>
          </a:pPr>
          <a:r>
            <a:rPr lang="en-US" sz="1200" b="0" i="1" strike="noStrike">
              <a:solidFill>
                <a:srgbClr val="000000"/>
              </a:solidFill>
              <a:latin typeface="Times New Roman"/>
              <a:cs typeface="Times New Roman"/>
            </a:rPr>
            <a:t>Bransjene</a:t>
          </a:r>
          <a:r>
            <a:rPr lang="en-US" sz="1200" b="0" i="0" strike="noStrike">
              <a:solidFill>
                <a:srgbClr val="000000"/>
              </a:solidFill>
              <a:latin typeface="Times New Roman"/>
              <a:cs typeface="Times New Roman"/>
            </a:rPr>
            <a:t> angir hovedforretnings-områdene i henhold til bransjeinndeling utarbeidet i samarbeid med Finanstilsynet.</a:t>
          </a:r>
        </a:p>
        <a:p>
          <a:pPr algn="l" rtl="0">
            <a:defRPr sz="1000"/>
          </a:pP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Hver bransje er så gruppert etter </a:t>
          </a:r>
          <a:r>
            <a:rPr lang="en-US" sz="1200" b="0" i="1" strike="noStrike">
              <a:solidFill>
                <a:srgbClr val="000000"/>
              </a:solidFill>
              <a:latin typeface="Times New Roman"/>
              <a:cs typeface="Times New Roman"/>
            </a:rPr>
            <a:t>skadetype. </a:t>
          </a:r>
          <a:r>
            <a:rPr lang="en-US" sz="1200" b="0" i="0" strike="noStrike">
              <a:solidFill>
                <a:srgbClr val="000000"/>
              </a:solidFill>
              <a:latin typeface="Times New Roman"/>
              <a:cs typeface="Times New Roman"/>
            </a:rPr>
            <a:t>Det gjøres oppmerksom på at antall skader for de ulike skadetypene under en bransje ikke nødvendigvis er lik totalen, siden en skade kan fordele seg på flere skadetyper.</a:t>
          </a:r>
        </a:p>
        <a:p>
          <a:pPr algn="l" rtl="0">
            <a:defRPr sz="1000"/>
          </a:pPr>
          <a:endParaRPr lang="en-US" sz="1200" b="0" i="0" strike="noStrike">
            <a:solidFill>
              <a:srgbClr val="000000"/>
            </a:solidFill>
            <a:latin typeface="Times New Roman"/>
            <a:cs typeface="Times New Roman"/>
          </a:endParaRPr>
        </a:p>
        <a:p>
          <a:pPr algn="l" rtl="0">
            <a:defRPr sz="1000"/>
          </a:pPr>
          <a:r>
            <a:rPr lang="en-US" sz="1200" b="0" i="1" strike="noStrike">
              <a:solidFill>
                <a:srgbClr val="000000"/>
              </a:solidFill>
              <a:latin typeface="Times New Roman"/>
              <a:cs typeface="Times New Roman"/>
            </a:rPr>
            <a:t>Anslått erstatning</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Med anslått erstatning menes betalte erstatninger pluss erstatningsavsetninger for de skader som har skjedd i den tidsperioden statistikken omfatter (tall hittil i år). Dette omfatter også skader som ennå ikke er meldt til selskapene. </a:t>
          </a:r>
        </a:p>
        <a:p>
          <a:pPr algn="l" rtl="0">
            <a:defRPr sz="1000"/>
          </a:pPr>
          <a:endParaRPr lang="en-US" sz="1200" b="0" i="0" strike="noStrike">
            <a:solidFill>
              <a:srgbClr val="000000"/>
            </a:solidFill>
            <a:latin typeface="Times New Roman"/>
            <a:cs typeface="Times New Roman"/>
          </a:endParaRPr>
        </a:p>
        <a:p>
          <a:pPr algn="l" rtl="0">
            <a:defRPr sz="1000"/>
          </a:pPr>
          <a:r>
            <a:rPr lang="en-US" sz="1200" b="0" i="1" strike="noStrike">
              <a:solidFill>
                <a:srgbClr val="000000"/>
              </a:solidFill>
              <a:latin typeface="Times New Roman"/>
              <a:cs typeface="Times New Roman"/>
            </a:rPr>
            <a:t>Meldt skade</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Med meldt skade menes skade på en forsikring </a:t>
          </a:r>
          <a:r>
            <a:rPr lang="en-US" sz="1200" b="0" i="1" strike="noStrike">
              <a:solidFill>
                <a:srgbClr val="000000"/>
              </a:solidFill>
              <a:latin typeface="Times New Roman"/>
              <a:cs typeface="Times New Roman"/>
            </a:rPr>
            <a:t>meldt</a:t>
          </a:r>
          <a:r>
            <a:rPr lang="en-US" sz="1200" b="0" i="0" strike="noStrike">
              <a:solidFill>
                <a:srgbClr val="000000"/>
              </a:solidFill>
              <a:latin typeface="Times New Roman"/>
              <a:cs typeface="Times New Roman"/>
            </a:rPr>
            <a:t> til selskapet i den </a:t>
          </a:r>
          <a:r>
            <a:rPr lang="en-US" sz="1200" b="0" i="0" strike="noStrike">
              <a:solidFill>
                <a:srgbClr val="000000"/>
              </a:solidFill>
              <a:latin typeface="Times New Roman"/>
              <a:ea typeface="+mn-ea"/>
              <a:cs typeface="Times New Roman"/>
            </a:rPr>
            <a:t>tidsperiode statistikken omfatter (tall hittil i år). I </a:t>
          </a:r>
          <a:r>
            <a:rPr lang="en-US" sz="1200" b="0" i="0" strike="noStrike">
              <a:solidFill>
                <a:srgbClr val="000000"/>
              </a:solidFill>
              <a:latin typeface="Times New Roman"/>
              <a:cs typeface="Times New Roman"/>
            </a:rPr>
            <a:t>dette begrepet inngår </a:t>
          </a:r>
          <a:r>
            <a:rPr lang="en-US" sz="1200" b="0" i="1" strike="noStrike">
              <a:solidFill>
                <a:srgbClr val="000000"/>
              </a:solidFill>
              <a:latin typeface="Times New Roman"/>
              <a:cs typeface="Times New Roman"/>
            </a:rPr>
            <a:t>ikke</a:t>
          </a:r>
          <a:r>
            <a:rPr lang="en-US" sz="1200" b="0" i="0" strike="noStrike">
              <a:solidFill>
                <a:srgbClr val="000000"/>
              </a:solidFill>
              <a:latin typeface="Times New Roman"/>
              <a:cs typeface="Times New Roman"/>
            </a:rPr>
            <a:t> de skader som ennå ikke er meldt, j.fr. definisjonen av anslått erstatning. I antall skader inngår også såkalte </a:t>
          </a:r>
          <a:r>
            <a:rPr lang="en-US" sz="1200" b="0" i="1" strike="noStrike">
              <a:solidFill>
                <a:srgbClr val="000000"/>
              </a:solidFill>
              <a:latin typeface="Times New Roman"/>
              <a:cs typeface="Times New Roman"/>
            </a:rPr>
            <a:t>nullskader.</a:t>
          </a:r>
          <a:endParaRPr lang="en-US" sz="1200" b="0" i="0" strike="noStrike">
            <a:solidFill>
              <a:srgbClr val="000000"/>
            </a:solidFill>
            <a:latin typeface="Times New Roman"/>
            <a:cs typeface="Times New Roman"/>
          </a:endParaRPr>
        </a:p>
        <a:p>
          <a:pPr algn="l" rtl="0">
            <a:defRPr sz="1000"/>
          </a:pPr>
          <a:endParaRPr lang="en-US" sz="1200" b="0" i="0" strike="noStrike">
            <a:solidFill>
              <a:srgbClr val="000000"/>
            </a:solidFill>
            <a:latin typeface="Times New Roman"/>
            <a:cs typeface="Times New Roman"/>
          </a:endParaRPr>
        </a:p>
        <a:p>
          <a:pPr algn="l" rtl="0">
            <a:defRPr sz="1000"/>
          </a:pPr>
          <a:r>
            <a:rPr lang="en-US" sz="1200" b="0" i="1" strike="noStrike">
              <a:solidFill>
                <a:srgbClr val="000000"/>
              </a:solidFill>
              <a:latin typeface="Times New Roman"/>
              <a:cs typeface="Times New Roman"/>
            </a:rPr>
            <a:t>Gjennomsnittsskade</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Vi gjør oppmerksom på at siden tallene for antall anmeldte skader og anslåtte erstatninger har ulik tidsavgrensning er de ikke direkte sammenlignbare. En nøyaktig beregning av gjennomsnittsskaden kan derfor ikke gjøres ut fra dette materialet. Spesielt gjelder dette ”langhalede” bransjer som yrkesskade og personskade motorvogn.</a:t>
          </a:r>
        </a:p>
        <a:p>
          <a:pPr algn="l" rtl="0">
            <a:defRPr sz="1000"/>
          </a:pPr>
          <a:endParaRPr lang="en-US" sz="1200" b="0" i="0" strike="noStrike">
            <a:solidFill>
              <a:srgbClr val="000000"/>
            </a:solidFill>
            <a:latin typeface="Times New Roman"/>
            <a:cs typeface="Times New Roman"/>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7</xdr:col>
      <xdr:colOff>104775</xdr:colOff>
      <xdr:row>4</xdr:row>
      <xdr:rowOff>96437</xdr:rowOff>
    </xdr:from>
    <xdr:to>
      <xdr:col>10</xdr:col>
      <xdr:colOff>371475</xdr:colOff>
      <xdr:row>50</xdr:row>
      <xdr:rowOff>152518</xdr:rowOff>
    </xdr:to>
    <xdr:sp macro="" textlink="">
      <xdr:nvSpPr>
        <xdr:cNvPr id="6151" name="Text Box 7">
          <a:extLst>
            <a:ext uri="{FF2B5EF4-FFF2-40B4-BE49-F238E27FC236}">
              <a16:creationId xmlns:a16="http://schemas.microsoft.com/office/drawing/2014/main" id="{00000000-0008-0000-1600-000007180000}"/>
            </a:ext>
          </a:extLst>
        </xdr:cNvPr>
        <xdr:cNvSpPr txBox="1">
          <a:spLocks noChangeArrowheads="1"/>
        </xdr:cNvSpPr>
      </xdr:nvSpPr>
      <xdr:spPr bwMode="auto">
        <a:xfrm>
          <a:off x="5629275" y="601262"/>
          <a:ext cx="2552700" cy="925723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200" b="0" i="1" strike="noStrike">
              <a:solidFill>
                <a:srgbClr val="000000"/>
              </a:solidFill>
              <a:latin typeface="Times New Roman"/>
              <a:cs typeface="Times New Roman"/>
            </a:rPr>
            <a:t>Framskriving</a:t>
          </a:r>
        </a:p>
        <a:p>
          <a:pPr algn="l" rtl="0">
            <a:defRPr sz="1000"/>
          </a:pPr>
          <a:r>
            <a:rPr lang="en-US" sz="1200" b="0" i="0" strike="noStrike">
              <a:solidFill>
                <a:srgbClr val="000000"/>
              </a:solidFill>
              <a:latin typeface="Times New Roman"/>
              <a:cs typeface="Times New Roman"/>
            </a:rPr>
            <a:t>I rapporten for 1., 2. og 3. kvartal gis det en framskriving av antall skader og anslått erstatning for inneværende skadeår. Alle slike tall er merket med *. Framskrivingen gir bare uttrykk for hva årsresultatet blir om den gjenværende del av året utvikler seg  på samme måte som de to foregående skadeår, gitt volumet for antall skader og anslått erstatning hittil i år. Framskrivingen blir derfor særlig sårbar hvis det er meldt storskader tidlig i året, eller ved andre spesielle hendelser som medfører uvanlige forsikringsår. Spesielt vil årene 2020 og 2021 (år med mange korona-tiltak), kunne inneholde «dårlige» framskrivings-grunnlag for hva som kan inntreffe resten av året, da disse årene sannsynligvis ikke vil følge «vanlig» utvikling, men utvikle seg i henhold til pandemiutviklingen og ulike tiltak fra Norges myndigheter. </a:t>
          </a:r>
        </a:p>
        <a:p>
          <a:pPr algn="l" rtl="0">
            <a:defRPr sz="1000"/>
          </a:pPr>
          <a:endParaRPr lang="en-US" sz="1200" b="0" i="0" strike="noStrike">
            <a:solidFill>
              <a:srgbClr val="000000"/>
            </a:solidFill>
            <a:latin typeface="Times New Roman"/>
            <a:cs typeface="Times New Roman"/>
          </a:endParaRPr>
        </a:p>
        <a:p>
          <a:pPr algn="l" rtl="0">
            <a:defRPr sz="1000"/>
          </a:pPr>
          <a:r>
            <a:rPr lang="en-US" sz="1200" b="1" i="0" strike="noStrike">
              <a:solidFill>
                <a:srgbClr val="000000"/>
              </a:solidFill>
              <a:latin typeface="Times New Roman"/>
              <a:cs typeface="Times New Roman"/>
            </a:rPr>
            <a:t>Usikkerhet i erstatningsanslagene</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De anslåtte erstatningene tar høyde for skader som er inntruffet, men som ennå ikke er meldt selskapene. Videre er det usikkerhet i hva de skadesakene som ikke er ferdig oppgjort vil koste. Tidligere skadehistorikk m.m. brukes for å gjøre denne usikkerheten så liten som mulig, men spesielt for ”langhalet” forretning vil erstatningsanslagene variere over tid.</a:t>
          </a:r>
        </a:p>
        <a:p>
          <a:pPr algn="l" rtl="0">
            <a:defRPr sz="1000"/>
          </a:pPr>
          <a:endParaRPr lang="en-US" sz="1200" b="0" i="0" strike="noStrike">
            <a:solidFill>
              <a:srgbClr val="000000"/>
            </a:solidFill>
            <a:latin typeface="Times New Roman"/>
            <a:cs typeface="Times New Roman"/>
          </a:endParaRPr>
        </a:p>
        <a:p>
          <a:pPr algn="l" rtl="0">
            <a:defRPr sz="1000"/>
          </a:pPr>
          <a:r>
            <a:rPr lang="en-US" sz="1200" b="1" i="0" strike="noStrike">
              <a:solidFill>
                <a:srgbClr val="000000"/>
              </a:solidFill>
              <a:latin typeface="Times New Roman"/>
              <a:cs typeface="Times New Roman"/>
            </a:rPr>
            <a:t>Spesielle merknader</a:t>
          </a:r>
          <a:endParaRPr lang="en-US" sz="1200" b="0" i="0" strike="noStrike">
            <a:solidFill>
              <a:srgbClr val="000000"/>
            </a:solidFill>
            <a:latin typeface="Times New Roman"/>
            <a:cs typeface="Times New Roman"/>
          </a:endParaRPr>
        </a:p>
        <a:p>
          <a:pPr rtl="0"/>
          <a:r>
            <a:rPr lang="en-US" sz="1200" b="0" i="1" strike="noStrike">
              <a:solidFill>
                <a:srgbClr val="000000"/>
              </a:solidFill>
              <a:latin typeface="Times New Roman"/>
              <a:ea typeface="+mn-ea"/>
              <a:cs typeface="Times New Roman"/>
            </a:rPr>
            <a:t>Brann</a:t>
          </a:r>
        </a:p>
        <a:p>
          <a:pPr rtl="0"/>
          <a:r>
            <a:rPr lang="en-US" sz="1200" b="0" i="0" strike="noStrike">
              <a:solidFill>
                <a:srgbClr val="000000"/>
              </a:solidFill>
              <a:latin typeface="Times New Roman"/>
              <a:ea typeface="+mn-ea"/>
              <a:cs typeface="Times New Roman"/>
            </a:rPr>
            <a:t>Ved å summere brann-tallene fra de to Brann-kombinerte bransjene vil totalen bli forskjellig fra Brannstatistikken utgitt av Finans Norge (BRASK). Det henvises til den statistikken hvis totale skadetall for hele markedet skal benyttes. </a:t>
          </a:r>
          <a:endParaRPr lang="nb-NO" sz="1200" b="0" i="0" strike="noStrike">
            <a:solidFill>
              <a:srgbClr val="000000"/>
            </a:solidFill>
            <a:latin typeface="Times New Roman"/>
            <a:ea typeface="+mn-ea"/>
            <a:cs typeface="Times New Roman"/>
          </a:endParaRPr>
        </a:p>
        <a:p>
          <a:pPr rtl="0"/>
          <a:endParaRPr lang="en-US" sz="1100" b="0" i="0">
            <a:latin typeface="+mn-lt"/>
            <a:ea typeface="+mn-ea"/>
            <a:cs typeface="+mn-cs"/>
          </a:endParaRPr>
        </a:p>
        <a:p>
          <a:pPr marL="0" indent="0" rtl="0"/>
          <a:r>
            <a:rPr lang="en-US" sz="1200" b="0" i="1" strike="noStrike">
              <a:solidFill>
                <a:srgbClr val="000000"/>
              </a:solidFill>
              <a:latin typeface="Times New Roman"/>
              <a:ea typeface="+mn-ea"/>
              <a:cs typeface="Times New Roman"/>
            </a:rPr>
            <a:t>Yrkesskadeforsikring</a:t>
          </a:r>
        </a:p>
        <a:p>
          <a:pPr rtl="0"/>
          <a:r>
            <a:rPr lang="en-US" sz="1200" b="0" i="0" strike="noStrike">
              <a:solidFill>
                <a:srgbClr val="000000"/>
              </a:solidFill>
              <a:latin typeface="Times New Roman"/>
              <a:ea typeface="+mn-ea"/>
              <a:cs typeface="Times New Roman"/>
            </a:rPr>
            <a:t>Her vises yrkesskader etter lov om yrkesskadeforsikring. Tilleggsdekninger rapporteres under trygghetsforsikring.</a:t>
          </a:r>
          <a:endParaRPr lang="nb-NO" sz="1200" b="0" i="0" strike="noStrike">
            <a:solidFill>
              <a:srgbClr val="000000"/>
            </a:solidFill>
            <a:latin typeface="Times New Roman"/>
            <a:ea typeface="+mn-ea"/>
            <a:cs typeface="Times New Roman"/>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10</xdr:col>
      <xdr:colOff>454823</xdr:colOff>
      <xdr:row>4</xdr:row>
      <xdr:rowOff>66675</xdr:rowOff>
    </xdr:from>
    <xdr:to>
      <xdr:col>13</xdr:col>
      <xdr:colOff>721523</xdr:colOff>
      <xdr:row>50</xdr:row>
      <xdr:rowOff>133350</xdr:rowOff>
    </xdr:to>
    <xdr:sp macro="" textlink="">
      <xdr:nvSpPr>
        <xdr:cNvPr id="6152" name="Text Box 8">
          <a:extLst>
            <a:ext uri="{FF2B5EF4-FFF2-40B4-BE49-F238E27FC236}">
              <a16:creationId xmlns:a16="http://schemas.microsoft.com/office/drawing/2014/main" id="{00000000-0008-0000-1600-000008180000}"/>
            </a:ext>
          </a:extLst>
        </xdr:cNvPr>
        <xdr:cNvSpPr txBox="1">
          <a:spLocks noChangeArrowheads="1"/>
        </xdr:cNvSpPr>
      </xdr:nvSpPr>
      <xdr:spPr bwMode="auto">
        <a:xfrm>
          <a:off x="8205792" y="578644"/>
          <a:ext cx="2552700" cy="9377362"/>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endParaRPr lang="en-US" sz="1200" b="0" i="0" strike="noStrike">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Kvartalstatistikkene/Premiestatistikk/Rapport/premiestatistikken.xlsx" TargetMode="External"/><Relationship Id="rId1" Type="http://schemas.openxmlformats.org/officeDocument/2006/relationships/externalLinkPath" Target="/Kvartalstatistikkene/Premiestatistikk/Rapport/premiestatistikke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orsikringsdrift.sharepoint.com/sites/soa/Delte%20dokumenter/Kvartalstatistikkene/Skadestatistikk/Rapport/skadestatistikken_2025q4.xlsx" TargetMode="External"/><Relationship Id="rId1" Type="http://schemas.openxmlformats.org/officeDocument/2006/relationships/externalLinkPath" Target="skadestatistikken_2025q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side "/>
      <sheetName val="Innhold"/>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DATA_11"/>
      <sheetName val="DATA_12"/>
      <sheetName val="DATA_21"/>
      <sheetName val="DATA_31"/>
      <sheetName val="DATA_32"/>
      <sheetName val="DATA_41"/>
      <sheetName val="DATA_42"/>
      <sheetName val="DATA_51"/>
      <sheetName val="DATA_52"/>
      <sheetName val="DATA_61"/>
      <sheetName val="DATA_62"/>
      <sheetName val="DATA_63"/>
      <sheetName val="DATA_64"/>
      <sheetName val="DATA_71"/>
      <sheetName val="DATA_72"/>
      <sheetName val="DATA_81"/>
      <sheetName val="DATA_82"/>
      <sheetName val="DATA_91"/>
      <sheetName val="DATA_92"/>
      <sheetName val="DATA_93"/>
      <sheetName val="DATA_B1"/>
      <sheetName val="DATA_B2"/>
      <sheetName val="DATA_K1"/>
      <sheetName val="DATA_K2"/>
      <sheetName val="DATA_M1"/>
      <sheetName val="DATA_M2"/>
      <sheetName val="Forside"/>
      <sheetName val="DATA_P1"/>
      <sheetName val="DATA_P2"/>
    </sheetNames>
    <sheetDataSet>
      <sheetData sheetId="0"/>
      <sheetData sheetId="1"/>
      <sheetData sheetId="2"/>
      <sheetData sheetId="3"/>
      <sheetData sheetId="4"/>
      <sheetData sheetId="5"/>
      <sheetData sheetId="6">
        <row r="6">
          <cell r="B6" t="str">
            <v>31.12.2011</v>
          </cell>
          <cell r="C6" t="str">
            <v>31.12.2012</v>
          </cell>
          <cell r="D6" t="str">
            <v>31.12.2013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sheetName val="Innhold"/>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s>
    <sheetDataSet>
      <sheetData sheetId="0"/>
      <sheetData sheetId="1">
        <row r="123">
          <cell r="B123" t="str">
            <v>Finans Norge / Skadeforsikringsstatistikk</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J57"/>
  <sheetViews>
    <sheetView showGridLines="0" showRowColHeaders="0" zoomScale="65" zoomScaleNormal="65" zoomScaleSheetLayoutView="100" workbookViewId="0"/>
  </sheetViews>
  <sheetFormatPr baseColWidth="10" defaultColWidth="11.44140625" defaultRowHeight="13.2" x14ac:dyDescent="0.25"/>
  <cols>
    <col min="1" max="1" width="16.21875" style="138" customWidth="1"/>
    <col min="2" max="4" width="11.44140625" style="138"/>
    <col min="5" max="5" width="14.21875" style="138" bestFit="1" customWidth="1"/>
    <col min="6" max="7" width="11.44140625" style="138"/>
    <col min="8" max="8" width="13.44140625" style="138" customWidth="1"/>
    <col min="9" max="9" width="11.44140625" style="138"/>
    <col min="10" max="10" width="13.44140625" style="138" bestFit="1" customWidth="1"/>
    <col min="11" max="256" width="11.44140625" style="138"/>
    <col min="257" max="257" width="16.21875" style="138" customWidth="1"/>
    <col min="258" max="260" width="11.44140625" style="138"/>
    <col min="261" max="261" width="14.21875" style="138" bestFit="1" customWidth="1"/>
    <col min="262" max="263" width="11.44140625" style="138"/>
    <col min="264" max="264" width="13.44140625" style="138" customWidth="1"/>
    <col min="265" max="265" width="11.44140625" style="138"/>
    <col min="266" max="266" width="13.44140625" style="138" bestFit="1" customWidth="1"/>
    <col min="267" max="512" width="11.44140625" style="138"/>
    <col min="513" max="513" width="16.21875" style="138" customWidth="1"/>
    <col min="514" max="516" width="11.44140625" style="138"/>
    <col min="517" max="517" width="14.21875" style="138" bestFit="1" customWidth="1"/>
    <col min="518" max="519" width="11.44140625" style="138"/>
    <col min="520" max="520" width="13.44140625" style="138" customWidth="1"/>
    <col min="521" max="521" width="11.44140625" style="138"/>
    <col min="522" max="522" width="13.44140625" style="138" bestFit="1" customWidth="1"/>
    <col min="523" max="768" width="11.44140625" style="138"/>
    <col min="769" max="769" width="16.21875" style="138" customWidth="1"/>
    <col min="770" max="772" width="11.44140625" style="138"/>
    <col min="773" max="773" width="14.21875" style="138" bestFit="1" customWidth="1"/>
    <col min="774" max="775" width="11.44140625" style="138"/>
    <col min="776" max="776" width="13.44140625" style="138" customWidth="1"/>
    <col min="777" max="777" width="11.44140625" style="138"/>
    <col min="778" max="778" width="13.44140625" style="138" bestFit="1" customWidth="1"/>
    <col min="779" max="1024" width="11.44140625" style="138"/>
    <col min="1025" max="1025" width="16.21875" style="138" customWidth="1"/>
    <col min="1026" max="1028" width="11.44140625" style="138"/>
    <col min="1029" max="1029" width="14.21875" style="138" bestFit="1" customWidth="1"/>
    <col min="1030" max="1031" width="11.44140625" style="138"/>
    <col min="1032" max="1032" width="13.44140625" style="138" customWidth="1"/>
    <col min="1033" max="1033" width="11.44140625" style="138"/>
    <col min="1034" max="1034" width="13.44140625" style="138" bestFit="1" customWidth="1"/>
    <col min="1035" max="1280" width="11.44140625" style="138"/>
    <col min="1281" max="1281" width="16.21875" style="138" customWidth="1"/>
    <col min="1282" max="1284" width="11.44140625" style="138"/>
    <col min="1285" max="1285" width="14.21875" style="138" bestFit="1" customWidth="1"/>
    <col min="1286" max="1287" width="11.44140625" style="138"/>
    <col min="1288" max="1288" width="13.44140625" style="138" customWidth="1"/>
    <col min="1289" max="1289" width="11.44140625" style="138"/>
    <col min="1290" max="1290" width="13.44140625" style="138" bestFit="1" customWidth="1"/>
    <col min="1291" max="1536" width="11.44140625" style="138"/>
    <col min="1537" max="1537" width="16.21875" style="138" customWidth="1"/>
    <col min="1538" max="1540" width="11.44140625" style="138"/>
    <col min="1541" max="1541" width="14.21875" style="138" bestFit="1" customWidth="1"/>
    <col min="1542" max="1543" width="11.44140625" style="138"/>
    <col min="1544" max="1544" width="13.44140625" style="138" customWidth="1"/>
    <col min="1545" max="1545" width="11.44140625" style="138"/>
    <col min="1546" max="1546" width="13.44140625" style="138" bestFit="1" customWidth="1"/>
    <col min="1547" max="1792" width="11.44140625" style="138"/>
    <col min="1793" max="1793" width="16.21875" style="138" customWidth="1"/>
    <col min="1794" max="1796" width="11.44140625" style="138"/>
    <col min="1797" max="1797" width="14.21875" style="138" bestFit="1" customWidth="1"/>
    <col min="1798" max="1799" width="11.44140625" style="138"/>
    <col min="1800" max="1800" width="13.44140625" style="138" customWidth="1"/>
    <col min="1801" max="1801" width="11.44140625" style="138"/>
    <col min="1802" max="1802" width="13.44140625" style="138" bestFit="1" customWidth="1"/>
    <col min="1803" max="2048" width="11.44140625" style="138"/>
    <col min="2049" max="2049" width="16.21875" style="138" customWidth="1"/>
    <col min="2050" max="2052" width="11.44140625" style="138"/>
    <col min="2053" max="2053" width="14.21875" style="138" bestFit="1" customWidth="1"/>
    <col min="2054" max="2055" width="11.44140625" style="138"/>
    <col min="2056" max="2056" width="13.44140625" style="138" customWidth="1"/>
    <col min="2057" max="2057" width="11.44140625" style="138"/>
    <col min="2058" max="2058" width="13.44140625" style="138" bestFit="1" customWidth="1"/>
    <col min="2059" max="2304" width="11.44140625" style="138"/>
    <col min="2305" max="2305" width="16.21875" style="138" customWidth="1"/>
    <col min="2306" max="2308" width="11.44140625" style="138"/>
    <col min="2309" max="2309" width="14.21875" style="138" bestFit="1" customWidth="1"/>
    <col min="2310" max="2311" width="11.44140625" style="138"/>
    <col min="2312" max="2312" width="13.44140625" style="138" customWidth="1"/>
    <col min="2313" max="2313" width="11.44140625" style="138"/>
    <col min="2314" max="2314" width="13.44140625" style="138" bestFit="1" customWidth="1"/>
    <col min="2315" max="2560" width="11.44140625" style="138"/>
    <col min="2561" max="2561" width="16.21875" style="138" customWidth="1"/>
    <col min="2562" max="2564" width="11.44140625" style="138"/>
    <col min="2565" max="2565" width="14.21875" style="138" bestFit="1" customWidth="1"/>
    <col min="2566" max="2567" width="11.44140625" style="138"/>
    <col min="2568" max="2568" width="13.44140625" style="138" customWidth="1"/>
    <col min="2569" max="2569" width="11.44140625" style="138"/>
    <col min="2570" max="2570" width="13.44140625" style="138" bestFit="1" customWidth="1"/>
    <col min="2571" max="2816" width="11.44140625" style="138"/>
    <col min="2817" max="2817" width="16.21875" style="138" customWidth="1"/>
    <col min="2818" max="2820" width="11.44140625" style="138"/>
    <col min="2821" max="2821" width="14.21875" style="138" bestFit="1" customWidth="1"/>
    <col min="2822" max="2823" width="11.44140625" style="138"/>
    <col min="2824" max="2824" width="13.44140625" style="138" customWidth="1"/>
    <col min="2825" max="2825" width="11.44140625" style="138"/>
    <col min="2826" max="2826" width="13.44140625" style="138" bestFit="1" customWidth="1"/>
    <col min="2827" max="3072" width="11.44140625" style="138"/>
    <col min="3073" max="3073" width="16.21875" style="138" customWidth="1"/>
    <col min="3074" max="3076" width="11.44140625" style="138"/>
    <col min="3077" max="3077" width="14.21875" style="138" bestFit="1" customWidth="1"/>
    <col min="3078" max="3079" width="11.44140625" style="138"/>
    <col min="3080" max="3080" width="13.44140625" style="138" customWidth="1"/>
    <col min="3081" max="3081" width="11.44140625" style="138"/>
    <col min="3082" max="3082" width="13.44140625" style="138" bestFit="1" customWidth="1"/>
    <col min="3083" max="3328" width="11.44140625" style="138"/>
    <col min="3329" max="3329" width="16.21875" style="138" customWidth="1"/>
    <col min="3330" max="3332" width="11.44140625" style="138"/>
    <col min="3333" max="3333" width="14.21875" style="138" bestFit="1" customWidth="1"/>
    <col min="3334" max="3335" width="11.44140625" style="138"/>
    <col min="3336" max="3336" width="13.44140625" style="138" customWidth="1"/>
    <col min="3337" max="3337" width="11.44140625" style="138"/>
    <col min="3338" max="3338" width="13.44140625" style="138" bestFit="1" customWidth="1"/>
    <col min="3339" max="3584" width="11.44140625" style="138"/>
    <col min="3585" max="3585" width="16.21875" style="138" customWidth="1"/>
    <col min="3586" max="3588" width="11.44140625" style="138"/>
    <col min="3589" max="3589" width="14.21875" style="138" bestFit="1" customWidth="1"/>
    <col min="3590" max="3591" width="11.44140625" style="138"/>
    <col min="3592" max="3592" width="13.44140625" style="138" customWidth="1"/>
    <col min="3593" max="3593" width="11.44140625" style="138"/>
    <col min="3594" max="3594" width="13.44140625" style="138" bestFit="1" customWidth="1"/>
    <col min="3595" max="3840" width="11.44140625" style="138"/>
    <col min="3841" max="3841" width="16.21875" style="138" customWidth="1"/>
    <col min="3842" max="3844" width="11.44140625" style="138"/>
    <col min="3845" max="3845" width="14.21875" style="138" bestFit="1" customWidth="1"/>
    <col min="3846" max="3847" width="11.44140625" style="138"/>
    <col min="3848" max="3848" width="13.44140625" style="138" customWidth="1"/>
    <col min="3849" max="3849" width="11.44140625" style="138"/>
    <col min="3850" max="3850" width="13.44140625" style="138" bestFit="1" customWidth="1"/>
    <col min="3851" max="4096" width="11.44140625" style="138"/>
    <col min="4097" max="4097" width="16.21875" style="138" customWidth="1"/>
    <col min="4098" max="4100" width="11.44140625" style="138"/>
    <col min="4101" max="4101" width="14.21875" style="138" bestFit="1" customWidth="1"/>
    <col min="4102" max="4103" width="11.44140625" style="138"/>
    <col min="4104" max="4104" width="13.44140625" style="138" customWidth="1"/>
    <col min="4105" max="4105" width="11.44140625" style="138"/>
    <col min="4106" max="4106" width="13.44140625" style="138" bestFit="1" customWidth="1"/>
    <col min="4107" max="4352" width="11.44140625" style="138"/>
    <col min="4353" max="4353" width="16.21875" style="138" customWidth="1"/>
    <col min="4354" max="4356" width="11.44140625" style="138"/>
    <col min="4357" max="4357" width="14.21875" style="138" bestFit="1" customWidth="1"/>
    <col min="4358" max="4359" width="11.44140625" style="138"/>
    <col min="4360" max="4360" width="13.44140625" style="138" customWidth="1"/>
    <col min="4361" max="4361" width="11.44140625" style="138"/>
    <col min="4362" max="4362" width="13.44140625" style="138" bestFit="1" customWidth="1"/>
    <col min="4363" max="4608" width="11.44140625" style="138"/>
    <col min="4609" max="4609" width="16.21875" style="138" customWidth="1"/>
    <col min="4610" max="4612" width="11.44140625" style="138"/>
    <col min="4613" max="4613" width="14.21875" style="138" bestFit="1" customWidth="1"/>
    <col min="4614" max="4615" width="11.44140625" style="138"/>
    <col min="4616" max="4616" width="13.44140625" style="138" customWidth="1"/>
    <col min="4617" max="4617" width="11.44140625" style="138"/>
    <col min="4618" max="4618" width="13.44140625" style="138" bestFit="1" customWidth="1"/>
    <col min="4619" max="4864" width="11.44140625" style="138"/>
    <col min="4865" max="4865" width="16.21875" style="138" customWidth="1"/>
    <col min="4866" max="4868" width="11.44140625" style="138"/>
    <col min="4869" max="4869" width="14.21875" style="138" bestFit="1" customWidth="1"/>
    <col min="4870" max="4871" width="11.44140625" style="138"/>
    <col min="4872" max="4872" width="13.44140625" style="138" customWidth="1"/>
    <col min="4873" max="4873" width="11.44140625" style="138"/>
    <col min="4874" max="4874" width="13.44140625" style="138" bestFit="1" customWidth="1"/>
    <col min="4875" max="5120" width="11.44140625" style="138"/>
    <col min="5121" max="5121" width="16.21875" style="138" customWidth="1"/>
    <col min="5122" max="5124" width="11.44140625" style="138"/>
    <col min="5125" max="5125" width="14.21875" style="138" bestFit="1" customWidth="1"/>
    <col min="5126" max="5127" width="11.44140625" style="138"/>
    <col min="5128" max="5128" width="13.44140625" style="138" customWidth="1"/>
    <col min="5129" max="5129" width="11.44140625" style="138"/>
    <col min="5130" max="5130" width="13.44140625" style="138" bestFit="1" customWidth="1"/>
    <col min="5131" max="5376" width="11.44140625" style="138"/>
    <col min="5377" max="5377" width="16.21875" style="138" customWidth="1"/>
    <col min="5378" max="5380" width="11.44140625" style="138"/>
    <col min="5381" max="5381" width="14.21875" style="138" bestFit="1" customWidth="1"/>
    <col min="5382" max="5383" width="11.44140625" style="138"/>
    <col min="5384" max="5384" width="13.44140625" style="138" customWidth="1"/>
    <col min="5385" max="5385" width="11.44140625" style="138"/>
    <col min="5386" max="5386" width="13.44140625" style="138" bestFit="1" customWidth="1"/>
    <col min="5387" max="5632" width="11.44140625" style="138"/>
    <col min="5633" max="5633" width="16.21875" style="138" customWidth="1"/>
    <col min="5634" max="5636" width="11.44140625" style="138"/>
    <col min="5637" max="5637" width="14.21875" style="138" bestFit="1" customWidth="1"/>
    <col min="5638" max="5639" width="11.44140625" style="138"/>
    <col min="5640" max="5640" width="13.44140625" style="138" customWidth="1"/>
    <col min="5641" max="5641" width="11.44140625" style="138"/>
    <col min="5642" max="5642" width="13.44140625" style="138" bestFit="1" customWidth="1"/>
    <col min="5643" max="5888" width="11.44140625" style="138"/>
    <col min="5889" max="5889" width="16.21875" style="138" customWidth="1"/>
    <col min="5890" max="5892" width="11.44140625" style="138"/>
    <col min="5893" max="5893" width="14.21875" style="138" bestFit="1" customWidth="1"/>
    <col min="5894" max="5895" width="11.44140625" style="138"/>
    <col min="5896" max="5896" width="13.44140625" style="138" customWidth="1"/>
    <col min="5897" max="5897" width="11.44140625" style="138"/>
    <col min="5898" max="5898" width="13.44140625" style="138" bestFit="1" customWidth="1"/>
    <col min="5899" max="6144" width="11.44140625" style="138"/>
    <col min="6145" max="6145" width="16.21875" style="138" customWidth="1"/>
    <col min="6146" max="6148" width="11.44140625" style="138"/>
    <col min="6149" max="6149" width="14.21875" style="138" bestFit="1" customWidth="1"/>
    <col min="6150" max="6151" width="11.44140625" style="138"/>
    <col min="6152" max="6152" width="13.44140625" style="138" customWidth="1"/>
    <col min="6153" max="6153" width="11.44140625" style="138"/>
    <col min="6154" max="6154" width="13.44140625" style="138" bestFit="1" customWidth="1"/>
    <col min="6155" max="6400" width="11.44140625" style="138"/>
    <col min="6401" max="6401" width="16.21875" style="138" customWidth="1"/>
    <col min="6402" max="6404" width="11.44140625" style="138"/>
    <col min="6405" max="6405" width="14.21875" style="138" bestFit="1" customWidth="1"/>
    <col min="6406" max="6407" width="11.44140625" style="138"/>
    <col min="6408" max="6408" width="13.44140625" style="138" customWidth="1"/>
    <col min="6409" max="6409" width="11.44140625" style="138"/>
    <col min="6410" max="6410" width="13.44140625" style="138" bestFit="1" customWidth="1"/>
    <col min="6411" max="6656" width="11.44140625" style="138"/>
    <col min="6657" max="6657" width="16.21875" style="138" customWidth="1"/>
    <col min="6658" max="6660" width="11.44140625" style="138"/>
    <col min="6661" max="6661" width="14.21875" style="138" bestFit="1" customWidth="1"/>
    <col min="6662" max="6663" width="11.44140625" style="138"/>
    <col min="6664" max="6664" width="13.44140625" style="138" customWidth="1"/>
    <col min="6665" max="6665" width="11.44140625" style="138"/>
    <col min="6666" max="6666" width="13.44140625" style="138" bestFit="1" customWidth="1"/>
    <col min="6667" max="6912" width="11.44140625" style="138"/>
    <col min="6913" max="6913" width="16.21875" style="138" customWidth="1"/>
    <col min="6914" max="6916" width="11.44140625" style="138"/>
    <col min="6917" max="6917" width="14.21875" style="138" bestFit="1" customWidth="1"/>
    <col min="6918" max="6919" width="11.44140625" style="138"/>
    <col min="6920" max="6920" width="13.44140625" style="138" customWidth="1"/>
    <col min="6921" max="6921" width="11.44140625" style="138"/>
    <col min="6922" max="6922" width="13.44140625" style="138" bestFit="1" customWidth="1"/>
    <col min="6923" max="7168" width="11.44140625" style="138"/>
    <col min="7169" max="7169" width="16.21875" style="138" customWidth="1"/>
    <col min="7170" max="7172" width="11.44140625" style="138"/>
    <col min="7173" max="7173" width="14.21875" style="138" bestFit="1" customWidth="1"/>
    <col min="7174" max="7175" width="11.44140625" style="138"/>
    <col min="7176" max="7176" width="13.44140625" style="138" customWidth="1"/>
    <col min="7177" max="7177" width="11.44140625" style="138"/>
    <col min="7178" max="7178" width="13.44140625" style="138" bestFit="1" customWidth="1"/>
    <col min="7179" max="7424" width="11.44140625" style="138"/>
    <col min="7425" max="7425" width="16.21875" style="138" customWidth="1"/>
    <col min="7426" max="7428" width="11.44140625" style="138"/>
    <col min="7429" max="7429" width="14.21875" style="138" bestFit="1" customWidth="1"/>
    <col min="7430" max="7431" width="11.44140625" style="138"/>
    <col min="7432" max="7432" width="13.44140625" style="138" customWidth="1"/>
    <col min="7433" max="7433" width="11.44140625" style="138"/>
    <col min="7434" max="7434" width="13.44140625" style="138" bestFit="1" customWidth="1"/>
    <col min="7435" max="7680" width="11.44140625" style="138"/>
    <col min="7681" max="7681" width="16.21875" style="138" customWidth="1"/>
    <col min="7682" max="7684" width="11.44140625" style="138"/>
    <col min="7685" max="7685" width="14.21875" style="138" bestFit="1" customWidth="1"/>
    <col min="7686" max="7687" width="11.44140625" style="138"/>
    <col min="7688" max="7688" width="13.44140625" style="138" customWidth="1"/>
    <col min="7689" max="7689" width="11.44140625" style="138"/>
    <col min="7690" max="7690" width="13.44140625" style="138" bestFit="1" customWidth="1"/>
    <col min="7691" max="7936" width="11.44140625" style="138"/>
    <col min="7937" max="7937" width="16.21875" style="138" customWidth="1"/>
    <col min="7938" max="7940" width="11.44140625" style="138"/>
    <col min="7941" max="7941" width="14.21875" style="138" bestFit="1" customWidth="1"/>
    <col min="7942" max="7943" width="11.44140625" style="138"/>
    <col min="7944" max="7944" width="13.44140625" style="138" customWidth="1"/>
    <col min="7945" max="7945" width="11.44140625" style="138"/>
    <col min="7946" max="7946" width="13.44140625" style="138" bestFit="1" customWidth="1"/>
    <col min="7947" max="8192" width="11.44140625" style="138"/>
    <col min="8193" max="8193" width="16.21875" style="138" customWidth="1"/>
    <col min="8194" max="8196" width="11.44140625" style="138"/>
    <col min="8197" max="8197" width="14.21875" style="138" bestFit="1" customWidth="1"/>
    <col min="8198" max="8199" width="11.44140625" style="138"/>
    <col min="8200" max="8200" width="13.44140625" style="138" customWidth="1"/>
    <col min="8201" max="8201" width="11.44140625" style="138"/>
    <col min="8202" max="8202" width="13.44140625" style="138" bestFit="1" customWidth="1"/>
    <col min="8203" max="8448" width="11.44140625" style="138"/>
    <col min="8449" max="8449" width="16.21875" style="138" customWidth="1"/>
    <col min="8450" max="8452" width="11.44140625" style="138"/>
    <col min="8453" max="8453" width="14.21875" style="138" bestFit="1" customWidth="1"/>
    <col min="8454" max="8455" width="11.44140625" style="138"/>
    <col min="8456" max="8456" width="13.44140625" style="138" customWidth="1"/>
    <col min="8457" max="8457" width="11.44140625" style="138"/>
    <col min="8458" max="8458" width="13.44140625" style="138" bestFit="1" customWidth="1"/>
    <col min="8459" max="8704" width="11.44140625" style="138"/>
    <col min="8705" max="8705" width="16.21875" style="138" customWidth="1"/>
    <col min="8706" max="8708" width="11.44140625" style="138"/>
    <col min="8709" max="8709" width="14.21875" style="138" bestFit="1" customWidth="1"/>
    <col min="8710" max="8711" width="11.44140625" style="138"/>
    <col min="8712" max="8712" width="13.44140625" style="138" customWidth="1"/>
    <col min="8713" max="8713" width="11.44140625" style="138"/>
    <col min="8714" max="8714" width="13.44140625" style="138" bestFit="1" customWidth="1"/>
    <col min="8715" max="8960" width="11.44140625" style="138"/>
    <col min="8961" max="8961" width="16.21875" style="138" customWidth="1"/>
    <col min="8962" max="8964" width="11.44140625" style="138"/>
    <col min="8965" max="8965" width="14.21875" style="138" bestFit="1" customWidth="1"/>
    <col min="8966" max="8967" width="11.44140625" style="138"/>
    <col min="8968" max="8968" width="13.44140625" style="138" customWidth="1"/>
    <col min="8969" max="8969" width="11.44140625" style="138"/>
    <col min="8970" max="8970" width="13.44140625" style="138" bestFit="1" customWidth="1"/>
    <col min="8971" max="9216" width="11.44140625" style="138"/>
    <col min="9217" max="9217" width="16.21875" style="138" customWidth="1"/>
    <col min="9218" max="9220" width="11.44140625" style="138"/>
    <col min="9221" max="9221" width="14.21875" style="138" bestFit="1" customWidth="1"/>
    <col min="9222" max="9223" width="11.44140625" style="138"/>
    <col min="9224" max="9224" width="13.44140625" style="138" customWidth="1"/>
    <col min="9225" max="9225" width="11.44140625" style="138"/>
    <col min="9226" max="9226" width="13.44140625" style="138" bestFit="1" customWidth="1"/>
    <col min="9227" max="9472" width="11.44140625" style="138"/>
    <col min="9473" max="9473" width="16.21875" style="138" customWidth="1"/>
    <col min="9474" max="9476" width="11.44140625" style="138"/>
    <col min="9477" max="9477" width="14.21875" style="138" bestFit="1" customWidth="1"/>
    <col min="9478" max="9479" width="11.44140625" style="138"/>
    <col min="9480" max="9480" width="13.44140625" style="138" customWidth="1"/>
    <col min="9481" max="9481" width="11.44140625" style="138"/>
    <col min="9482" max="9482" width="13.44140625" style="138" bestFit="1" customWidth="1"/>
    <col min="9483" max="9728" width="11.44140625" style="138"/>
    <col min="9729" max="9729" width="16.21875" style="138" customWidth="1"/>
    <col min="9730" max="9732" width="11.44140625" style="138"/>
    <col min="9733" max="9733" width="14.21875" style="138" bestFit="1" customWidth="1"/>
    <col min="9734" max="9735" width="11.44140625" style="138"/>
    <col min="9736" max="9736" width="13.44140625" style="138" customWidth="1"/>
    <col min="9737" max="9737" width="11.44140625" style="138"/>
    <col min="9738" max="9738" width="13.44140625" style="138" bestFit="1" customWidth="1"/>
    <col min="9739" max="9984" width="11.44140625" style="138"/>
    <col min="9985" max="9985" width="16.21875" style="138" customWidth="1"/>
    <col min="9986" max="9988" width="11.44140625" style="138"/>
    <col min="9989" max="9989" width="14.21875" style="138" bestFit="1" customWidth="1"/>
    <col min="9990" max="9991" width="11.44140625" style="138"/>
    <col min="9992" max="9992" width="13.44140625" style="138" customWidth="1"/>
    <col min="9993" max="9993" width="11.44140625" style="138"/>
    <col min="9994" max="9994" width="13.44140625" style="138" bestFit="1" customWidth="1"/>
    <col min="9995" max="10240" width="11.44140625" style="138"/>
    <col min="10241" max="10241" width="16.21875" style="138" customWidth="1"/>
    <col min="10242" max="10244" width="11.44140625" style="138"/>
    <col min="10245" max="10245" width="14.21875" style="138" bestFit="1" customWidth="1"/>
    <col min="10246" max="10247" width="11.44140625" style="138"/>
    <col min="10248" max="10248" width="13.44140625" style="138" customWidth="1"/>
    <col min="10249" max="10249" width="11.44140625" style="138"/>
    <col min="10250" max="10250" width="13.44140625" style="138" bestFit="1" customWidth="1"/>
    <col min="10251" max="10496" width="11.44140625" style="138"/>
    <col min="10497" max="10497" width="16.21875" style="138" customWidth="1"/>
    <col min="10498" max="10500" width="11.44140625" style="138"/>
    <col min="10501" max="10501" width="14.21875" style="138" bestFit="1" customWidth="1"/>
    <col min="10502" max="10503" width="11.44140625" style="138"/>
    <col min="10504" max="10504" width="13.44140625" style="138" customWidth="1"/>
    <col min="10505" max="10505" width="11.44140625" style="138"/>
    <col min="10506" max="10506" width="13.44140625" style="138" bestFit="1" customWidth="1"/>
    <col min="10507" max="10752" width="11.44140625" style="138"/>
    <col min="10753" max="10753" width="16.21875" style="138" customWidth="1"/>
    <col min="10754" max="10756" width="11.44140625" style="138"/>
    <col min="10757" max="10757" width="14.21875" style="138" bestFit="1" customWidth="1"/>
    <col min="10758" max="10759" width="11.44140625" style="138"/>
    <col min="10760" max="10760" width="13.44140625" style="138" customWidth="1"/>
    <col min="10761" max="10761" width="11.44140625" style="138"/>
    <col min="10762" max="10762" width="13.44140625" style="138" bestFit="1" customWidth="1"/>
    <col min="10763" max="11008" width="11.44140625" style="138"/>
    <col min="11009" max="11009" width="16.21875" style="138" customWidth="1"/>
    <col min="11010" max="11012" width="11.44140625" style="138"/>
    <col min="11013" max="11013" width="14.21875" style="138" bestFit="1" customWidth="1"/>
    <col min="11014" max="11015" width="11.44140625" style="138"/>
    <col min="11016" max="11016" width="13.44140625" style="138" customWidth="1"/>
    <col min="11017" max="11017" width="11.44140625" style="138"/>
    <col min="11018" max="11018" width="13.44140625" style="138" bestFit="1" customWidth="1"/>
    <col min="11019" max="11264" width="11.44140625" style="138"/>
    <col min="11265" max="11265" width="16.21875" style="138" customWidth="1"/>
    <col min="11266" max="11268" width="11.44140625" style="138"/>
    <col min="11269" max="11269" width="14.21875" style="138" bestFit="1" customWidth="1"/>
    <col min="11270" max="11271" width="11.44140625" style="138"/>
    <col min="11272" max="11272" width="13.44140625" style="138" customWidth="1"/>
    <col min="11273" max="11273" width="11.44140625" style="138"/>
    <col min="11274" max="11274" width="13.44140625" style="138" bestFit="1" customWidth="1"/>
    <col min="11275" max="11520" width="11.44140625" style="138"/>
    <col min="11521" max="11521" width="16.21875" style="138" customWidth="1"/>
    <col min="11522" max="11524" width="11.44140625" style="138"/>
    <col min="11525" max="11525" width="14.21875" style="138" bestFit="1" customWidth="1"/>
    <col min="11526" max="11527" width="11.44140625" style="138"/>
    <col min="11528" max="11528" width="13.44140625" style="138" customWidth="1"/>
    <col min="11529" max="11529" width="11.44140625" style="138"/>
    <col min="11530" max="11530" width="13.44140625" style="138" bestFit="1" customWidth="1"/>
    <col min="11531" max="11776" width="11.44140625" style="138"/>
    <col min="11777" max="11777" width="16.21875" style="138" customWidth="1"/>
    <col min="11778" max="11780" width="11.44140625" style="138"/>
    <col min="11781" max="11781" width="14.21875" style="138" bestFit="1" customWidth="1"/>
    <col min="11782" max="11783" width="11.44140625" style="138"/>
    <col min="11784" max="11784" width="13.44140625" style="138" customWidth="1"/>
    <col min="11785" max="11785" width="11.44140625" style="138"/>
    <col min="11786" max="11786" width="13.44140625" style="138" bestFit="1" customWidth="1"/>
    <col min="11787" max="12032" width="11.44140625" style="138"/>
    <col min="12033" max="12033" width="16.21875" style="138" customWidth="1"/>
    <col min="12034" max="12036" width="11.44140625" style="138"/>
    <col min="12037" max="12037" width="14.21875" style="138" bestFit="1" customWidth="1"/>
    <col min="12038" max="12039" width="11.44140625" style="138"/>
    <col min="12040" max="12040" width="13.44140625" style="138" customWidth="1"/>
    <col min="12041" max="12041" width="11.44140625" style="138"/>
    <col min="12042" max="12042" width="13.44140625" style="138" bestFit="1" customWidth="1"/>
    <col min="12043" max="12288" width="11.44140625" style="138"/>
    <col min="12289" max="12289" width="16.21875" style="138" customWidth="1"/>
    <col min="12290" max="12292" width="11.44140625" style="138"/>
    <col min="12293" max="12293" width="14.21875" style="138" bestFit="1" customWidth="1"/>
    <col min="12294" max="12295" width="11.44140625" style="138"/>
    <col min="12296" max="12296" width="13.44140625" style="138" customWidth="1"/>
    <col min="12297" max="12297" width="11.44140625" style="138"/>
    <col min="12298" max="12298" width="13.44140625" style="138" bestFit="1" customWidth="1"/>
    <col min="12299" max="12544" width="11.44140625" style="138"/>
    <col min="12545" max="12545" width="16.21875" style="138" customWidth="1"/>
    <col min="12546" max="12548" width="11.44140625" style="138"/>
    <col min="12549" max="12549" width="14.21875" style="138" bestFit="1" customWidth="1"/>
    <col min="12550" max="12551" width="11.44140625" style="138"/>
    <col min="12552" max="12552" width="13.44140625" style="138" customWidth="1"/>
    <col min="12553" max="12553" width="11.44140625" style="138"/>
    <col min="12554" max="12554" width="13.44140625" style="138" bestFit="1" customWidth="1"/>
    <col min="12555" max="12800" width="11.44140625" style="138"/>
    <col min="12801" max="12801" width="16.21875" style="138" customWidth="1"/>
    <col min="12802" max="12804" width="11.44140625" style="138"/>
    <col min="12805" max="12805" width="14.21875" style="138" bestFit="1" customWidth="1"/>
    <col min="12806" max="12807" width="11.44140625" style="138"/>
    <col min="12808" max="12808" width="13.44140625" style="138" customWidth="1"/>
    <col min="12809" max="12809" width="11.44140625" style="138"/>
    <col min="12810" max="12810" width="13.44140625" style="138" bestFit="1" customWidth="1"/>
    <col min="12811" max="13056" width="11.44140625" style="138"/>
    <col min="13057" max="13057" width="16.21875" style="138" customWidth="1"/>
    <col min="13058" max="13060" width="11.44140625" style="138"/>
    <col min="13061" max="13061" width="14.21875" style="138" bestFit="1" customWidth="1"/>
    <col min="13062" max="13063" width="11.44140625" style="138"/>
    <col min="13064" max="13064" width="13.44140625" style="138" customWidth="1"/>
    <col min="13065" max="13065" width="11.44140625" style="138"/>
    <col min="13066" max="13066" width="13.44140625" style="138" bestFit="1" customWidth="1"/>
    <col min="13067" max="13312" width="11.44140625" style="138"/>
    <col min="13313" max="13313" width="16.21875" style="138" customWidth="1"/>
    <col min="13314" max="13316" width="11.44140625" style="138"/>
    <col min="13317" max="13317" width="14.21875" style="138" bestFit="1" customWidth="1"/>
    <col min="13318" max="13319" width="11.44140625" style="138"/>
    <col min="13320" max="13320" width="13.44140625" style="138" customWidth="1"/>
    <col min="13321" max="13321" width="11.44140625" style="138"/>
    <col min="13322" max="13322" width="13.44140625" style="138" bestFit="1" customWidth="1"/>
    <col min="13323" max="13568" width="11.44140625" style="138"/>
    <col min="13569" max="13569" width="16.21875" style="138" customWidth="1"/>
    <col min="13570" max="13572" width="11.44140625" style="138"/>
    <col min="13573" max="13573" width="14.21875" style="138" bestFit="1" customWidth="1"/>
    <col min="13574" max="13575" width="11.44140625" style="138"/>
    <col min="13576" max="13576" width="13.44140625" style="138" customWidth="1"/>
    <col min="13577" max="13577" width="11.44140625" style="138"/>
    <col min="13578" max="13578" width="13.44140625" style="138" bestFit="1" customWidth="1"/>
    <col min="13579" max="13824" width="11.44140625" style="138"/>
    <col min="13825" max="13825" width="16.21875" style="138" customWidth="1"/>
    <col min="13826" max="13828" width="11.44140625" style="138"/>
    <col min="13829" max="13829" width="14.21875" style="138" bestFit="1" customWidth="1"/>
    <col min="13830" max="13831" width="11.44140625" style="138"/>
    <col min="13832" max="13832" width="13.44140625" style="138" customWidth="1"/>
    <col min="13833" max="13833" width="11.44140625" style="138"/>
    <col min="13834" max="13834" width="13.44140625" style="138" bestFit="1" customWidth="1"/>
    <col min="13835" max="14080" width="11.44140625" style="138"/>
    <col min="14081" max="14081" width="16.21875" style="138" customWidth="1"/>
    <col min="14082" max="14084" width="11.44140625" style="138"/>
    <col min="14085" max="14085" width="14.21875" style="138" bestFit="1" customWidth="1"/>
    <col min="14086" max="14087" width="11.44140625" style="138"/>
    <col min="14088" max="14088" width="13.44140625" style="138" customWidth="1"/>
    <col min="14089" max="14089" width="11.44140625" style="138"/>
    <col min="14090" max="14090" width="13.44140625" style="138" bestFit="1" customWidth="1"/>
    <col min="14091" max="14336" width="11.44140625" style="138"/>
    <col min="14337" max="14337" width="16.21875" style="138" customWidth="1"/>
    <col min="14338" max="14340" width="11.44140625" style="138"/>
    <col min="14341" max="14341" width="14.21875" style="138" bestFit="1" customWidth="1"/>
    <col min="14342" max="14343" width="11.44140625" style="138"/>
    <col min="14344" max="14344" width="13.44140625" style="138" customWidth="1"/>
    <col min="14345" max="14345" width="11.44140625" style="138"/>
    <col min="14346" max="14346" width="13.44140625" style="138" bestFit="1" customWidth="1"/>
    <col min="14347" max="14592" width="11.44140625" style="138"/>
    <col min="14593" max="14593" width="16.21875" style="138" customWidth="1"/>
    <col min="14594" max="14596" width="11.44140625" style="138"/>
    <col min="14597" max="14597" width="14.21875" style="138" bestFit="1" customWidth="1"/>
    <col min="14598" max="14599" width="11.44140625" style="138"/>
    <col min="14600" max="14600" width="13.44140625" style="138" customWidth="1"/>
    <col min="14601" max="14601" width="11.44140625" style="138"/>
    <col min="14602" max="14602" width="13.44140625" style="138" bestFit="1" customWidth="1"/>
    <col min="14603" max="14848" width="11.44140625" style="138"/>
    <col min="14849" max="14849" width="16.21875" style="138" customWidth="1"/>
    <col min="14850" max="14852" width="11.44140625" style="138"/>
    <col min="14853" max="14853" width="14.21875" style="138" bestFit="1" customWidth="1"/>
    <col min="14854" max="14855" width="11.44140625" style="138"/>
    <col min="14856" max="14856" width="13.44140625" style="138" customWidth="1"/>
    <col min="14857" max="14857" width="11.44140625" style="138"/>
    <col min="14858" max="14858" width="13.44140625" style="138" bestFit="1" customWidth="1"/>
    <col min="14859" max="15104" width="11.44140625" style="138"/>
    <col min="15105" max="15105" width="16.21875" style="138" customWidth="1"/>
    <col min="15106" max="15108" width="11.44140625" style="138"/>
    <col min="15109" max="15109" width="14.21875" style="138" bestFit="1" customWidth="1"/>
    <col min="15110" max="15111" width="11.44140625" style="138"/>
    <col min="15112" max="15112" width="13.44140625" style="138" customWidth="1"/>
    <col min="15113" max="15113" width="11.44140625" style="138"/>
    <col min="15114" max="15114" width="13.44140625" style="138" bestFit="1" customWidth="1"/>
    <col min="15115" max="15360" width="11.44140625" style="138"/>
    <col min="15361" max="15361" width="16.21875" style="138" customWidth="1"/>
    <col min="15362" max="15364" width="11.44140625" style="138"/>
    <col min="15365" max="15365" width="14.21875" style="138" bestFit="1" customWidth="1"/>
    <col min="15366" max="15367" width="11.44140625" style="138"/>
    <col min="15368" max="15368" width="13.44140625" style="138" customWidth="1"/>
    <col min="15369" max="15369" width="11.44140625" style="138"/>
    <col min="15370" max="15370" width="13.44140625" style="138" bestFit="1" customWidth="1"/>
    <col min="15371" max="15616" width="11.44140625" style="138"/>
    <col min="15617" max="15617" width="16.21875" style="138" customWidth="1"/>
    <col min="15618" max="15620" width="11.44140625" style="138"/>
    <col min="15621" max="15621" width="14.21875" style="138" bestFit="1" customWidth="1"/>
    <col min="15622" max="15623" width="11.44140625" style="138"/>
    <col min="15624" max="15624" width="13.44140625" style="138" customWidth="1"/>
    <col min="15625" max="15625" width="11.44140625" style="138"/>
    <col min="15626" max="15626" width="13.44140625" style="138" bestFit="1" customWidth="1"/>
    <col min="15627" max="15872" width="11.44140625" style="138"/>
    <col min="15873" max="15873" width="16.21875" style="138" customWidth="1"/>
    <col min="15874" max="15876" width="11.44140625" style="138"/>
    <col min="15877" max="15877" width="14.21875" style="138" bestFit="1" customWidth="1"/>
    <col min="15878" max="15879" width="11.44140625" style="138"/>
    <col min="15880" max="15880" width="13.44140625" style="138" customWidth="1"/>
    <col min="15881" max="15881" width="11.44140625" style="138"/>
    <col min="15882" max="15882" width="13.44140625" style="138" bestFit="1" customWidth="1"/>
    <col min="15883" max="16128" width="11.44140625" style="138"/>
    <col min="16129" max="16129" width="16.21875" style="138" customWidth="1"/>
    <col min="16130" max="16132" width="11.44140625" style="138"/>
    <col min="16133" max="16133" width="14.21875" style="138" bestFit="1" customWidth="1"/>
    <col min="16134" max="16135" width="11.44140625" style="138"/>
    <col min="16136" max="16136" width="13.44140625" style="138" customWidth="1"/>
    <col min="16137" max="16137" width="11.44140625" style="138"/>
    <col min="16138" max="16138" width="13.44140625" style="138" bestFit="1" customWidth="1"/>
    <col min="16139" max="16384" width="11.44140625" style="138"/>
  </cols>
  <sheetData>
    <row r="5" spans="2:9" x14ac:dyDescent="0.25">
      <c r="B5" s="137"/>
      <c r="C5" s="137"/>
      <c r="D5" s="137"/>
      <c r="E5" s="137"/>
      <c r="F5" s="137"/>
      <c r="G5" s="137"/>
      <c r="H5" s="137"/>
    </row>
    <row r="6" spans="2:9" ht="22.8" x14ac:dyDescent="0.4">
      <c r="B6" s="139"/>
      <c r="C6" s="137"/>
      <c r="D6" s="137"/>
      <c r="E6" s="137"/>
      <c r="F6" s="137"/>
      <c r="G6" s="137"/>
      <c r="H6" s="137"/>
      <c r="I6" s="140"/>
    </row>
    <row r="7" spans="2:9" x14ac:dyDescent="0.25">
      <c r="B7" s="137"/>
      <c r="C7" s="137"/>
      <c r="D7" s="137"/>
      <c r="E7" s="137"/>
      <c r="F7" s="137"/>
      <c r="G7" s="137"/>
      <c r="H7" s="137"/>
      <c r="I7" s="137"/>
    </row>
    <row r="8" spans="2:9" x14ac:dyDescent="0.25">
      <c r="B8" s="137"/>
      <c r="C8" s="137"/>
      <c r="D8" s="137"/>
      <c r="F8" s="137"/>
      <c r="G8" s="137"/>
      <c r="H8" s="137"/>
    </row>
    <row r="9" spans="2:9" x14ac:dyDescent="0.25">
      <c r="B9" s="137"/>
      <c r="C9" s="137"/>
      <c r="D9" s="137"/>
      <c r="E9" s="137"/>
      <c r="F9" s="137"/>
      <c r="G9" s="137"/>
      <c r="H9" s="137"/>
    </row>
    <row r="10" spans="2:9" ht="22.8" x14ac:dyDescent="0.4">
      <c r="B10" s="137"/>
      <c r="C10" s="137"/>
      <c r="D10" s="137"/>
      <c r="I10" s="140"/>
    </row>
    <row r="11" spans="2:9" x14ac:dyDescent="0.25">
      <c r="B11" s="137"/>
      <c r="C11" s="137"/>
      <c r="D11" s="137"/>
    </row>
    <row r="12" spans="2:9" ht="27" customHeight="1" x14ac:dyDescent="0.4">
      <c r="B12" s="137"/>
      <c r="C12" s="137"/>
      <c r="D12" s="137"/>
      <c r="E12" s="137"/>
      <c r="F12" s="137"/>
      <c r="G12" s="137"/>
      <c r="H12" s="137"/>
      <c r="I12" s="140"/>
    </row>
    <row r="13" spans="2:9" ht="19.5" customHeight="1" x14ac:dyDescent="0.4">
      <c r="B13" s="137"/>
      <c r="C13" s="141"/>
      <c r="D13" s="141"/>
      <c r="E13" s="141"/>
      <c r="F13" s="141"/>
      <c r="G13" s="141"/>
      <c r="H13" s="141"/>
      <c r="I13" s="140"/>
    </row>
    <row r="14" spans="2:9" x14ac:dyDescent="0.25">
      <c r="B14" s="137"/>
      <c r="C14" s="137"/>
      <c r="D14" s="137"/>
      <c r="F14" s="137"/>
      <c r="G14" s="137"/>
      <c r="H14" s="137"/>
    </row>
    <row r="15" spans="2:9" x14ac:dyDescent="0.25">
      <c r="B15" s="137"/>
      <c r="C15" s="137"/>
      <c r="D15" s="137"/>
      <c r="F15" s="137"/>
      <c r="G15" s="137"/>
      <c r="H15" s="137"/>
      <c r="I15" s="137"/>
    </row>
    <row r="16" spans="2:9" ht="34.799999999999997" x14ac:dyDescent="0.55000000000000004">
      <c r="B16" s="137"/>
      <c r="C16" s="137"/>
      <c r="D16" s="137"/>
      <c r="E16" s="142"/>
      <c r="F16" s="137"/>
      <c r="G16" s="137"/>
      <c r="H16" s="137"/>
      <c r="I16" s="137"/>
    </row>
    <row r="17" spans="2:9" ht="32.4" x14ac:dyDescent="0.55000000000000004">
      <c r="B17" s="137"/>
      <c r="C17" s="137"/>
      <c r="D17" s="137"/>
      <c r="E17" s="143"/>
      <c r="F17" s="137"/>
      <c r="G17" s="137"/>
      <c r="H17" s="137"/>
      <c r="I17" s="137"/>
    </row>
    <row r="18" spans="2:9" ht="32.4" x14ac:dyDescent="0.55000000000000004">
      <c r="D18" s="143"/>
    </row>
    <row r="19" spans="2:9" ht="18" x14ac:dyDescent="0.35">
      <c r="E19" s="144"/>
      <c r="I19" s="145"/>
    </row>
    <row r="21" spans="2:9" x14ac:dyDescent="0.25">
      <c r="E21" s="146"/>
    </row>
    <row r="22" spans="2:9" ht="25.8" x14ac:dyDescent="0.5">
      <c r="E22" s="147"/>
    </row>
    <row r="25" spans="2:9" ht="18" x14ac:dyDescent="0.35">
      <c r="E25" s="148"/>
    </row>
    <row r="26" spans="2:9" ht="18" x14ac:dyDescent="0.35">
      <c r="E26" s="149"/>
    </row>
    <row r="28" spans="2:9" x14ac:dyDescent="0.25">
      <c r="D28" s="141"/>
      <c r="E28" s="141"/>
      <c r="F28" s="141"/>
      <c r="G28" s="141"/>
      <c r="H28" s="141"/>
    </row>
    <row r="33" spans="1:9" ht="35.4" x14ac:dyDescent="0.25">
      <c r="A33" s="150"/>
    </row>
    <row r="36" spans="1:9" ht="32.4" x14ac:dyDescent="0.25">
      <c r="B36" s="151"/>
    </row>
    <row r="39" spans="1:9" ht="17.399999999999999" x14ac:dyDescent="0.3">
      <c r="B39" s="152"/>
    </row>
    <row r="41" spans="1:9" ht="18" x14ac:dyDescent="0.35">
      <c r="I41" s="153"/>
    </row>
    <row r="43" spans="1:9" ht="18" x14ac:dyDescent="0.35">
      <c r="B43" s="186"/>
      <c r="C43" s="186"/>
      <c r="D43" s="186"/>
    </row>
    <row r="57" spans="10:10" ht="18" x14ac:dyDescent="0.35">
      <c r="J57" s="154"/>
    </row>
  </sheetData>
  <mergeCells count="1">
    <mergeCell ref="B43:D43"/>
  </mergeCells>
  <pageMargins left="0.78740157480314965" right="0.78740157480314965" top="0.98425196850393704" bottom="0.98425196850393704" header="0.51181102362204722" footer="0.51181102362204722"/>
  <pageSetup paperSize="9" scale="6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8"/>
  <sheetViews>
    <sheetView showGridLines="0" showRowColHeaders="0" zoomScaleNormal="100" zoomScaleSheetLayoutView="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148</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42</v>
      </c>
      <c r="B7" s="19" t="s">
        <v>3</v>
      </c>
      <c r="C7" s="20">
        <v>273712.21559497027</v>
      </c>
      <c r="D7" s="20">
        <v>249555</v>
      </c>
      <c r="E7" s="21">
        <v>217768.20683856338</v>
      </c>
      <c r="F7" s="22" t="s">
        <v>240</v>
      </c>
      <c r="G7" s="23">
        <v>-20.43898867823674</v>
      </c>
      <c r="H7" s="24">
        <v>-12.73738981845149</v>
      </c>
    </row>
    <row r="8" spans="1:8" x14ac:dyDescent="0.25">
      <c r="A8" s="193"/>
      <c r="B8" s="25" t="s">
        <v>241</v>
      </c>
      <c r="C8" s="26">
        <v>63559.629222693104</v>
      </c>
      <c r="D8" s="26">
        <v>59522</v>
      </c>
      <c r="E8" s="26">
        <v>51475</v>
      </c>
      <c r="F8" s="27"/>
      <c r="G8" s="28">
        <v>-19.013058084955674</v>
      </c>
      <c r="H8" s="29">
        <v>-13.519370988878066</v>
      </c>
    </row>
    <row r="9" spans="1:8" x14ac:dyDescent="0.25">
      <c r="A9" s="30" t="s">
        <v>18</v>
      </c>
      <c r="B9" s="31" t="s">
        <v>3</v>
      </c>
      <c r="C9" s="20">
        <v>14044.788765217392</v>
      </c>
      <c r="D9" s="20">
        <v>12668</v>
      </c>
      <c r="E9" s="21">
        <v>10523.192124209418</v>
      </c>
      <c r="F9" s="22" t="s">
        <v>240</v>
      </c>
      <c r="G9" s="32">
        <v>-25.074044899339327</v>
      </c>
      <c r="H9" s="33">
        <v>-16.930911555025119</v>
      </c>
    </row>
    <row r="10" spans="1:8" x14ac:dyDescent="0.25">
      <c r="A10" s="34"/>
      <c r="B10" s="25" t="s">
        <v>241</v>
      </c>
      <c r="C10" s="26">
        <v>2910.3129434782609</v>
      </c>
      <c r="D10" s="26">
        <v>2684</v>
      </c>
      <c r="E10" s="26">
        <v>2213</v>
      </c>
      <c r="F10" s="27"/>
      <c r="G10" s="35">
        <v>-23.960067423019709</v>
      </c>
      <c r="H10" s="29">
        <v>-17.548435171385989</v>
      </c>
    </row>
    <row r="11" spans="1:8" x14ac:dyDescent="0.25">
      <c r="A11" s="30" t="s">
        <v>19</v>
      </c>
      <c r="B11" s="31" t="s">
        <v>3</v>
      </c>
      <c r="C11" s="20">
        <v>16971.629217391303</v>
      </c>
      <c r="D11" s="20">
        <v>13110</v>
      </c>
      <c r="E11" s="21">
        <v>13750.262072921947</v>
      </c>
      <c r="F11" s="22" t="s">
        <v>240</v>
      </c>
      <c r="G11" s="37">
        <v>-18.980895135090108</v>
      </c>
      <c r="H11" s="33">
        <v>4.8837686721735025</v>
      </c>
    </row>
    <row r="12" spans="1:8" x14ac:dyDescent="0.25">
      <c r="A12" s="34"/>
      <c r="B12" s="25" t="s">
        <v>241</v>
      </c>
      <c r="C12" s="26">
        <v>6172.3764782608696</v>
      </c>
      <c r="D12" s="26">
        <v>3699</v>
      </c>
      <c r="E12" s="26">
        <v>4193</v>
      </c>
      <c r="F12" s="27"/>
      <c r="G12" s="28">
        <v>-32.068304408071029</v>
      </c>
      <c r="H12" s="29">
        <v>13.354960800216276</v>
      </c>
    </row>
    <row r="13" spans="1:8" x14ac:dyDescent="0.25">
      <c r="A13" s="30" t="s">
        <v>20</v>
      </c>
      <c r="B13" s="31" t="s">
        <v>3</v>
      </c>
      <c r="C13" s="20">
        <v>34705.013913043476</v>
      </c>
      <c r="D13" s="20">
        <v>30514</v>
      </c>
      <c r="E13" s="21">
        <v>25080.008684106371</v>
      </c>
      <c r="F13" s="22" t="s">
        <v>240</v>
      </c>
      <c r="G13" s="23">
        <v>-27.733759891448017</v>
      </c>
      <c r="H13" s="24">
        <v>-17.808190718665628</v>
      </c>
    </row>
    <row r="14" spans="1:8" x14ac:dyDescent="0.25">
      <c r="A14" s="34"/>
      <c r="B14" s="25" t="s">
        <v>241</v>
      </c>
      <c r="C14" s="26">
        <v>6248.0840372670809</v>
      </c>
      <c r="D14" s="26">
        <v>6001</v>
      </c>
      <c r="E14" s="26">
        <v>4785</v>
      </c>
      <c r="F14" s="27"/>
      <c r="G14" s="23">
        <v>-23.416523025945651</v>
      </c>
      <c r="H14" s="24">
        <v>-20.263289451758041</v>
      </c>
    </row>
    <row r="15" spans="1:8" x14ac:dyDescent="0.25">
      <c r="A15" s="30" t="s">
        <v>21</v>
      </c>
      <c r="B15" s="31" t="s">
        <v>3</v>
      </c>
      <c r="C15" s="20">
        <v>3604.7540579710144</v>
      </c>
      <c r="D15" s="20">
        <v>3474</v>
      </c>
      <c r="E15" s="21">
        <v>3023.2732098980782</v>
      </c>
      <c r="F15" s="22" t="s">
        <v>240</v>
      </c>
      <c r="G15" s="37">
        <v>-16.130943712710064</v>
      </c>
      <c r="H15" s="33">
        <v>-12.974288719111158</v>
      </c>
    </row>
    <row r="16" spans="1:8" x14ac:dyDescent="0.25">
      <c r="A16" s="34"/>
      <c r="B16" s="25" t="s">
        <v>241</v>
      </c>
      <c r="C16" s="26">
        <v>832.6078442028986</v>
      </c>
      <c r="D16" s="26">
        <v>882</v>
      </c>
      <c r="E16" s="26">
        <v>743</v>
      </c>
      <c r="F16" s="27"/>
      <c r="G16" s="28">
        <v>-10.762310831780013</v>
      </c>
      <c r="H16" s="29">
        <v>-15.759637188208615</v>
      </c>
    </row>
    <row r="17" spans="1:8" x14ac:dyDescent="0.25">
      <c r="A17" s="30" t="s">
        <v>22</v>
      </c>
      <c r="B17" s="31" t="s">
        <v>3</v>
      </c>
      <c r="C17" s="20">
        <v>8733.7540579710148</v>
      </c>
      <c r="D17" s="20">
        <v>12081</v>
      </c>
      <c r="E17" s="21">
        <v>6322.9610782573536</v>
      </c>
      <c r="F17" s="22" t="s">
        <v>240</v>
      </c>
      <c r="G17" s="37">
        <v>-27.603169996679824</v>
      </c>
      <c r="H17" s="33">
        <v>-47.661939588963222</v>
      </c>
    </row>
    <row r="18" spans="1:8" x14ac:dyDescent="0.25">
      <c r="A18" s="34"/>
      <c r="B18" s="25" t="s">
        <v>241</v>
      </c>
      <c r="C18" s="26">
        <v>1763.6078442028986</v>
      </c>
      <c r="D18" s="26">
        <v>3052</v>
      </c>
      <c r="E18" s="26">
        <v>1474</v>
      </c>
      <c r="F18" s="27"/>
      <c r="G18" s="28">
        <v>-16.421328877327227</v>
      </c>
      <c r="H18" s="29">
        <v>-51.703800786369591</v>
      </c>
    </row>
    <row r="19" spans="1:8" x14ac:dyDescent="0.25">
      <c r="A19" s="30" t="s">
        <v>189</v>
      </c>
      <c r="B19" s="31" t="s">
        <v>3</v>
      </c>
      <c r="C19" s="20">
        <v>183801.03478260868</v>
      </c>
      <c r="D19" s="20">
        <v>162425</v>
      </c>
      <c r="E19" s="21">
        <v>139948.69835059679</v>
      </c>
      <c r="F19" s="22" t="s">
        <v>240</v>
      </c>
      <c r="G19" s="23">
        <v>-23.858590613419778</v>
      </c>
      <c r="H19" s="24">
        <v>-13.83795699516898</v>
      </c>
    </row>
    <row r="20" spans="1:8" x14ac:dyDescent="0.25">
      <c r="A20" s="30"/>
      <c r="B20" s="25" t="s">
        <v>241</v>
      </c>
      <c r="C20" s="26">
        <v>43355.210093167705</v>
      </c>
      <c r="D20" s="26">
        <v>39546</v>
      </c>
      <c r="E20" s="26">
        <v>33712</v>
      </c>
      <c r="F20" s="27"/>
      <c r="G20" s="23">
        <v>-22.24233274950123</v>
      </c>
      <c r="H20" s="24">
        <v>-14.752440196227184</v>
      </c>
    </row>
    <row r="21" spans="1:8" x14ac:dyDescent="0.25">
      <c r="A21" s="38" t="s">
        <v>12</v>
      </c>
      <c r="B21" s="31" t="s">
        <v>3</v>
      </c>
      <c r="C21" s="20">
        <v>1918.0524347826085</v>
      </c>
      <c r="D21" s="20">
        <v>1997</v>
      </c>
      <c r="E21" s="21">
        <v>1943.1015212458192</v>
      </c>
      <c r="F21" s="22" t="s">
        <v>240</v>
      </c>
      <c r="G21" s="37">
        <v>1.3059646341758935</v>
      </c>
      <c r="H21" s="33">
        <v>-2.6989723963035033</v>
      </c>
    </row>
    <row r="22" spans="1:8" x14ac:dyDescent="0.25">
      <c r="A22" s="34"/>
      <c r="B22" s="25" t="s">
        <v>241</v>
      </c>
      <c r="C22" s="26">
        <v>357.36470652173915</v>
      </c>
      <c r="D22" s="26">
        <v>407</v>
      </c>
      <c r="E22" s="26">
        <v>384</v>
      </c>
      <c r="F22" s="27"/>
      <c r="G22" s="28">
        <v>7.4532523755645599</v>
      </c>
      <c r="H22" s="29">
        <v>-5.6511056511056523</v>
      </c>
    </row>
    <row r="23" spans="1:8" x14ac:dyDescent="0.25">
      <c r="A23" s="38" t="s">
        <v>23</v>
      </c>
      <c r="B23" s="31" t="s">
        <v>3</v>
      </c>
      <c r="C23" s="20">
        <v>5832.7540579710148</v>
      </c>
      <c r="D23" s="20">
        <v>6077</v>
      </c>
      <c r="E23" s="21">
        <v>6979.3957754902649</v>
      </c>
      <c r="F23" s="22" t="s">
        <v>240</v>
      </c>
      <c r="G23" s="23">
        <v>19.658667348613037</v>
      </c>
      <c r="H23" s="24">
        <v>14.849362769298423</v>
      </c>
    </row>
    <row r="24" spans="1:8" x14ac:dyDescent="0.25">
      <c r="A24" s="34"/>
      <c r="B24" s="25" t="s">
        <v>241</v>
      </c>
      <c r="C24" s="26">
        <v>1345.6078442028986</v>
      </c>
      <c r="D24" s="26">
        <v>1531</v>
      </c>
      <c r="E24" s="26">
        <v>1706</v>
      </c>
      <c r="F24" s="27"/>
      <c r="G24" s="28">
        <v>26.782851879894309</v>
      </c>
      <c r="H24" s="29">
        <v>11.430437622468986</v>
      </c>
    </row>
    <row r="25" spans="1:8" x14ac:dyDescent="0.25">
      <c r="A25" s="30" t="s">
        <v>24</v>
      </c>
      <c r="B25" s="31" t="s">
        <v>3</v>
      </c>
      <c r="C25" s="20">
        <v>11201.50811594203</v>
      </c>
      <c r="D25" s="20">
        <v>11887</v>
      </c>
      <c r="E25" s="21">
        <v>12498.183213399283</v>
      </c>
      <c r="F25" s="22" t="s">
        <v>240</v>
      </c>
      <c r="G25" s="23">
        <v>11.575897495550819</v>
      </c>
      <c r="H25" s="24">
        <v>5.1416102750843891</v>
      </c>
    </row>
    <row r="26" spans="1:8" ht="13.8" thickBot="1" x14ac:dyDescent="0.3">
      <c r="A26" s="40"/>
      <c r="B26" s="41" t="s">
        <v>241</v>
      </c>
      <c r="C26" s="42">
        <v>2996.2156884057972</v>
      </c>
      <c r="D26" s="42">
        <v>2841</v>
      </c>
      <c r="E26" s="42">
        <v>3097</v>
      </c>
      <c r="F26" s="43"/>
      <c r="G26" s="44">
        <v>3.3637201748925918</v>
      </c>
      <c r="H26" s="45">
        <v>9.0109116508271683</v>
      </c>
    </row>
    <row r="31" spans="1:8" x14ac:dyDescent="0.25">
      <c r="A31" s="46"/>
      <c r="B31" s="47"/>
      <c r="C31" s="48"/>
      <c r="D31" s="53"/>
      <c r="E31" s="48"/>
      <c r="F31" s="48"/>
      <c r="G31" s="49"/>
      <c r="H31" s="49"/>
    </row>
    <row r="32" spans="1:8" ht="16.8" thickBot="1" x14ac:dyDescent="0.4">
      <c r="A32" s="4" t="s">
        <v>43</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42</v>
      </c>
      <c r="B35" s="19" t="s">
        <v>3</v>
      </c>
      <c r="C35" s="73">
        <v>2243.7997409243708</v>
      </c>
      <c r="D35" s="73">
        <v>2120.5811857221861</v>
      </c>
      <c r="E35" s="76">
        <v>2144.9226932316533</v>
      </c>
      <c r="F35" s="22" t="s">
        <v>240</v>
      </c>
      <c r="G35" s="23">
        <v>-4.4066788086883122</v>
      </c>
      <c r="H35" s="24">
        <v>1.1478696346717498</v>
      </c>
    </row>
    <row r="36" spans="1:8" ht="12.75" customHeight="1" x14ac:dyDescent="0.25">
      <c r="A36" s="193"/>
      <c r="B36" s="25" t="s">
        <v>241</v>
      </c>
      <c r="C36" s="75">
        <v>571.61245224774143</v>
      </c>
      <c r="D36" s="75">
        <v>541.26049118888</v>
      </c>
      <c r="E36" s="75">
        <v>547.12296496370743</v>
      </c>
      <c r="F36" s="27"/>
      <c r="G36" s="28">
        <v>-4.2842816295786434</v>
      </c>
      <c r="H36" s="29">
        <v>1.0831150380014662</v>
      </c>
    </row>
    <row r="37" spans="1:8" x14ac:dyDescent="0.25">
      <c r="A37" s="30" t="s">
        <v>18</v>
      </c>
      <c r="B37" s="31" t="s">
        <v>3</v>
      </c>
      <c r="C37" s="73">
        <v>571.40922351883842</v>
      </c>
      <c r="D37" s="73">
        <v>551.41387234030651</v>
      </c>
      <c r="E37" s="76">
        <v>626.64540580914536</v>
      </c>
      <c r="F37" s="22" t="s">
        <v>240</v>
      </c>
      <c r="G37" s="32">
        <v>9.6666592026906528</v>
      </c>
      <c r="H37" s="33">
        <v>13.643387887493972</v>
      </c>
    </row>
    <row r="38" spans="1:8" x14ac:dyDescent="0.25">
      <c r="A38" s="34"/>
      <c r="B38" s="25" t="s">
        <v>241</v>
      </c>
      <c r="C38" s="75">
        <v>140.82538614312432</v>
      </c>
      <c r="D38" s="75">
        <v>156.28658604116131</v>
      </c>
      <c r="E38" s="75">
        <v>169.15000865353844</v>
      </c>
      <c r="F38" s="27"/>
      <c r="G38" s="35">
        <v>20.113292983714672</v>
      </c>
      <c r="H38" s="29">
        <v>8.2306632566593265</v>
      </c>
    </row>
    <row r="39" spans="1:8" x14ac:dyDescent="0.25">
      <c r="A39" s="30" t="s">
        <v>19</v>
      </c>
      <c r="B39" s="31" t="s">
        <v>3</v>
      </c>
      <c r="C39" s="73">
        <v>242.15964395931937</v>
      </c>
      <c r="D39" s="73">
        <v>173.08830756799307</v>
      </c>
      <c r="E39" s="76">
        <v>170.954499541015</v>
      </c>
      <c r="F39" s="22" t="s">
        <v>240</v>
      </c>
      <c r="G39" s="37">
        <v>-29.404215852855401</v>
      </c>
      <c r="H39" s="33">
        <v>-1.23278577100875</v>
      </c>
    </row>
    <row r="40" spans="1:8" x14ac:dyDescent="0.25">
      <c r="A40" s="34"/>
      <c r="B40" s="25" t="s">
        <v>241</v>
      </c>
      <c r="C40" s="75">
        <v>94.334941757132512</v>
      </c>
      <c r="D40" s="75">
        <v>46.952807484153169</v>
      </c>
      <c r="E40" s="75">
        <v>51.596535052973742</v>
      </c>
      <c r="F40" s="27"/>
      <c r="G40" s="28">
        <v>-45.304959019521938</v>
      </c>
      <c r="H40" s="29">
        <v>9.8902021362361694</v>
      </c>
    </row>
    <row r="41" spans="1:8" x14ac:dyDescent="0.25">
      <c r="A41" s="30" t="s">
        <v>20</v>
      </c>
      <c r="B41" s="31" t="s">
        <v>3</v>
      </c>
      <c r="C41" s="73">
        <v>401.25218233526266</v>
      </c>
      <c r="D41" s="73">
        <v>421.26877652008801</v>
      </c>
      <c r="E41" s="76">
        <v>416.7091275557691</v>
      </c>
      <c r="F41" s="22" t="s">
        <v>240</v>
      </c>
      <c r="G41" s="23">
        <v>3.8521772344135314</v>
      </c>
      <c r="H41" s="24">
        <v>-1.0823610052432855</v>
      </c>
    </row>
    <row r="42" spans="1:8" x14ac:dyDescent="0.25">
      <c r="A42" s="34"/>
      <c r="B42" s="25" t="s">
        <v>241</v>
      </c>
      <c r="C42" s="75">
        <v>79.466319515534835</v>
      </c>
      <c r="D42" s="75">
        <v>87.106043462815123</v>
      </c>
      <c r="E42" s="75">
        <v>84.916250088643793</v>
      </c>
      <c r="F42" s="27"/>
      <c r="G42" s="23">
        <v>6.8581640704318261</v>
      </c>
      <c r="H42" s="24">
        <v>-2.5139396614956411</v>
      </c>
    </row>
    <row r="43" spans="1:8" x14ac:dyDescent="0.25">
      <c r="A43" s="30" t="s">
        <v>21</v>
      </c>
      <c r="B43" s="31" t="s">
        <v>3</v>
      </c>
      <c r="C43" s="73">
        <v>24.947427376106564</v>
      </c>
      <c r="D43" s="73">
        <v>24.957253765496262</v>
      </c>
      <c r="E43" s="76">
        <v>24.471186901381582</v>
      </c>
      <c r="F43" s="22" t="s">
        <v>240</v>
      </c>
      <c r="G43" s="37">
        <v>-1.9089762946102411</v>
      </c>
      <c r="H43" s="33">
        <v>-1.9475975549308089</v>
      </c>
    </row>
    <row r="44" spans="1:8" x14ac:dyDescent="0.25">
      <c r="A44" s="34"/>
      <c r="B44" s="25" t="s">
        <v>241</v>
      </c>
      <c r="C44" s="75">
        <v>5.5630774338134428</v>
      </c>
      <c r="D44" s="75">
        <v>4.6473875442726289</v>
      </c>
      <c r="E44" s="75">
        <v>4.8219714414843899</v>
      </c>
      <c r="F44" s="27"/>
      <c r="G44" s="28">
        <v>-13.321870873564862</v>
      </c>
      <c r="H44" s="29">
        <v>3.7566029419456441</v>
      </c>
    </row>
    <row r="45" spans="1:8" x14ac:dyDescent="0.25">
      <c r="A45" s="30" t="s">
        <v>22</v>
      </c>
      <c r="B45" s="31" t="s">
        <v>3</v>
      </c>
      <c r="C45" s="73">
        <v>54.117118199979387</v>
      </c>
      <c r="D45" s="73">
        <v>83.631130696230656</v>
      </c>
      <c r="E45" s="76">
        <v>45.467145766395959</v>
      </c>
      <c r="F45" s="22" t="s">
        <v>240</v>
      </c>
      <c r="G45" s="37">
        <v>-15.983800914193409</v>
      </c>
      <c r="H45" s="33">
        <v>-45.633706745465282</v>
      </c>
    </row>
    <row r="46" spans="1:8" x14ac:dyDescent="0.25">
      <c r="A46" s="34"/>
      <c r="B46" s="25" t="s">
        <v>241</v>
      </c>
      <c r="C46" s="75">
        <v>12.223298875398457</v>
      </c>
      <c r="D46" s="75">
        <v>23.978951372715059</v>
      </c>
      <c r="E46" s="75">
        <v>11.9621499301422</v>
      </c>
      <c r="F46" s="27"/>
      <c r="G46" s="28">
        <v>-2.1364849859137962</v>
      </c>
      <c r="H46" s="29">
        <v>-50.113957261060307</v>
      </c>
    </row>
    <row r="47" spans="1:8" x14ac:dyDescent="0.25">
      <c r="A47" s="30" t="s">
        <v>189</v>
      </c>
      <c r="B47" s="31" t="s">
        <v>3</v>
      </c>
      <c r="C47" s="73">
        <v>690.97438827524695</v>
      </c>
      <c r="D47" s="73">
        <v>588.42379956612695</v>
      </c>
      <c r="E47" s="76">
        <v>561.48476507259409</v>
      </c>
      <c r="F47" s="22" t="s">
        <v>240</v>
      </c>
      <c r="G47" s="23">
        <v>-18.740148028622912</v>
      </c>
      <c r="H47" s="24">
        <v>-4.5781687473206034</v>
      </c>
    </row>
    <row r="48" spans="1:8" x14ac:dyDescent="0.25">
      <c r="A48" s="30"/>
      <c r="B48" s="25" t="s">
        <v>241</v>
      </c>
      <c r="C48" s="75">
        <v>175.35865497296069</v>
      </c>
      <c r="D48" s="75">
        <v>158.72923267981673</v>
      </c>
      <c r="E48" s="75">
        <v>148.35082607866642</v>
      </c>
      <c r="F48" s="27"/>
      <c r="G48" s="23">
        <v>-15.401480410795088</v>
      </c>
      <c r="H48" s="24">
        <v>-6.5384343047164464</v>
      </c>
    </row>
    <row r="49" spans="1:8" x14ac:dyDescent="0.25">
      <c r="A49" s="38" t="s">
        <v>12</v>
      </c>
      <c r="B49" s="31" t="s">
        <v>3</v>
      </c>
      <c r="C49" s="73">
        <v>24.522707816918278</v>
      </c>
      <c r="D49" s="73">
        <v>36.718877814104552</v>
      </c>
      <c r="E49" s="76">
        <v>23.562396141028962</v>
      </c>
      <c r="F49" s="22" t="s">
        <v>240</v>
      </c>
      <c r="G49" s="37">
        <v>-3.9160099409038054</v>
      </c>
      <c r="H49" s="33">
        <v>-35.830293452001655</v>
      </c>
    </row>
    <row r="50" spans="1:8" x14ac:dyDescent="0.25">
      <c r="A50" s="34"/>
      <c r="B50" s="25" t="s">
        <v>241</v>
      </c>
      <c r="C50" s="75">
        <v>3.7779203776864083</v>
      </c>
      <c r="D50" s="75">
        <v>7.2758185894930651</v>
      </c>
      <c r="E50" s="75">
        <v>4.2622541588941658</v>
      </c>
      <c r="F50" s="27"/>
      <c r="G50" s="28">
        <v>12.820116169424466</v>
      </c>
      <c r="H50" s="29">
        <v>-41.41890556412109</v>
      </c>
    </row>
    <row r="51" spans="1:8" x14ac:dyDescent="0.25">
      <c r="A51" s="38" t="s">
        <v>23</v>
      </c>
      <c r="B51" s="31" t="s">
        <v>3</v>
      </c>
      <c r="C51" s="73">
        <v>128.9513379204285</v>
      </c>
      <c r="D51" s="73">
        <v>105.30319701024177</v>
      </c>
      <c r="E51" s="76">
        <v>111.2498636489025</v>
      </c>
      <c r="F51" s="22" t="s">
        <v>240</v>
      </c>
      <c r="G51" s="23">
        <v>-13.727251346898754</v>
      </c>
      <c r="H51" s="24">
        <v>5.6471852778433345</v>
      </c>
    </row>
    <row r="52" spans="1:8" x14ac:dyDescent="0.25">
      <c r="A52" s="34"/>
      <c r="B52" s="25" t="s">
        <v>241</v>
      </c>
      <c r="C52" s="75">
        <v>27.457655908926878</v>
      </c>
      <c r="D52" s="75">
        <v>28.313141541431108</v>
      </c>
      <c r="E52" s="75">
        <v>27.503421774838454</v>
      </c>
      <c r="F52" s="27"/>
      <c r="G52" s="23">
        <v>0.1666779788608892</v>
      </c>
      <c r="H52" s="24">
        <v>-2.8598725627383175</v>
      </c>
    </row>
    <row r="53" spans="1:8" x14ac:dyDescent="0.25">
      <c r="A53" s="30" t="s">
        <v>24</v>
      </c>
      <c r="B53" s="31" t="s">
        <v>3</v>
      </c>
      <c r="C53" s="73">
        <v>105.46571152227108</v>
      </c>
      <c r="D53" s="73">
        <v>135.77597044159793</v>
      </c>
      <c r="E53" s="76">
        <v>192.24672162187167</v>
      </c>
      <c r="F53" s="22" t="s">
        <v>240</v>
      </c>
      <c r="G53" s="37">
        <v>82.283624551544534</v>
      </c>
      <c r="H53" s="33">
        <v>41.591123227923305</v>
      </c>
    </row>
    <row r="54" spans="1:8" ht="13.8" thickBot="1" x14ac:dyDescent="0.3">
      <c r="A54" s="40"/>
      <c r="B54" s="41" t="s">
        <v>241</v>
      </c>
      <c r="C54" s="79">
        <v>32.605197263163745</v>
      </c>
      <c r="D54" s="79">
        <v>27.970522473021813</v>
      </c>
      <c r="E54" s="79">
        <v>44.559547784525748</v>
      </c>
      <c r="F54" s="43"/>
      <c r="G54" s="44">
        <v>36.663941717253834</v>
      </c>
      <c r="H54" s="45">
        <v>59.308957590993941</v>
      </c>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14</v>
      </c>
    </row>
    <row r="62" spans="1:8" ht="12.75" customHeight="1" x14ac:dyDescent="0.25">
      <c r="A62" s="52" t="str">
        <f>+Innhold!$B$124</f>
        <v>Skadestatistikk for landbasert forsikring 1. kvartal 2026</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33" display="Tilbake til innholdsfortegnelsen" xr:uid="{00000000-0004-0000-0900-000000000000}"/>
  </hyperlinks>
  <pageMargins left="0.78740157480314965" right="0.78740157480314965" top="0.98425196850393704" bottom="0.19685039370078741" header="3.937007874015748E-2" footer="3.937007874015748E-2"/>
  <pageSetup paperSize="9" scale="94"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149</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44</v>
      </c>
      <c r="B7" s="19" t="s">
        <v>3</v>
      </c>
      <c r="C7" s="20">
        <v>153353.43106785958</v>
      </c>
      <c r="D7" s="20">
        <v>139011</v>
      </c>
      <c r="E7" s="21">
        <v>137113.86947335838</v>
      </c>
      <c r="F7" s="22" t="s">
        <v>240</v>
      </c>
      <c r="G7" s="23">
        <v>-10.589630425233281</v>
      </c>
      <c r="H7" s="24">
        <v>-1.3647341049568951</v>
      </c>
    </row>
    <row r="8" spans="1:8" x14ac:dyDescent="0.25">
      <c r="A8" s="193"/>
      <c r="B8" s="25" t="s">
        <v>241</v>
      </c>
      <c r="C8" s="26">
        <v>48264.131969514638</v>
      </c>
      <c r="D8" s="26">
        <v>36564</v>
      </c>
      <c r="E8" s="26">
        <v>38154</v>
      </c>
      <c r="F8" s="27"/>
      <c r="G8" s="28">
        <v>-20.947506060816679</v>
      </c>
      <c r="H8" s="29">
        <v>4.3485395470955126</v>
      </c>
    </row>
    <row r="9" spans="1:8" x14ac:dyDescent="0.25">
      <c r="A9" s="30" t="s">
        <v>18</v>
      </c>
      <c r="B9" s="31" t="s">
        <v>3</v>
      </c>
      <c r="C9" s="20">
        <v>13413.46704347826</v>
      </c>
      <c r="D9" s="20">
        <v>12265</v>
      </c>
      <c r="E9" s="21">
        <v>12283.777421761646</v>
      </c>
      <c r="F9" s="22" t="s">
        <v>240</v>
      </c>
      <c r="G9" s="32">
        <v>-8.422055372073828</v>
      </c>
      <c r="H9" s="33">
        <v>0.15309760914510662</v>
      </c>
    </row>
    <row r="10" spans="1:8" x14ac:dyDescent="0.25">
      <c r="A10" s="34"/>
      <c r="B10" s="25" t="s">
        <v>241</v>
      </c>
      <c r="C10" s="26">
        <v>3486.9107000000004</v>
      </c>
      <c r="D10" s="26">
        <v>3042</v>
      </c>
      <c r="E10" s="26">
        <v>3094</v>
      </c>
      <c r="F10" s="27"/>
      <c r="G10" s="35">
        <v>-11.268160667263444</v>
      </c>
      <c r="H10" s="29">
        <v>1.7094017094017033</v>
      </c>
    </row>
    <row r="11" spans="1:8" x14ac:dyDescent="0.25">
      <c r="A11" s="30" t="s">
        <v>19</v>
      </c>
      <c r="B11" s="31" t="s">
        <v>3</v>
      </c>
      <c r="C11" s="20">
        <v>63203.223478260872</v>
      </c>
      <c r="D11" s="20">
        <v>53120</v>
      </c>
      <c r="E11" s="21">
        <v>55629.983119882076</v>
      </c>
      <c r="F11" s="22" t="s">
        <v>240</v>
      </c>
      <c r="G11" s="37">
        <v>-11.982364097273702</v>
      </c>
      <c r="H11" s="33">
        <v>4.7251188250791927</v>
      </c>
    </row>
    <row r="12" spans="1:8" x14ac:dyDescent="0.25">
      <c r="A12" s="34"/>
      <c r="B12" s="25" t="s">
        <v>241</v>
      </c>
      <c r="C12" s="26">
        <v>23079.368999999999</v>
      </c>
      <c r="D12" s="26">
        <v>14527</v>
      </c>
      <c r="E12" s="26">
        <v>16603</v>
      </c>
      <c r="F12" s="27"/>
      <c r="G12" s="28">
        <v>-28.061291450385838</v>
      </c>
      <c r="H12" s="29">
        <v>14.290631238383696</v>
      </c>
    </row>
    <row r="13" spans="1:8" x14ac:dyDescent="0.25">
      <c r="A13" s="30" t="s">
        <v>20</v>
      </c>
      <c r="B13" s="31" t="s">
        <v>3</v>
      </c>
      <c r="C13" s="20">
        <v>3438.5826086956522</v>
      </c>
      <c r="D13" s="20">
        <v>3063</v>
      </c>
      <c r="E13" s="21">
        <v>3771.537008981727</v>
      </c>
      <c r="F13" s="22" t="s">
        <v>240</v>
      </c>
      <c r="G13" s="23">
        <v>9.682896651779842</v>
      </c>
      <c r="H13" s="24">
        <v>23.132125660519989</v>
      </c>
    </row>
    <row r="14" spans="1:8" x14ac:dyDescent="0.25">
      <c r="A14" s="34"/>
      <c r="B14" s="25" t="s">
        <v>241</v>
      </c>
      <c r="C14" s="26">
        <v>636.89</v>
      </c>
      <c r="D14" s="26">
        <v>563</v>
      </c>
      <c r="E14" s="26">
        <v>695</v>
      </c>
      <c r="F14" s="27"/>
      <c r="G14" s="23">
        <v>9.1240245568308609</v>
      </c>
      <c r="H14" s="24">
        <v>23.445825932504434</v>
      </c>
    </row>
    <row r="15" spans="1:8" x14ac:dyDescent="0.25">
      <c r="A15" s="30" t="s">
        <v>21</v>
      </c>
      <c r="B15" s="31" t="s">
        <v>3</v>
      </c>
      <c r="C15" s="20">
        <v>5170.7532608695656</v>
      </c>
      <c r="D15" s="20">
        <v>4953</v>
      </c>
      <c r="E15" s="21">
        <v>4171.8917789446941</v>
      </c>
      <c r="F15" s="22" t="s">
        <v>240</v>
      </c>
      <c r="G15" s="37">
        <v>-19.317523608869564</v>
      </c>
      <c r="H15" s="33">
        <v>-15.770406239759865</v>
      </c>
    </row>
    <row r="16" spans="1:8" x14ac:dyDescent="0.25">
      <c r="A16" s="34"/>
      <c r="B16" s="25" t="s">
        <v>241</v>
      </c>
      <c r="C16" s="26">
        <v>1175.3845833333335</v>
      </c>
      <c r="D16" s="26">
        <v>1071</v>
      </c>
      <c r="E16" s="26">
        <v>917</v>
      </c>
      <c r="F16" s="27"/>
      <c r="G16" s="28">
        <v>-21.982982165766316</v>
      </c>
      <c r="H16" s="29">
        <v>-14.379084967320267</v>
      </c>
    </row>
    <row r="17" spans="1:8" x14ac:dyDescent="0.25">
      <c r="A17" s="30" t="s">
        <v>22</v>
      </c>
      <c r="B17" s="31" t="s">
        <v>3</v>
      </c>
      <c r="C17" s="20">
        <v>388.75326086956522</v>
      </c>
      <c r="D17" s="20">
        <v>558</v>
      </c>
      <c r="E17" s="21">
        <v>346.73976993701609</v>
      </c>
      <c r="F17" s="22" t="s">
        <v>240</v>
      </c>
      <c r="G17" s="37">
        <v>-10.807238205172382</v>
      </c>
      <c r="H17" s="33">
        <v>-37.860256283688877</v>
      </c>
    </row>
    <row r="18" spans="1:8" x14ac:dyDescent="0.25">
      <c r="A18" s="34"/>
      <c r="B18" s="25" t="s">
        <v>241</v>
      </c>
      <c r="C18" s="26">
        <v>87.384583333333325</v>
      </c>
      <c r="D18" s="26">
        <v>79</v>
      </c>
      <c r="E18" s="26">
        <v>56</v>
      </c>
      <c r="F18" s="27"/>
      <c r="G18" s="28">
        <v>-35.915469452563613</v>
      </c>
      <c r="H18" s="29">
        <v>-29.113924050632917</v>
      </c>
    </row>
    <row r="19" spans="1:8" x14ac:dyDescent="0.25">
      <c r="A19" s="30" t="s">
        <v>189</v>
      </c>
      <c r="B19" s="31" t="s">
        <v>3</v>
      </c>
      <c r="C19" s="20">
        <v>42351.456521739128</v>
      </c>
      <c r="D19" s="20">
        <v>39639</v>
      </c>
      <c r="E19" s="21">
        <v>36563.891447543763</v>
      </c>
      <c r="F19" s="22" t="s">
        <v>240</v>
      </c>
      <c r="G19" s="23">
        <v>-13.665563240368357</v>
      </c>
      <c r="H19" s="24">
        <v>-7.7577853943243724</v>
      </c>
    </row>
    <row r="20" spans="1:8" x14ac:dyDescent="0.25">
      <c r="A20" s="30"/>
      <c r="B20" s="25" t="s">
        <v>241</v>
      </c>
      <c r="C20" s="26">
        <v>11761.725</v>
      </c>
      <c r="D20" s="26">
        <v>10309</v>
      </c>
      <c r="E20" s="26">
        <v>9715</v>
      </c>
      <c r="F20" s="27"/>
      <c r="G20" s="23">
        <v>-17.401571623210032</v>
      </c>
      <c r="H20" s="24">
        <v>-5.7619555728004741</v>
      </c>
    </row>
    <row r="21" spans="1:8" x14ac:dyDescent="0.25">
      <c r="A21" s="38" t="s">
        <v>12</v>
      </c>
      <c r="B21" s="31" t="s">
        <v>3</v>
      </c>
      <c r="C21" s="20">
        <v>812.85195652173911</v>
      </c>
      <c r="D21" s="20">
        <v>778</v>
      </c>
      <c r="E21" s="21">
        <v>554.57706148418526</v>
      </c>
      <c r="F21" s="22" t="s">
        <v>240</v>
      </c>
      <c r="G21" s="37">
        <v>-31.773915651594606</v>
      </c>
      <c r="H21" s="33">
        <v>-28.717601351647133</v>
      </c>
    </row>
    <row r="22" spans="1:8" x14ac:dyDescent="0.25">
      <c r="A22" s="34"/>
      <c r="B22" s="25" t="s">
        <v>241</v>
      </c>
      <c r="C22" s="26">
        <v>207.03075000000001</v>
      </c>
      <c r="D22" s="26">
        <v>204</v>
      </c>
      <c r="E22" s="26">
        <v>144</v>
      </c>
      <c r="F22" s="27"/>
      <c r="G22" s="28">
        <v>-30.445115037258958</v>
      </c>
      <c r="H22" s="29">
        <v>-29.411764705882348</v>
      </c>
    </row>
    <row r="23" spans="1:8" x14ac:dyDescent="0.25">
      <c r="A23" s="38" t="s">
        <v>23</v>
      </c>
      <c r="B23" s="31" t="s">
        <v>3</v>
      </c>
      <c r="C23" s="20">
        <v>5549.7532608695656</v>
      </c>
      <c r="D23" s="20">
        <v>5363</v>
      </c>
      <c r="E23" s="21">
        <v>5680.387874622741</v>
      </c>
      <c r="F23" s="22" t="s">
        <v>240</v>
      </c>
      <c r="G23" s="23">
        <v>2.3538814720693892</v>
      </c>
      <c r="H23" s="24">
        <v>5.9181032001256852</v>
      </c>
    </row>
    <row r="24" spans="1:8" x14ac:dyDescent="0.25">
      <c r="A24" s="34"/>
      <c r="B24" s="25" t="s">
        <v>241</v>
      </c>
      <c r="C24" s="26">
        <v>1320.3845833333335</v>
      </c>
      <c r="D24" s="26">
        <v>1386</v>
      </c>
      <c r="E24" s="26">
        <v>1427</v>
      </c>
      <c r="F24" s="27"/>
      <c r="G24" s="28">
        <v>8.0745729700595348</v>
      </c>
      <c r="H24" s="29">
        <v>2.9581529581529651</v>
      </c>
    </row>
    <row r="25" spans="1:8" x14ac:dyDescent="0.25">
      <c r="A25" s="30" t="s">
        <v>24</v>
      </c>
      <c r="B25" s="31" t="s">
        <v>3</v>
      </c>
      <c r="C25" s="20">
        <v>28832.506521739131</v>
      </c>
      <c r="D25" s="20">
        <v>28103</v>
      </c>
      <c r="E25" s="21">
        <v>26880.337608796937</v>
      </c>
      <c r="F25" s="22" t="s">
        <v>240</v>
      </c>
      <c r="G25" s="23">
        <v>-6.7707221759242344</v>
      </c>
      <c r="H25" s="24">
        <v>-4.3506472305556798</v>
      </c>
    </row>
    <row r="26" spans="1:8" ht="13.8" thickBot="1" x14ac:dyDescent="0.3">
      <c r="A26" s="40"/>
      <c r="B26" s="41" t="s">
        <v>241</v>
      </c>
      <c r="C26" s="42">
        <v>9618.7691666666669</v>
      </c>
      <c r="D26" s="42">
        <v>7376</v>
      </c>
      <c r="E26" s="42">
        <v>7595</v>
      </c>
      <c r="F26" s="43"/>
      <c r="G26" s="44">
        <v>-21.039793466298491</v>
      </c>
      <c r="H26" s="45">
        <v>2.9690889370932609</v>
      </c>
    </row>
    <row r="31" spans="1:8" x14ac:dyDescent="0.25">
      <c r="A31" s="46"/>
      <c r="B31" s="47"/>
      <c r="C31" s="48"/>
      <c r="D31" s="53"/>
      <c r="E31" s="48"/>
      <c r="F31" s="48"/>
      <c r="G31" s="49"/>
      <c r="H31" s="49"/>
    </row>
    <row r="32" spans="1:8" ht="16.8" thickBot="1" x14ac:dyDescent="0.4">
      <c r="A32" s="4" t="s">
        <v>99</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44</v>
      </c>
      <c r="B35" s="19" t="s">
        <v>3</v>
      </c>
      <c r="C35" s="73">
        <v>8422.830602627615</v>
      </c>
      <c r="D35" s="73">
        <v>7945.283454622936</v>
      </c>
      <c r="E35" s="76">
        <v>8823.4692302076855</v>
      </c>
      <c r="F35" s="22" t="s">
        <v>240</v>
      </c>
      <c r="G35" s="23">
        <v>4.7565794265776304</v>
      </c>
      <c r="H35" s="24">
        <v>11.052919390481648</v>
      </c>
    </row>
    <row r="36" spans="1:8" ht="12.75" customHeight="1" x14ac:dyDescent="0.25">
      <c r="A36" s="193"/>
      <c r="B36" s="25" t="s">
        <v>241</v>
      </c>
      <c r="C36" s="75">
        <v>2856.8285400291738</v>
      </c>
      <c r="D36" s="75">
        <v>2327.1033466400863</v>
      </c>
      <c r="E36" s="75">
        <v>2707.4743006922367</v>
      </c>
      <c r="F36" s="27"/>
      <c r="G36" s="28">
        <v>-5.2279735113333743</v>
      </c>
      <c r="H36" s="29">
        <v>16.3452540516233</v>
      </c>
    </row>
    <row r="37" spans="1:8" x14ac:dyDescent="0.25">
      <c r="A37" s="30" t="s">
        <v>18</v>
      </c>
      <c r="B37" s="31" t="s">
        <v>3</v>
      </c>
      <c r="C37" s="73">
        <v>2666.9742610028666</v>
      </c>
      <c r="D37" s="73">
        <v>2802.1206525773168</v>
      </c>
      <c r="E37" s="76">
        <v>3763.3181716212571</v>
      </c>
      <c r="F37" s="22" t="s">
        <v>240</v>
      </c>
      <c r="G37" s="32">
        <v>41.108154909831427</v>
      </c>
      <c r="H37" s="33">
        <v>34.30250293326435</v>
      </c>
    </row>
    <row r="38" spans="1:8" x14ac:dyDescent="0.25">
      <c r="A38" s="34"/>
      <c r="B38" s="25" t="s">
        <v>241</v>
      </c>
      <c r="C38" s="75">
        <v>728.09498058457348</v>
      </c>
      <c r="D38" s="75">
        <v>744.68591345137634</v>
      </c>
      <c r="E38" s="75">
        <v>1009.0593987712429</v>
      </c>
      <c r="F38" s="27"/>
      <c r="G38" s="35">
        <v>38.58897886661552</v>
      </c>
      <c r="H38" s="29">
        <v>35.501340974019712</v>
      </c>
    </row>
    <row r="39" spans="1:8" x14ac:dyDescent="0.25">
      <c r="A39" s="30" t="s">
        <v>19</v>
      </c>
      <c r="B39" s="31" t="s">
        <v>3</v>
      </c>
      <c r="C39" s="73">
        <v>3888.778393789637</v>
      </c>
      <c r="D39" s="73">
        <v>3380.3529025021026</v>
      </c>
      <c r="E39" s="76">
        <v>3517.95270713643</v>
      </c>
      <c r="F39" s="22" t="s">
        <v>240</v>
      </c>
      <c r="G39" s="37">
        <v>-9.5357885974015346</v>
      </c>
      <c r="H39" s="33">
        <v>4.0705751323324222</v>
      </c>
    </row>
    <row r="40" spans="1:8" x14ac:dyDescent="0.25">
      <c r="A40" s="34"/>
      <c r="B40" s="25" t="s">
        <v>241</v>
      </c>
      <c r="C40" s="75">
        <v>1449.2603527424303</v>
      </c>
      <c r="D40" s="75">
        <v>1040.585673371168</v>
      </c>
      <c r="E40" s="75">
        <v>1149.6195820913447</v>
      </c>
      <c r="F40" s="27"/>
      <c r="G40" s="28">
        <v>-20.675427302214985</v>
      </c>
      <c r="H40" s="29">
        <v>10.4781289527984</v>
      </c>
    </row>
    <row r="41" spans="1:8" x14ac:dyDescent="0.25">
      <c r="A41" s="30" t="s">
        <v>20</v>
      </c>
      <c r="B41" s="31" t="s">
        <v>3</v>
      </c>
      <c r="C41" s="73">
        <v>81.488265976223204</v>
      </c>
      <c r="D41" s="73">
        <v>80.703511745719766</v>
      </c>
      <c r="E41" s="76">
        <v>106.26592808193806</v>
      </c>
      <c r="F41" s="22" t="s">
        <v>240</v>
      </c>
      <c r="G41" s="23">
        <v>30.406417180290134</v>
      </c>
      <c r="H41" s="24">
        <v>31.674478325999274</v>
      </c>
    </row>
    <row r="42" spans="1:8" x14ac:dyDescent="0.25">
      <c r="A42" s="34"/>
      <c r="B42" s="25" t="s">
        <v>241</v>
      </c>
      <c r="C42" s="75">
        <v>19.629315775402226</v>
      </c>
      <c r="D42" s="75">
        <v>21.119673556484162</v>
      </c>
      <c r="E42" s="75">
        <v>27.030845982560173</v>
      </c>
      <c r="F42" s="27"/>
      <c r="G42" s="23">
        <v>37.706511484383526</v>
      </c>
      <c r="H42" s="24">
        <v>27.988938419273836</v>
      </c>
    </row>
    <row r="43" spans="1:8" x14ac:dyDescent="0.25">
      <c r="A43" s="30" t="s">
        <v>21</v>
      </c>
      <c r="B43" s="31" t="s">
        <v>3</v>
      </c>
      <c r="C43" s="73">
        <v>71.224831116805632</v>
      </c>
      <c r="D43" s="73">
        <v>72.42489698416604</v>
      </c>
      <c r="E43" s="76">
        <v>70.243351105726461</v>
      </c>
      <c r="F43" s="22" t="s">
        <v>240</v>
      </c>
      <c r="G43" s="37">
        <v>-1.3780025809672907</v>
      </c>
      <c r="H43" s="33">
        <v>-3.0121490941388771</v>
      </c>
    </row>
    <row r="44" spans="1:8" x14ac:dyDescent="0.25">
      <c r="A44" s="34"/>
      <c r="B44" s="25" t="s">
        <v>241</v>
      </c>
      <c r="C44" s="75">
        <v>18.087481182432381</v>
      </c>
      <c r="D44" s="75">
        <v>18.392378693733985</v>
      </c>
      <c r="E44" s="75">
        <v>17.838326958413017</v>
      </c>
      <c r="F44" s="27"/>
      <c r="G44" s="28">
        <v>-1.3774954152342502</v>
      </c>
      <c r="H44" s="29">
        <v>-3.0123984751886752</v>
      </c>
    </row>
    <row r="45" spans="1:8" x14ac:dyDescent="0.25">
      <c r="A45" s="30" t="s">
        <v>22</v>
      </c>
      <c r="B45" s="31" t="s">
        <v>3</v>
      </c>
      <c r="C45" s="73">
        <v>3.4905504256197037</v>
      </c>
      <c r="D45" s="73">
        <v>5.5889243726189353</v>
      </c>
      <c r="E45" s="76">
        <v>4.2354534473329801</v>
      </c>
      <c r="F45" s="22" t="s">
        <v>240</v>
      </c>
      <c r="G45" s="37">
        <v>21.340560395457643</v>
      </c>
      <c r="H45" s="33">
        <v>-24.21701986015114</v>
      </c>
    </row>
    <row r="46" spans="1:8" x14ac:dyDescent="0.25">
      <c r="A46" s="34"/>
      <c r="B46" s="25" t="s">
        <v>241</v>
      </c>
      <c r="C46" s="75">
        <v>1.2451686826234505</v>
      </c>
      <c r="D46" s="75">
        <v>1.016980812068893</v>
      </c>
      <c r="E46" s="75">
        <v>0.92111891401985513</v>
      </c>
      <c r="F46" s="27"/>
      <c r="G46" s="28">
        <v>-26.02456784576799</v>
      </c>
      <c r="H46" s="29">
        <v>-9.4261265218978423</v>
      </c>
    </row>
    <row r="47" spans="1:8" x14ac:dyDescent="0.25">
      <c r="A47" s="30" t="s">
        <v>189</v>
      </c>
      <c r="B47" s="31" t="s">
        <v>3</v>
      </c>
      <c r="C47" s="73">
        <v>621.86449503526478</v>
      </c>
      <c r="D47" s="73">
        <v>588.9991738438722</v>
      </c>
      <c r="E47" s="76">
        <v>580.34765586882224</v>
      </c>
      <c r="F47" s="22" t="s">
        <v>240</v>
      </c>
      <c r="G47" s="23">
        <v>-6.6761874166956829</v>
      </c>
      <c r="H47" s="24">
        <v>-1.468850612911595</v>
      </c>
    </row>
    <row r="48" spans="1:8" x14ac:dyDescent="0.25">
      <c r="A48" s="30"/>
      <c r="B48" s="25" t="s">
        <v>241</v>
      </c>
      <c r="C48" s="75">
        <v>229.47450256148247</v>
      </c>
      <c r="D48" s="75">
        <v>183.28328235812145</v>
      </c>
      <c r="E48" s="75">
        <v>190.54550657570107</v>
      </c>
      <c r="F48" s="27"/>
      <c r="G48" s="23">
        <v>-16.964410229128291</v>
      </c>
      <c r="H48" s="24">
        <v>3.9622949371835148</v>
      </c>
    </row>
    <row r="49" spans="1:8" x14ac:dyDescent="0.25">
      <c r="A49" s="38" t="s">
        <v>12</v>
      </c>
      <c r="B49" s="31" t="s">
        <v>3</v>
      </c>
      <c r="C49" s="73">
        <v>15.08056151650902</v>
      </c>
      <c r="D49" s="73">
        <v>15.489127049716142</v>
      </c>
      <c r="E49" s="76">
        <v>14.695535126139474</v>
      </c>
      <c r="F49" s="22" t="s">
        <v>240</v>
      </c>
      <c r="G49" s="37">
        <v>-2.553130332368923</v>
      </c>
      <c r="H49" s="33">
        <v>-5.1235419596562224</v>
      </c>
    </row>
    <row r="50" spans="1:8" x14ac:dyDescent="0.25">
      <c r="A50" s="34"/>
      <c r="B50" s="25" t="s">
        <v>241</v>
      </c>
      <c r="C50" s="75">
        <v>4.5671583051109863</v>
      </c>
      <c r="D50" s="75">
        <v>5.2617434788575626</v>
      </c>
      <c r="E50" s="75">
        <v>4.797545902553674</v>
      </c>
      <c r="F50" s="27"/>
      <c r="G50" s="28">
        <v>5.0444408109275827</v>
      </c>
      <c r="H50" s="29">
        <v>-8.8221247989207541</v>
      </c>
    </row>
    <row r="51" spans="1:8" x14ac:dyDescent="0.25">
      <c r="A51" s="38" t="s">
        <v>23</v>
      </c>
      <c r="B51" s="31" t="s">
        <v>3</v>
      </c>
      <c r="C51" s="73">
        <v>188.16510369122446</v>
      </c>
      <c r="D51" s="73">
        <v>182.1098224526597</v>
      </c>
      <c r="E51" s="76">
        <v>196.60699304858397</v>
      </c>
      <c r="F51" s="22" t="s">
        <v>240</v>
      </c>
      <c r="G51" s="23">
        <v>4.4864266496579006</v>
      </c>
      <c r="H51" s="24">
        <v>7.9606747185165574</v>
      </c>
    </row>
    <row r="52" spans="1:8" x14ac:dyDescent="0.25">
      <c r="A52" s="34"/>
      <c r="B52" s="25" t="s">
        <v>241</v>
      </c>
      <c r="C52" s="75">
        <v>50.432529863748982</v>
      </c>
      <c r="D52" s="75">
        <v>47.683622330929268</v>
      </c>
      <c r="E52" s="75">
        <v>51.878476628885899</v>
      </c>
      <c r="F52" s="27"/>
      <c r="G52" s="28">
        <v>2.8670914765595938</v>
      </c>
      <c r="H52" s="29">
        <v>8.7972643287120889</v>
      </c>
    </row>
    <row r="53" spans="1:8" x14ac:dyDescent="0.25">
      <c r="A53" s="30" t="s">
        <v>24</v>
      </c>
      <c r="B53" s="31" t="s">
        <v>3</v>
      </c>
      <c r="C53" s="73">
        <v>885.76414007346375</v>
      </c>
      <c r="D53" s="73">
        <v>817.49444309476428</v>
      </c>
      <c r="E53" s="76">
        <v>754.88334961678959</v>
      </c>
      <c r="F53" s="22" t="s">
        <v>240</v>
      </c>
      <c r="G53" s="23">
        <v>-14.776031737502848</v>
      </c>
      <c r="H53" s="24">
        <v>-7.6589014160083764</v>
      </c>
    </row>
    <row r="54" spans="1:8" ht="13.8" thickBot="1" x14ac:dyDescent="0.3">
      <c r="A54" s="40"/>
      <c r="B54" s="41" t="s">
        <v>241</v>
      </c>
      <c r="C54" s="79">
        <v>356.03705033136936</v>
      </c>
      <c r="D54" s="79">
        <v>256.83407858734665</v>
      </c>
      <c r="E54" s="79">
        <v>255.7834988675155</v>
      </c>
      <c r="F54" s="43"/>
      <c r="G54" s="44">
        <v>-28.1581794283899</v>
      </c>
      <c r="H54" s="45">
        <v>-0.40904996938475335</v>
      </c>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15</v>
      </c>
    </row>
    <row r="62" spans="1:8" ht="12.75" customHeight="1" x14ac:dyDescent="0.25">
      <c r="A62" s="52" t="str">
        <f>+Innhold!$B$124</f>
        <v>Skadestatistikk for landbasert forsikring 1. kvartal 2026</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35" display="Tilbake til innholdsfortegnelsen" xr:uid="{00000000-0004-0000-0A00-000000000000}"/>
  </hyperlinks>
  <pageMargins left="0.78740157480314965" right="0.78740157480314965" top="0.98425196850393704" bottom="0.19685039370078741" header="3.937007874015748E-2" footer="3.937007874015748E-2"/>
  <pageSetup paperSize="9" scale="94"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150</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2.75" customHeight="1" x14ac:dyDescent="0.25">
      <c r="A7" s="192" t="s">
        <v>45</v>
      </c>
      <c r="B7" s="19" t="s">
        <v>3</v>
      </c>
      <c r="C7" s="20">
        <v>27162.855386386229</v>
      </c>
      <c r="D7" s="20">
        <v>23816</v>
      </c>
      <c r="E7" s="21">
        <v>27263.599716790963</v>
      </c>
      <c r="F7" s="22" t="s">
        <v>240</v>
      </c>
      <c r="G7" s="23">
        <v>0.37089005913281881</v>
      </c>
      <c r="H7" s="24">
        <v>14.475981343596573</v>
      </c>
    </row>
    <row r="8" spans="1:8" ht="12.75" customHeight="1" x14ac:dyDescent="0.25">
      <c r="A8" s="193"/>
      <c r="B8" s="25" t="s">
        <v>241</v>
      </c>
      <c r="C8" s="26">
        <v>7686.2174959451677</v>
      </c>
      <c r="D8" s="26">
        <v>5104</v>
      </c>
      <c r="E8" s="26">
        <v>6357</v>
      </c>
      <c r="F8" s="27"/>
      <c r="G8" s="28">
        <v>-17.293519167866251</v>
      </c>
      <c r="H8" s="29">
        <v>24.549373040752357</v>
      </c>
    </row>
    <row r="9" spans="1:8" x14ac:dyDescent="0.25">
      <c r="A9" s="30" t="s">
        <v>18</v>
      </c>
      <c r="B9" s="31" t="s">
        <v>3</v>
      </c>
      <c r="C9" s="20">
        <v>3356.499965217391</v>
      </c>
      <c r="D9" s="20">
        <v>3131</v>
      </c>
      <c r="E9" s="21">
        <v>2875.4307148783951</v>
      </c>
      <c r="F9" s="22" t="s">
        <v>240</v>
      </c>
      <c r="G9" s="32">
        <v>-14.332467013978899</v>
      </c>
      <c r="H9" s="33">
        <v>-8.1625450374195054</v>
      </c>
    </row>
    <row r="10" spans="1:8" x14ac:dyDescent="0.25">
      <c r="A10" s="34"/>
      <c r="B10" s="25" t="s">
        <v>241</v>
      </c>
      <c r="C10" s="26">
        <v>629.00674782608701</v>
      </c>
      <c r="D10" s="26">
        <v>566</v>
      </c>
      <c r="E10" s="26">
        <v>526</v>
      </c>
      <c r="F10" s="27"/>
      <c r="G10" s="35">
        <v>-16.376095833961884</v>
      </c>
      <c r="H10" s="29">
        <v>-7.0671378091872725</v>
      </c>
    </row>
    <row r="11" spans="1:8" x14ac:dyDescent="0.25">
      <c r="A11" s="30" t="s">
        <v>19</v>
      </c>
      <c r="B11" s="31" t="s">
        <v>3</v>
      </c>
      <c r="C11" s="20">
        <v>9710.3332173913041</v>
      </c>
      <c r="D11" s="20">
        <v>6527</v>
      </c>
      <c r="E11" s="21">
        <v>10045.102818322126</v>
      </c>
      <c r="F11" s="22" t="s">
        <v>240</v>
      </c>
      <c r="G11" s="37">
        <v>3.4475603816689357</v>
      </c>
      <c r="H11" s="33">
        <v>53.900763265238652</v>
      </c>
    </row>
    <row r="12" spans="1:8" x14ac:dyDescent="0.25">
      <c r="A12" s="34"/>
      <c r="B12" s="25" t="s">
        <v>241</v>
      </c>
      <c r="C12" s="26">
        <v>3719.3558260869568</v>
      </c>
      <c r="D12" s="26">
        <v>1694</v>
      </c>
      <c r="E12" s="26">
        <v>2921</v>
      </c>
      <c r="F12" s="27"/>
      <c r="G12" s="28">
        <v>-21.464895089827621</v>
      </c>
      <c r="H12" s="29">
        <v>72.432113341204257</v>
      </c>
    </row>
    <row r="13" spans="1:8" x14ac:dyDescent="0.25">
      <c r="A13" s="30" t="s">
        <v>20</v>
      </c>
      <c r="B13" s="31" t="s">
        <v>3</v>
      </c>
      <c r="C13" s="20">
        <v>1166.968198757764</v>
      </c>
      <c r="D13" s="20">
        <v>972</v>
      </c>
      <c r="E13" s="21">
        <v>632.86928495540451</v>
      </c>
      <c r="F13" s="22" t="s">
        <v>240</v>
      </c>
      <c r="G13" s="23">
        <v>-45.768077859440126</v>
      </c>
      <c r="H13" s="24">
        <v>-34.889991259732042</v>
      </c>
    </row>
    <row r="14" spans="1:8" x14ac:dyDescent="0.25">
      <c r="A14" s="34"/>
      <c r="B14" s="25" t="s">
        <v>241</v>
      </c>
      <c r="C14" s="26">
        <v>226.59801242236026</v>
      </c>
      <c r="D14" s="26">
        <v>196</v>
      </c>
      <c r="E14" s="26">
        <v>126</v>
      </c>
      <c r="F14" s="27"/>
      <c r="G14" s="23">
        <v>-44.394922685753194</v>
      </c>
      <c r="H14" s="24">
        <v>-35.714285714285708</v>
      </c>
    </row>
    <row r="15" spans="1:8" x14ac:dyDescent="0.25">
      <c r="A15" s="30" t="s">
        <v>21</v>
      </c>
      <c r="B15" s="31" t="s">
        <v>3</v>
      </c>
      <c r="C15" s="20">
        <v>780.15739130434781</v>
      </c>
      <c r="D15" s="20">
        <v>735</v>
      </c>
      <c r="E15" s="21">
        <v>643.21028459465776</v>
      </c>
      <c r="F15" s="22" t="s">
        <v>240</v>
      </c>
      <c r="G15" s="37">
        <v>-17.553779306086909</v>
      </c>
      <c r="H15" s="33">
        <v>-12.488396653788058</v>
      </c>
    </row>
    <row r="16" spans="1:8" x14ac:dyDescent="0.25">
      <c r="A16" s="34"/>
      <c r="B16" s="25" t="s">
        <v>241</v>
      </c>
      <c r="C16" s="26">
        <v>171.46608695652174</v>
      </c>
      <c r="D16" s="26">
        <v>146</v>
      </c>
      <c r="E16" s="26">
        <v>132</v>
      </c>
      <c r="F16" s="27"/>
      <c r="G16" s="28">
        <v>-23.016847037822146</v>
      </c>
      <c r="H16" s="29">
        <v>-9.5890410958904226</v>
      </c>
    </row>
    <row r="17" spans="1:8" x14ac:dyDescent="0.25">
      <c r="A17" s="30" t="s">
        <v>22</v>
      </c>
      <c r="B17" s="31" t="s">
        <v>3</v>
      </c>
      <c r="C17" s="20">
        <v>454.15739130434781</v>
      </c>
      <c r="D17" s="20">
        <v>634</v>
      </c>
      <c r="E17" s="21">
        <v>302.79378131319226</v>
      </c>
      <c r="F17" s="22" t="s">
        <v>240</v>
      </c>
      <c r="G17" s="37">
        <v>-33.328447998267009</v>
      </c>
      <c r="H17" s="33">
        <v>-52.240728499496491</v>
      </c>
    </row>
    <row r="18" spans="1:8" x14ac:dyDescent="0.25">
      <c r="A18" s="34"/>
      <c r="B18" s="25" t="s">
        <v>241</v>
      </c>
      <c r="C18" s="26">
        <v>108.46608695652174</v>
      </c>
      <c r="D18" s="26">
        <v>170</v>
      </c>
      <c r="E18" s="26">
        <v>78</v>
      </c>
      <c r="F18" s="27"/>
      <c r="G18" s="28">
        <v>-28.088122113904575</v>
      </c>
      <c r="H18" s="29">
        <v>-54.117647058823529</v>
      </c>
    </row>
    <row r="19" spans="1:8" x14ac:dyDescent="0.25">
      <c r="A19" s="30" t="s">
        <v>189</v>
      </c>
      <c r="B19" s="31" t="s">
        <v>3</v>
      </c>
      <c r="C19" s="20">
        <v>7856.9204968944105</v>
      </c>
      <c r="D19" s="20">
        <v>7478</v>
      </c>
      <c r="E19" s="21">
        <v>7029.5316439258377</v>
      </c>
      <c r="F19" s="22" t="s">
        <v>240</v>
      </c>
      <c r="G19" s="23">
        <v>-10.530701606254169</v>
      </c>
      <c r="H19" s="24">
        <v>-5.9971697790072511</v>
      </c>
    </row>
    <row r="20" spans="1:8" x14ac:dyDescent="0.25">
      <c r="A20" s="30"/>
      <c r="B20" s="25" t="s">
        <v>241</v>
      </c>
      <c r="C20" s="26">
        <v>1668.9950310559007</v>
      </c>
      <c r="D20" s="26">
        <v>1479</v>
      </c>
      <c r="E20" s="26">
        <v>1423</v>
      </c>
      <c r="F20" s="27"/>
      <c r="G20" s="23">
        <v>-14.739111050574564</v>
      </c>
      <c r="H20" s="24">
        <v>-3.7863421230561158</v>
      </c>
    </row>
    <row r="21" spans="1:8" x14ac:dyDescent="0.25">
      <c r="A21" s="38" t="s">
        <v>12</v>
      </c>
      <c r="B21" s="31" t="s">
        <v>3</v>
      </c>
      <c r="C21" s="20">
        <v>83.694434782608695</v>
      </c>
      <c r="D21" s="20">
        <v>77</v>
      </c>
      <c r="E21" s="21">
        <v>96.328607768496624</v>
      </c>
      <c r="F21" s="22" t="s">
        <v>240</v>
      </c>
      <c r="G21" s="37">
        <v>15.095595087898545</v>
      </c>
      <c r="H21" s="33">
        <v>25.102088011034567</v>
      </c>
    </row>
    <row r="22" spans="1:8" x14ac:dyDescent="0.25">
      <c r="A22" s="34"/>
      <c r="B22" s="25" t="s">
        <v>241</v>
      </c>
      <c r="C22" s="26">
        <v>19.279652173913043</v>
      </c>
      <c r="D22" s="26">
        <v>20</v>
      </c>
      <c r="E22" s="26">
        <v>24</v>
      </c>
      <c r="F22" s="27"/>
      <c r="G22" s="28">
        <v>24.483573580616664</v>
      </c>
      <c r="H22" s="29">
        <v>20</v>
      </c>
    </row>
    <row r="23" spans="1:8" x14ac:dyDescent="0.25">
      <c r="A23" s="38" t="s">
        <v>23</v>
      </c>
      <c r="B23" s="31" t="s">
        <v>3</v>
      </c>
      <c r="C23" s="20">
        <v>1495.1573913043478</v>
      </c>
      <c r="D23" s="20">
        <v>1521</v>
      </c>
      <c r="E23" s="21">
        <v>2315.0422660194404</v>
      </c>
      <c r="F23" s="22" t="s">
        <v>240</v>
      </c>
      <c r="G23" s="23">
        <v>54.836024587340603</v>
      </c>
      <c r="H23" s="24">
        <v>52.205277187339931</v>
      </c>
    </row>
    <row r="24" spans="1:8" x14ac:dyDescent="0.25">
      <c r="A24" s="34"/>
      <c r="B24" s="25" t="s">
        <v>241</v>
      </c>
      <c r="C24" s="26">
        <v>351.46608695652174</v>
      </c>
      <c r="D24" s="26">
        <v>338</v>
      </c>
      <c r="E24" s="26">
        <v>524</v>
      </c>
      <c r="F24" s="27"/>
      <c r="G24" s="28">
        <v>49.089775499398797</v>
      </c>
      <c r="H24" s="29">
        <v>55.029585798816555</v>
      </c>
    </row>
    <row r="25" spans="1:8" x14ac:dyDescent="0.25">
      <c r="A25" s="30" t="s">
        <v>24</v>
      </c>
      <c r="B25" s="31" t="s">
        <v>3</v>
      </c>
      <c r="C25" s="20">
        <v>3827.3147826086956</v>
      </c>
      <c r="D25" s="20">
        <v>4141</v>
      </c>
      <c r="E25" s="21">
        <v>4966.3556920891942</v>
      </c>
      <c r="F25" s="22" t="s">
        <v>240</v>
      </c>
      <c r="G25" s="23">
        <v>29.76083688376761</v>
      </c>
      <c r="H25" s="24">
        <v>19.931313501308722</v>
      </c>
    </row>
    <row r="26" spans="1:8" ht="13.8" thickBot="1" x14ac:dyDescent="0.3">
      <c r="A26" s="40"/>
      <c r="B26" s="41" t="s">
        <v>241</v>
      </c>
      <c r="C26" s="42">
        <v>1196.9321739130435</v>
      </c>
      <c r="D26" s="42">
        <v>715</v>
      </c>
      <c r="E26" s="42">
        <v>1008</v>
      </c>
      <c r="F26" s="43"/>
      <c r="G26" s="44">
        <v>-15.784701759280253</v>
      </c>
      <c r="H26" s="45">
        <v>40.979020979020987</v>
      </c>
    </row>
    <row r="31" spans="1:8" x14ac:dyDescent="0.25">
      <c r="A31" s="46"/>
      <c r="B31" s="47"/>
      <c r="C31" s="48"/>
      <c r="D31" s="53"/>
      <c r="E31" s="48"/>
      <c r="F31" s="48"/>
      <c r="G31" s="49"/>
      <c r="H31" s="49"/>
    </row>
    <row r="32" spans="1:8" ht="16.8" thickBot="1" x14ac:dyDescent="0.4">
      <c r="A32" s="4" t="s">
        <v>98</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45</v>
      </c>
      <c r="B35" s="19" t="s">
        <v>3</v>
      </c>
      <c r="C35" s="73">
        <v>1431.2174578167126</v>
      </c>
      <c r="D35" s="73">
        <v>1149.575694426868</v>
      </c>
      <c r="E35" s="76">
        <v>1400.1629861145893</v>
      </c>
      <c r="F35" s="22" t="s">
        <v>240</v>
      </c>
      <c r="G35" s="23">
        <v>-2.1697940821303376</v>
      </c>
      <c r="H35" s="24">
        <v>21.798241986375146</v>
      </c>
    </row>
    <row r="36" spans="1:8" ht="12.75" customHeight="1" x14ac:dyDescent="0.25">
      <c r="A36" s="193"/>
      <c r="B36" s="25" t="s">
        <v>241</v>
      </c>
      <c r="C36" s="75">
        <v>471.07497698119221</v>
      </c>
      <c r="D36" s="75">
        <v>304.8099886859311</v>
      </c>
      <c r="E36" s="75">
        <v>396.98055338868051</v>
      </c>
      <c r="F36" s="27"/>
      <c r="G36" s="28">
        <v>-15.728796309100062</v>
      </c>
      <c r="H36" s="29">
        <v>30.238695621526944</v>
      </c>
    </row>
    <row r="37" spans="1:8" x14ac:dyDescent="0.25">
      <c r="A37" s="30" t="s">
        <v>18</v>
      </c>
      <c r="B37" s="31" t="s">
        <v>3</v>
      </c>
      <c r="C37" s="73">
        <v>488.56474345624883</v>
      </c>
      <c r="D37" s="73">
        <v>425.39669157132164</v>
      </c>
      <c r="E37" s="76">
        <v>531.40456500670905</v>
      </c>
      <c r="F37" s="22" t="s">
        <v>240</v>
      </c>
      <c r="G37" s="32">
        <v>8.7685045071813619</v>
      </c>
      <c r="H37" s="33">
        <v>24.919769132152325</v>
      </c>
    </row>
    <row r="38" spans="1:8" x14ac:dyDescent="0.25">
      <c r="A38" s="34"/>
      <c r="B38" s="25" t="s">
        <v>241</v>
      </c>
      <c r="C38" s="75">
        <v>126.2522376563053</v>
      </c>
      <c r="D38" s="75">
        <v>84.222259689133594</v>
      </c>
      <c r="E38" s="75">
        <v>114.10456825960992</v>
      </c>
      <c r="F38" s="27"/>
      <c r="G38" s="35">
        <v>-9.6217458178957713</v>
      </c>
      <c r="H38" s="29">
        <v>35.480297822419715</v>
      </c>
    </row>
    <row r="39" spans="1:8" x14ac:dyDescent="0.25">
      <c r="A39" s="30" t="s">
        <v>19</v>
      </c>
      <c r="B39" s="31" t="s">
        <v>3</v>
      </c>
      <c r="C39" s="73">
        <v>604.88885710303157</v>
      </c>
      <c r="D39" s="73">
        <v>399.12353236917124</v>
      </c>
      <c r="E39" s="76">
        <v>556.31878404402983</v>
      </c>
      <c r="F39" s="22" t="s">
        <v>240</v>
      </c>
      <c r="G39" s="37">
        <v>-8.0295863427897132</v>
      </c>
      <c r="H39" s="33">
        <v>39.385112359012709</v>
      </c>
    </row>
    <row r="40" spans="1:8" x14ac:dyDescent="0.25">
      <c r="A40" s="34"/>
      <c r="B40" s="25" t="s">
        <v>241</v>
      </c>
      <c r="C40" s="75">
        <v>230.71303060917856</v>
      </c>
      <c r="D40" s="75">
        <v>133.26797414991802</v>
      </c>
      <c r="E40" s="75">
        <v>193.80299734786678</v>
      </c>
      <c r="F40" s="27"/>
      <c r="G40" s="28">
        <v>-15.998243863319686</v>
      </c>
      <c r="H40" s="29">
        <v>45.423533736507977</v>
      </c>
    </row>
    <row r="41" spans="1:8" x14ac:dyDescent="0.25">
      <c r="A41" s="30" t="s">
        <v>20</v>
      </c>
      <c r="B41" s="31" t="s">
        <v>3</v>
      </c>
      <c r="C41" s="73">
        <v>42.091523772120198</v>
      </c>
      <c r="D41" s="73">
        <v>41.04575282767275</v>
      </c>
      <c r="E41" s="76">
        <v>32.04029488376441</v>
      </c>
      <c r="F41" s="22" t="s">
        <v>240</v>
      </c>
      <c r="G41" s="23">
        <v>-23.87946072651647</v>
      </c>
      <c r="H41" s="24">
        <v>-21.940048174331267</v>
      </c>
    </row>
    <row r="42" spans="1:8" x14ac:dyDescent="0.25">
      <c r="A42" s="34"/>
      <c r="B42" s="25" t="s">
        <v>241</v>
      </c>
      <c r="C42" s="75">
        <v>12.2026858139212</v>
      </c>
      <c r="D42" s="75">
        <v>10.619061138834805</v>
      </c>
      <c r="E42" s="75">
        <v>8.5976162577169504</v>
      </c>
      <c r="F42" s="27"/>
      <c r="G42" s="23">
        <v>-29.543246553897788</v>
      </c>
      <c r="H42" s="24">
        <v>-19.036003792512872</v>
      </c>
    </row>
    <row r="43" spans="1:8" x14ac:dyDescent="0.25">
      <c r="A43" s="30" t="s">
        <v>21</v>
      </c>
      <c r="B43" s="31" t="s">
        <v>3</v>
      </c>
      <c r="C43" s="73">
        <v>13.995825833954727</v>
      </c>
      <c r="D43" s="73">
        <v>14.360286683443412</v>
      </c>
      <c r="E43" s="76">
        <v>14.913317034163503</v>
      </c>
      <c r="F43" s="22" t="s">
        <v>240</v>
      </c>
      <c r="G43" s="37">
        <v>6.55546311517314</v>
      </c>
      <c r="H43" s="33">
        <v>3.8511094026953003</v>
      </c>
    </row>
    <row r="44" spans="1:8" x14ac:dyDescent="0.25">
      <c r="A44" s="34"/>
      <c r="B44" s="25" t="s">
        <v>241</v>
      </c>
      <c r="C44" s="75">
        <v>3.3771784109445551</v>
      </c>
      <c r="D44" s="75">
        <v>3.1762551604192484</v>
      </c>
      <c r="E44" s="75">
        <v>3.3928572026587922</v>
      </c>
      <c r="F44" s="27"/>
      <c r="G44" s="28">
        <v>0.46425713440029881</v>
      </c>
      <c r="H44" s="29">
        <v>6.8194156734861906</v>
      </c>
    </row>
    <row r="45" spans="1:8" x14ac:dyDescent="0.25">
      <c r="A45" s="30" t="s">
        <v>22</v>
      </c>
      <c r="B45" s="31" t="s">
        <v>3</v>
      </c>
      <c r="C45" s="73">
        <v>2.9253030289737354</v>
      </c>
      <c r="D45" s="73">
        <v>4.0725019819075898</v>
      </c>
      <c r="E45" s="76">
        <v>2.3799547954612934</v>
      </c>
      <c r="F45" s="22" t="s">
        <v>240</v>
      </c>
      <c r="G45" s="37">
        <v>-18.642452700148567</v>
      </c>
      <c r="H45" s="33">
        <v>-41.560377231627399</v>
      </c>
    </row>
    <row r="46" spans="1:8" x14ac:dyDescent="0.25">
      <c r="A46" s="34"/>
      <c r="B46" s="25" t="s">
        <v>241</v>
      </c>
      <c r="C46" s="75">
        <v>1.209253000491461</v>
      </c>
      <c r="D46" s="75">
        <v>1.0988544045944104</v>
      </c>
      <c r="E46" s="75">
        <v>0.72623306514550379</v>
      </c>
      <c r="F46" s="27"/>
      <c r="G46" s="28">
        <v>-39.94366233944838</v>
      </c>
      <c r="H46" s="29">
        <v>-33.909982786704305</v>
      </c>
    </row>
    <row r="47" spans="1:8" x14ac:dyDescent="0.25">
      <c r="A47" s="30" t="s">
        <v>189</v>
      </c>
      <c r="B47" s="31" t="s">
        <v>3</v>
      </c>
      <c r="C47" s="73">
        <v>129.40500122315359</v>
      </c>
      <c r="D47" s="73">
        <v>120.60572204100094</v>
      </c>
      <c r="E47" s="76">
        <v>110.90775338417774</v>
      </c>
      <c r="F47" s="22" t="s">
        <v>240</v>
      </c>
      <c r="G47" s="23">
        <v>-14.294074930750256</v>
      </c>
      <c r="H47" s="24">
        <v>-8.0410518611432877</v>
      </c>
    </row>
    <row r="48" spans="1:8" x14ac:dyDescent="0.25">
      <c r="A48" s="30"/>
      <c r="B48" s="25" t="s">
        <v>241</v>
      </c>
      <c r="C48" s="75">
        <v>39.756035992319227</v>
      </c>
      <c r="D48" s="75">
        <v>32.500456766550592</v>
      </c>
      <c r="E48" s="75">
        <v>31.163306425276303</v>
      </c>
      <c r="F48" s="27"/>
      <c r="G48" s="23">
        <v>-21.613647720570071</v>
      </c>
      <c r="H48" s="24">
        <v>-4.1142509192377901</v>
      </c>
    </row>
    <row r="49" spans="1:8" x14ac:dyDescent="0.25">
      <c r="A49" s="38" t="s">
        <v>12</v>
      </c>
      <c r="B49" s="31" t="s">
        <v>3</v>
      </c>
      <c r="C49" s="73">
        <v>0.99713548082041958</v>
      </c>
      <c r="D49" s="73">
        <v>1.1861435763858441</v>
      </c>
      <c r="E49" s="76">
        <v>2.2341162816671996</v>
      </c>
      <c r="F49" s="22" t="s">
        <v>240</v>
      </c>
      <c r="G49" s="37">
        <v>124.05343352430117</v>
      </c>
      <c r="H49" s="33">
        <v>88.351252423800787</v>
      </c>
    </row>
    <row r="50" spans="1:8" x14ac:dyDescent="0.25">
      <c r="A50" s="34"/>
      <c r="B50" s="25" t="s">
        <v>241</v>
      </c>
      <c r="C50" s="75">
        <v>0.30069446081712758</v>
      </c>
      <c r="D50" s="75">
        <v>0.41884546321489619</v>
      </c>
      <c r="E50" s="75">
        <v>0.74636561600622509</v>
      </c>
      <c r="F50" s="27"/>
      <c r="G50" s="28">
        <v>148.2139557802297</v>
      </c>
      <c r="H50" s="29">
        <v>78.19594135684568</v>
      </c>
    </row>
    <row r="51" spans="1:8" x14ac:dyDescent="0.25">
      <c r="A51" s="38" t="s">
        <v>23</v>
      </c>
      <c r="B51" s="31" t="s">
        <v>3</v>
      </c>
      <c r="C51" s="73">
        <v>51.008676032492282</v>
      </c>
      <c r="D51" s="73">
        <v>51.959191230488301</v>
      </c>
      <c r="E51" s="76">
        <v>52.676528931160512</v>
      </c>
      <c r="F51" s="22" t="s">
        <v>240</v>
      </c>
      <c r="G51" s="23">
        <v>3.2697435581464873</v>
      </c>
      <c r="H51" s="24">
        <v>1.380579034593012</v>
      </c>
    </row>
    <row r="52" spans="1:8" x14ac:dyDescent="0.25">
      <c r="A52" s="34"/>
      <c r="B52" s="25" t="s">
        <v>241</v>
      </c>
      <c r="C52" s="75">
        <v>16.224886125096969</v>
      </c>
      <c r="D52" s="75">
        <v>13.62264487630638</v>
      </c>
      <c r="E52" s="75">
        <v>14.670117522490541</v>
      </c>
      <c r="F52" s="27"/>
      <c r="G52" s="28">
        <v>-9.5826164240467762</v>
      </c>
      <c r="H52" s="29">
        <v>7.6892017350170647</v>
      </c>
    </row>
    <row r="53" spans="1:8" x14ac:dyDescent="0.25">
      <c r="A53" s="30" t="s">
        <v>24</v>
      </c>
      <c r="B53" s="31" t="s">
        <v>3</v>
      </c>
      <c r="C53" s="73">
        <v>97.340391885917143</v>
      </c>
      <c r="D53" s="73">
        <v>91.825872145476552</v>
      </c>
      <c r="E53" s="76">
        <v>93.966515625176925</v>
      </c>
      <c r="F53" s="22" t="s">
        <v>240</v>
      </c>
      <c r="G53" s="23">
        <v>-3.4660598702893992</v>
      </c>
      <c r="H53" s="24">
        <v>2.3311986368166799</v>
      </c>
    </row>
    <row r="54" spans="1:8" ht="13.8" thickBot="1" x14ac:dyDescent="0.3">
      <c r="A54" s="40"/>
      <c r="B54" s="41" t="s">
        <v>241</v>
      </c>
      <c r="C54" s="79">
        <v>41.03897491211778</v>
      </c>
      <c r="D54" s="79">
        <v>25.883637036959197</v>
      </c>
      <c r="E54" s="79">
        <v>29.77649169190957</v>
      </c>
      <c r="F54" s="43"/>
      <c r="G54" s="44">
        <v>-27.443383379643535</v>
      </c>
      <c r="H54" s="45">
        <v>15.039828635333492</v>
      </c>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16</v>
      </c>
    </row>
    <row r="62" spans="1:8" ht="12.75" customHeight="1" x14ac:dyDescent="0.25">
      <c r="A62" s="52" t="str">
        <f>+Innhold!$B$124</f>
        <v>Skadestatistikk for landbasert forsikring 1. kvartal 2026</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37" display="Tilbake til innholdsfortegnelsen" xr:uid="{00000000-0004-0000-0B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163</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165</v>
      </c>
      <c r="B7" s="19" t="s">
        <v>3</v>
      </c>
      <c r="C7" s="20">
        <v>58959.321388756172</v>
      </c>
      <c r="D7" s="20">
        <v>48783</v>
      </c>
      <c r="E7" s="72">
        <v>47515.367864929511</v>
      </c>
      <c r="F7" s="22" t="s">
        <v>240</v>
      </c>
      <c r="G7" s="23">
        <v>-19.409913910591712</v>
      </c>
      <c r="H7" s="24">
        <v>-2.5985120535237485</v>
      </c>
    </row>
    <row r="8" spans="1:8" x14ac:dyDescent="0.25">
      <c r="A8" s="193"/>
      <c r="B8" s="25" t="s">
        <v>241</v>
      </c>
      <c r="C8" s="26">
        <v>18591.561395126613</v>
      </c>
      <c r="D8" s="26">
        <v>14088</v>
      </c>
      <c r="E8" s="26">
        <v>14118</v>
      </c>
      <c r="F8" s="27"/>
      <c r="G8" s="28">
        <v>-24.062322147397822</v>
      </c>
      <c r="H8" s="29">
        <v>0.21294718909710753</v>
      </c>
    </row>
    <row r="9" spans="1:8" x14ac:dyDescent="0.25">
      <c r="A9" s="30" t="s">
        <v>18</v>
      </c>
      <c r="B9" s="31" t="s">
        <v>3</v>
      </c>
      <c r="C9" s="20">
        <v>4682.284275362319</v>
      </c>
      <c r="D9" s="20">
        <v>4350</v>
      </c>
      <c r="E9" s="36">
        <v>4049.3757033742372</v>
      </c>
      <c r="F9" s="22" t="s">
        <v>240</v>
      </c>
      <c r="G9" s="32">
        <v>-13.517089838359013</v>
      </c>
      <c r="H9" s="33">
        <v>-6.9109033707071887</v>
      </c>
    </row>
    <row r="10" spans="1:8" x14ac:dyDescent="0.25">
      <c r="A10" s="34"/>
      <c r="B10" s="25" t="s">
        <v>241</v>
      </c>
      <c r="C10" s="26">
        <v>1140.2161413043477</v>
      </c>
      <c r="D10" s="26">
        <v>1190</v>
      </c>
      <c r="E10" s="26">
        <v>1064</v>
      </c>
      <c r="F10" s="27"/>
      <c r="G10" s="35">
        <v>-6.6843590915280657</v>
      </c>
      <c r="H10" s="29">
        <v>-10.588235294117638</v>
      </c>
    </row>
    <row r="11" spans="1:8" x14ac:dyDescent="0.25">
      <c r="A11" s="30" t="s">
        <v>19</v>
      </c>
      <c r="B11" s="31" t="s">
        <v>3</v>
      </c>
      <c r="C11" s="20">
        <v>28492.657628458499</v>
      </c>
      <c r="D11" s="20">
        <v>22587</v>
      </c>
      <c r="E11" s="36">
        <v>22391.474980463656</v>
      </c>
      <c r="F11" s="22" t="s">
        <v>240</v>
      </c>
      <c r="G11" s="37">
        <v>-21.413175027593695</v>
      </c>
      <c r="H11" s="33">
        <v>-0.8656528956317544</v>
      </c>
    </row>
    <row r="12" spans="1:8" x14ac:dyDescent="0.25">
      <c r="A12" s="34"/>
      <c r="B12" s="25" t="s">
        <v>241</v>
      </c>
      <c r="C12" s="26">
        <v>10260.889189723321</v>
      </c>
      <c r="D12" s="26">
        <v>6800</v>
      </c>
      <c r="E12" s="26">
        <v>7131</v>
      </c>
      <c r="F12" s="27"/>
      <c r="G12" s="28">
        <v>-30.503099018533661</v>
      </c>
      <c r="H12" s="29">
        <v>4.8676470588235219</v>
      </c>
    </row>
    <row r="13" spans="1:8" x14ac:dyDescent="0.25">
      <c r="A13" s="30" t="s">
        <v>20</v>
      </c>
      <c r="B13" s="31" t="s">
        <v>3</v>
      </c>
      <c r="C13" s="20">
        <v>3978.3705652173912</v>
      </c>
      <c r="D13" s="20">
        <v>3468</v>
      </c>
      <c r="E13" s="36">
        <v>3481.0004830743605</v>
      </c>
      <c r="F13" s="22" t="s">
        <v>240</v>
      </c>
      <c r="G13" s="23">
        <v>-12.501854062854306</v>
      </c>
      <c r="H13" s="24">
        <v>0.37486975416265977</v>
      </c>
    </row>
    <row r="14" spans="1:8" x14ac:dyDescent="0.25">
      <c r="A14" s="34"/>
      <c r="B14" s="25" t="s">
        <v>241</v>
      </c>
      <c r="C14" s="26">
        <v>916.92968478260866</v>
      </c>
      <c r="D14" s="26">
        <v>857</v>
      </c>
      <c r="E14" s="26">
        <v>840</v>
      </c>
      <c r="F14" s="27"/>
      <c r="G14" s="23">
        <v>-8.3899219383269923</v>
      </c>
      <c r="H14" s="24">
        <v>-1.9836639439906634</v>
      </c>
    </row>
    <row r="15" spans="1:8" x14ac:dyDescent="0.25">
      <c r="A15" s="30" t="s">
        <v>21</v>
      </c>
      <c r="B15" s="31" t="s">
        <v>3</v>
      </c>
      <c r="C15" s="20">
        <v>2111.3705652173912</v>
      </c>
      <c r="D15" s="20">
        <v>1905</v>
      </c>
      <c r="E15" s="36">
        <v>1714.1007214450951</v>
      </c>
      <c r="F15" s="22" t="s">
        <v>240</v>
      </c>
      <c r="G15" s="37">
        <v>-18.815732790676293</v>
      </c>
      <c r="H15" s="33">
        <v>-10.020959504194479</v>
      </c>
    </row>
    <row r="16" spans="1:8" x14ac:dyDescent="0.25">
      <c r="A16" s="34"/>
      <c r="B16" s="25" t="s">
        <v>241</v>
      </c>
      <c r="C16" s="26">
        <v>449.92968478260866</v>
      </c>
      <c r="D16" s="26">
        <v>454</v>
      </c>
      <c r="E16" s="26">
        <v>393</v>
      </c>
      <c r="F16" s="27"/>
      <c r="G16" s="28">
        <v>-12.653018173298619</v>
      </c>
      <c r="H16" s="29">
        <v>-13.436123348017631</v>
      </c>
    </row>
    <row r="17" spans="1:8" x14ac:dyDescent="0.25">
      <c r="A17" s="30" t="s">
        <v>189</v>
      </c>
      <c r="B17" s="31" t="s">
        <v>3</v>
      </c>
      <c r="C17" s="20">
        <v>11128.284275362319</v>
      </c>
      <c r="D17" s="20">
        <v>9785</v>
      </c>
      <c r="E17" s="36">
        <v>10177.949775920793</v>
      </c>
      <c r="F17" s="22" t="s">
        <v>240</v>
      </c>
      <c r="G17" s="37">
        <v>-8.5398114922849118</v>
      </c>
      <c r="H17" s="33">
        <v>4.0158382822768885</v>
      </c>
    </row>
    <row r="18" spans="1:8" x14ac:dyDescent="0.25">
      <c r="A18" s="34"/>
      <c r="B18" s="25" t="s">
        <v>241</v>
      </c>
      <c r="C18" s="26">
        <v>2940.2161413043477</v>
      </c>
      <c r="D18" s="26">
        <v>2680</v>
      </c>
      <c r="E18" s="26">
        <v>2754</v>
      </c>
      <c r="F18" s="27"/>
      <c r="G18" s="28">
        <v>-6.3334167406392794</v>
      </c>
      <c r="H18" s="29">
        <v>2.7611940298507562</v>
      </c>
    </row>
    <row r="19" spans="1:8" x14ac:dyDescent="0.25">
      <c r="A19" s="38" t="s">
        <v>12</v>
      </c>
      <c r="B19" s="31" t="s">
        <v>3</v>
      </c>
      <c r="C19" s="20">
        <v>697.37056521739134</v>
      </c>
      <c r="D19" s="20">
        <v>556</v>
      </c>
      <c r="E19" s="36">
        <v>431.17942945299069</v>
      </c>
      <c r="F19" s="22" t="s">
        <v>240</v>
      </c>
      <c r="G19" s="37">
        <v>-38.170687012208624</v>
      </c>
      <c r="H19" s="33">
        <v>-22.449742904138375</v>
      </c>
    </row>
    <row r="20" spans="1:8" x14ac:dyDescent="0.25">
      <c r="A20" s="34"/>
      <c r="B20" s="25" t="s">
        <v>241</v>
      </c>
      <c r="C20" s="26">
        <v>222.92968478260869</v>
      </c>
      <c r="D20" s="26">
        <v>163</v>
      </c>
      <c r="E20" s="26">
        <v>130</v>
      </c>
      <c r="F20" s="27"/>
      <c r="G20" s="28">
        <v>-41.685648491913341</v>
      </c>
      <c r="H20" s="29">
        <v>-20.245398773006144</v>
      </c>
    </row>
    <row r="21" spans="1:8" x14ac:dyDescent="0.25">
      <c r="A21" s="38" t="s">
        <v>23</v>
      </c>
      <c r="B21" s="31" t="s">
        <v>3</v>
      </c>
      <c r="C21" s="20">
        <v>642.91371014492756</v>
      </c>
      <c r="D21" s="20">
        <v>640</v>
      </c>
      <c r="E21" s="36">
        <v>626.73728971035655</v>
      </c>
      <c r="F21" s="22" t="s">
        <v>240</v>
      </c>
      <c r="G21" s="23">
        <v>-2.516110666068144</v>
      </c>
      <c r="H21" s="24">
        <v>-2.0722984827567785</v>
      </c>
    </row>
    <row r="22" spans="1:8" x14ac:dyDescent="0.25">
      <c r="A22" s="34"/>
      <c r="B22" s="25" t="s">
        <v>241</v>
      </c>
      <c r="C22" s="26">
        <v>168.28645652173913</v>
      </c>
      <c r="D22" s="26">
        <v>180</v>
      </c>
      <c r="E22" s="26">
        <v>172</v>
      </c>
      <c r="F22" s="27"/>
      <c r="G22" s="23">
        <v>2.2066799402726645</v>
      </c>
      <c r="H22" s="24">
        <v>-4.4444444444444429</v>
      </c>
    </row>
    <row r="23" spans="1:8" x14ac:dyDescent="0.25">
      <c r="A23" s="30" t="s">
        <v>24</v>
      </c>
      <c r="B23" s="31" t="s">
        <v>3</v>
      </c>
      <c r="C23" s="20">
        <v>9499.8111695652169</v>
      </c>
      <c r="D23" s="20">
        <v>7998</v>
      </c>
      <c r="E23" s="36">
        <v>7512.4344834171843</v>
      </c>
      <c r="F23" s="22" t="s">
        <v>240</v>
      </c>
      <c r="G23" s="37">
        <v>-20.9201704189136</v>
      </c>
      <c r="H23" s="33">
        <v>-6.0710867289674297</v>
      </c>
    </row>
    <row r="24" spans="1:8" ht="13.8" thickBot="1" x14ac:dyDescent="0.3">
      <c r="A24" s="40"/>
      <c r="B24" s="41" t="s">
        <v>241</v>
      </c>
      <c r="C24" s="42">
        <v>3043.4789054347825</v>
      </c>
      <c r="D24" s="42">
        <v>2234</v>
      </c>
      <c r="E24" s="42">
        <v>2192</v>
      </c>
      <c r="F24" s="43"/>
      <c r="G24" s="44">
        <v>-27.977158110551869</v>
      </c>
      <c r="H24" s="45">
        <v>-1.8800358102059107</v>
      </c>
    </row>
    <row r="29" spans="1:8" x14ac:dyDescent="0.25">
      <c r="A29" s="6"/>
      <c r="B29" s="6"/>
      <c r="C29" s="21"/>
      <c r="D29" s="21"/>
      <c r="E29" s="21"/>
      <c r="F29" s="56"/>
      <c r="G29" s="23"/>
      <c r="H29" s="23"/>
    </row>
    <row r="30" spans="1:8" x14ac:dyDescent="0.25">
      <c r="A30" s="6"/>
      <c r="B30" s="57"/>
      <c r="C30" s="21"/>
      <c r="D30" s="21"/>
      <c r="E30" s="21"/>
      <c r="F30" s="58"/>
      <c r="G30" s="23"/>
      <c r="H30" s="23"/>
    </row>
    <row r="31" spans="1:8" x14ac:dyDescent="0.25">
      <c r="A31" s="46"/>
      <c r="B31" s="47"/>
      <c r="C31" s="48"/>
      <c r="D31" s="53"/>
      <c r="E31" s="48"/>
      <c r="F31" s="48"/>
      <c r="G31" s="49"/>
      <c r="H31" s="49"/>
    </row>
    <row r="32" spans="1:8" ht="16.2" thickBot="1" x14ac:dyDescent="0.35">
      <c r="A32" s="4" t="s">
        <v>164</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165</v>
      </c>
      <c r="B35" s="19" t="s">
        <v>3</v>
      </c>
      <c r="C35" s="73">
        <v>8476.4604420827982</v>
      </c>
      <c r="D35" s="73">
        <v>8139.9913574072161</v>
      </c>
      <c r="E35" s="74">
        <v>7664.0389867314952</v>
      </c>
      <c r="F35" s="22" t="s">
        <v>240</v>
      </c>
      <c r="G35" s="23">
        <v>-9.584442243343716</v>
      </c>
      <c r="H35" s="24">
        <v>-5.8470869289389924</v>
      </c>
    </row>
    <row r="36" spans="1:8" ht="12.75" customHeight="1" x14ac:dyDescent="0.25">
      <c r="A36" s="193"/>
      <c r="B36" s="25" t="s">
        <v>241</v>
      </c>
      <c r="C36" s="75">
        <v>2683.8552665969805</v>
      </c>
      <c r="D36" s="75">
        <v>2336.037209323822</v>
      </c>
      <c r="E36" s="75">
        <v>2270.293893236857</v>
      </c>
      <c r="F36" s="27"/>
      <c r="G36" s="28">
        <v>-15.409227856184003</v>
      </c>
      <c r="H36" s="29">
        <v>-2.8143094563975239</v>
      </c>
    </row>
    <row r="37" spans="1:8" x14ac:dyDescent="0.25">
      <c r="A37" s="30" t="s">
        <v>18</v>
      </c>
      <c r="B37" s="31" t="s">
        <v>3</v>
      </c>
      <c r="C37" s="73">
        <v>3347.0315267084916</v>
      </c>
      <c r="D37" s="73">
        <v>3860.4042361857169</v>
      </c>
      <c r="E37" s="76">
        <v>3119.4326139203786</v>
      </c>
      <c r="F37" s="22" t="s">
        <v>240</v>
      </c>
      <c r="G37" s="32">
        <v>-6.8000229747443228</v>
      </c>
      <c r="H37" s="33">
        <v>-19.194145921813032</v>
      </c>
    </row>
    <row r="38" spans="1:8" x14ac:dyDescent="0.25">
      <c r="A38" s="34"/>
      <c r="B38" s="25" t="s">
        <v>241</v>
      </c>
      <c r="C38" s="75">
        <v>774.54326327627007</v>
      </c>
      <c r="D38" s="75">
        <v>1155.0885005301932</v>
      </c>
      <c r="E38" s="75">
        <v>850.33169160317448</v>
      </c>
      <c r="F38" s="27"/>
      <c r="G38" s="35">
        <v>9.78491866371985</v>
      </c>
      <c r="H38" s="29">
        <v>-26.383849271041427</v>
      </c>
    </row>
    <row r="39" spans="1:8" x14ac:dyDescent="0.25">
      <c r="A39" s="30" t="s">
        <v>19</v>
      </c>
      <c r="B39" s="31" t="s">
        <v>3</v>
      </c>
      <c r="C39" s="73">
        <v>2807.7314370990707</v>
      </c>
      <c r="D39" s="73">
        <v>2308.3796514722144</v>
      </c>
      <c r="E39" s="76">
        <v>2671.3192938504067</v>
      </c>
      <c r="F39" s="22" t="s">
        <v>240</v>
      </c>
      <c r="G39" s="37">
        <v>-4.8584469812969076</v>
      </c>
      <c r="H39" s="33">
        <v>15.722701512583527</v>
      </c>
    </row>
    <row r="40" spans="1:8" x14ac:dyDescent="0.25">
      <c r="A40" s="34"/>
      <c r="B40" s="25" t="s">
        <v>241</v>
      </c>
      <c r="C40" s="75">
        <v>1095.99197504481</v>
      </c>
      <c r="D40" s="75">
        <v>656.37519574498378</v>
      </c>
      <c r="E40" s="75">
        <v>835.17550936008854</v>
      </c>
      <c r="F40" s="27"/>
      <c r="G40" s="28">
        <v>-23.797297026199288</v>
      </c>
      <c r="H40" s="29">
        <v>27.240565270320289</v>
      </c>
    </row>
    <row r="41" spans="1:8" x14ac:dyDescent="0.25">
      <c r="A41" s="30" t="s">
        <v>20</v>
      </c>
      <c r="B41" s="31" t="s">
        <v>3</v>
      </c>
      <c r="C41" s="73">
        <v>258.8339659852374</v>
      </c>
      <c r="D41" s="73">
        <v>250.03848922497139</v>
      </c>
      <c r="E41" s="76">
        <v>381.76730146317783</v>
      </c>
      <c r="F41" s="22" t="s">
        <v>240</v>
      </c>
      <c r="G41" s="23">
        <v>47.495055376523482</v>
      </c>
      <c r="H41" s="24">
        <v>52.683413920200053</v>
      </c>
    </row>
    <row r="42" spans="1:8" x14ac:dyDescent="0.25">
      <c r="A42" s="34"/>
      <c r="B42" s="25" t="s">
        <v>241</v>
      </c>
      <c r="C42" s="75">
        <v>57.583826971152867</v>
      </c>
      <c r="D42" s="75">
        <v>62.697564234797255</v>
      </c>
      <c r="E42" s="75">
        <v>91.837755452039232</v>
      </c>
      <c r="F42" s="27"/>
      <c r="G42" s="23">
        <v>59.485328229480416</v>
      </c>
      <c r="H42" s="24">
        <v>46.477389628908611</v>
      </c>
    </row>
    <row r="43" spans="1:8" x14ac:dyDescent="0.25">
      <c r="A43" s="30" t="s">
        <v>21</v>
      </c>
      <c r="B43" s="31" t="s">
        <v>3</v>
      </c>
      <c r="C43" s="73">
        <v>50.366140108535632</v>
      </c>
      <c r="D43" s="73">
        <v>51.766475318584035</v>
      </c>
      <c r="E43" s="76">
        <v>57.66258893561502</v>
      </c>
      <c r="F43" s="22" t="s">
        <v>240</v>
      </c>
      <c r="G43" s="37">
        <v>14.486813584197705</v>
      </c>
      <c r="H43" s="33">
        <v>11.389830156959306</v>
      </c>
    </row>
    <row r="44" spans="1:8" x14ac:dyDescent="0.25">
      <c r="A44" s="34"/>
      <c r="B44" s="25" t="s">
        <v>241</v>
      </c>
      <c r="C44" s="75">
        <v>11.678490752388203</v>
      </c>
      <c r="D44" s="75">
        <v>12.285468191084316</v>
      </c>
      <c r="E44" s="75">
        <v>13.578321648439596</v>
      </c>
      <c r="F44" s="27"/>
      <c r="G44" s="28">
        <v>16.267777543625542</v>
      </c>
      <c r="H44" s="29">
        <v>10.523436610201941</v>
      </c>
    </row>
    <row r="45" spans="1:8" x14ac:dyDescent="0.25">
      <c r="A45" s="30" t="s">
        <v>189</v>
      </c>
      <c r="B45" s="31" t="s">
        <v>3</v>
      </c>
      <c r="C45" s="73">
        <v>1014.9115723962957</v>
      </c>
      <c r="D45" s="73">
        <v>800.04395066233349</v>
      </c>
      <c r="E45" s="76">
        <v>904.97952321342302</v>
      </c>
      <c r="F45" s="22" t="s">
        <v>240</v>
      </c>
      <c r="G45" s="37">
        <v>-10.831687427044841</v>
      </c>
      <c r="H45" s="33">
        <v>13.116225985361979</v>
      </c>
    </row>
    <row r="46" spans="1:8" x14ac:dyDescent="0.25">
      <c r="A46" s="34"/>
      <c r="B46" s="25" t="s">
        <v>241</v>
      </c>
      <c r="C46" s="75">
        <v>244.46921136542443</v>
      </c>
      <c r="D46" s="75">
        <v>230.32007633256643</v>
      </c>
      <c r="E46" s="75">
        <v>244.61713078596316</v>
      </c>
      <c r="F46" s="27"/>
      <c r="G46" s="28">
        <v>6.0506359763095929E-2</v>
      </c>
      <c r="H46" s="29">
        <v>6.2074720888650461</v>
      </c>
    </row>
    <row r="47" spans="1:8" x14ac:dyDescent="0.25">
      <c r="A47" s="38" t="s">
        <v>12</v>
      </c>
      <c r="B47" s="31" t="s">
        <v>3</v>
      </c>
      <c r="C47" s="73">
        <v>25.494554779231184</v>
      </c>
      <c r="D47" s="73">
        <v>48.520037736109494</v>
      </c>
      <c r="E47" s="76">
        <v>26.302007168105472</v>
      </c>
      <c r="F47" s="22" t="s">
        <v>240</v>
      </c>
      <c r="G47" s="37">
        <v>3.1671562648039213</v>
      </c>
      <c r="H47" s="33">
        <v>-45.791453602825541</v>
      </c>
    </row>
    <row r="48" spans="1:8" x14ac:dyDescent="0.25">
      <c r="A48" s="34"/>
      <c r="B48" s="25" t="s">
        <v>241</v>
      </c>
      <c r="C48" s="75">
        <v>12.454759759402545</v>
      </c>
      <c r="D48" s="75">
        <v>12.025752258394897</v>
      </c>
      <c r="E48" s="75">
        <v>7.7998672538992597</v>
      </c>
      <c r="F48" s="27"/>
      <c r="G48" s="28">
        <v>-37.3744062143723</v>
      </c>
      <c r="H48" s="29">
        <v>-35.140296537754182</v>
      </c>
    </row>
    <row r="49" spans="1:8" x14ac:dyDescent="0.25">
      <c r="A49" s="38" t="s">
        <v>23</v>
      </c>
      <c r="B49" s="31" t="s">
        <v>3</v>
      </c>
      <c r="C49" s="73">
        <v>31.721700854700988</v>
      </c>
      <c r="D49" s="73">
        <v>35.520374557002043</v>
      </c>
      <c r="E49" s="76">
        <v>34.936642078282439</v>
      </c>
      <c r="F49" s="22" t="s">
        <v>240</v>
      </c>
      <c r="G49" s="23">
        <v>10.134832423731837</v>
      </c>
      <c r="H49" s="24">
        <v>-1.6433736580757312</v>
      </c>
    </row>
    <row r="50" spans="1:8" x14ac:dyDescent="0.25">
      <c r="A50" s="34"/>
      <c r="B50" s="25" t="s">
        <v>241</v>
      </c>
      <c r="C50" s="75">
        <v>7.6843862140939443</v>
      </c>
      <c r="D50" s="75">
        <v>8.5662483910966465</v>
      </c>
      <c r="E50" s="75">
        <v>8.4380065068409014</v>
      </c>
      <c r="F50" s="27"/>
      <c r="G50" s="23">
        <v>9.8071631455058963</v>
      </c>
      <c r="H50" s="24">
        <v>-1.4970600711162376</v>
      </c>
    </row>
    <row r="51" spans="1:8" x14ac:dyDescent="0.25">
      <c r="A51" s="30" t="s">
        <v>24</v>
      </c>
      <c r="B51" s="31" t="s">
        <v>3</v>
      </c>
      <c r="C51" s="73">
        <v>940.36954415123591</v>
      </c>
      <c r="D51" s="73">
        <v>785.31814225028404</v>
      </c>
      <c r="E51" s="76">
        <v>728.91703874578639</v>
      </c>
      <c r="F51" s="22" t="s">
        <v>240</v>
      </c>
      <c r="G51" s="37">
        <v>-22.486107373490441</v>
      </c>
      <c r="H51" s="33">
        <v>-7.1819432749743299</v>
      </c>
    </row>
    <row r="52" spans="1:8" ht="13.8" thickBot="1" x14ac:dyDescent="0.3">
      <c r="A52" s="40"/>
      <c r="B52" s="41" t="s">
        <v>241</v>
      </c>
      <c r="C52" s="79">
        <v>479.44935321343894</v>
      </c>
      <c r="D52" s="79">
        <v>195.20840364070494</v>
      </c>
      <c r="E52" s="79">
        <v>218.5156106264117</v>
      </c>
      <c r="F52" s="43"/>
      <c r="G52" s="44">
        <v>-54.423630116123242</v>
      </c>
      <c r="H52" s="45">
        <v>11.939653493916865</v>
      </c>
    </row>
    <row r="57" spans="1:8" x14ac:dyDescent="0.25">
      <c r="A57" s="46"/>
      <c r="B57" s="47"/>
      <c r="C57" s="48"/>
      <c r="D57" s="48"/>
      <c r="E57" s="48"/>
      <c r="F57" s="48"/>
      <c r="G57" s="49"/>
      <c r="H57" s="49"/>
    </row>
    <row r="58" spans="1:8" x14ac:dyDescent="0.25">
      <c r="A58" s="46"/>
      <c r="B58" s="47"/>
      <c r="C58" s="48"/>
      <c r="D58" s="48"/>
      <c r="E58" s="48"/>
      <c r="F58" s="48"/>
      <c r="G58" s="49"/>
      <c r="H58" s="49"/>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17</v>
      </c>
    </row>
    <row r="62" spans="1:8" ht="12.75" customHeight="1" x14ac:dyDescent="0.25">
      <c r="A62" s="52" t="str">
        <f>+Innhold!$B$124</f>
        <v>Skadestatistikk for landbasert forsikring 1. kvartal 2026</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40" display="Tilbake til innholdsfortegnelsen" xr:uid="{00000000-0004-0000-0C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151</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58</v>
      </c>
      <c r="B7" s="19" t="s">
        <v>3</v>
      </c>
      <c r="C7" s="20">
        <v>10117.320163265307</v>
      </c>
      <c r="D7" s="20">
        <v>10448</v>
      </c>
      <c r="E7" s="72">
        <v>12123.413636881012</v>
      </c>
      <c r="F7" s="22" t="s">
        <v>240</v>
      </c>
      <c r="G7" s="23">
        <v>19.828308694821899</v>
      </c>
      <c r="H7" s="24">
        <v>16.035735421908612</v>
      </c>
    </row>
    <row r="8" spans="1:8" x14ac:dyDescent="0.25">
      <c r="A8" s="193"/>
      <c r="B8" s="25" t="s">
        <v>241</v>
      </c>
      <c r="C8" s="26">
        <v>2800.3848653061223</v>
      </c>
      <c r="D8" s="26">
        <v>2799</v>
      </c>
      <c r="E8" s="26">
        <v>3283</v>
      </c>
      <c r="F8" s="27"/>
      <c r="G8" s="28">
        <v>17.233885980208697</v>
      </c>
      <c r="H8" s="29">
        <v>17.29188996070026</v>
      </c>
    </row>
    <row r="9" spans="1:8" x14ac:dyDescent="0.25">
      <c r="A9" s="30" t="s">
        <v>9</v>
      </c>
      <c r="B9" s="31" t="s">
        <v>3</v>
      </c>
      <c r="C9" s="20">
        <v>9363.0434285714291</v>
      </c>
      <c r="D9" s="20">
        <v>9742</v>
      </c>
      <c r="E9" s="21">
        <v>11380.3165102644</v>
      </c>
      <c r="F9" s="22" t="s">
        <v>240</v>
      </c>
      <c r="G9" s="32">
        <v>21.54505740662529</v>
      </c>
      <c r="H9" s="33">
        <v>16.817044860032837</v>
      </c>
    </row>
    <row r="10" spans="1:8" x14ac:dyDescent="0.25">
      <c r="A10" s="34"/>
      <c r="B10" s="25" t="s">
        <v>241</v>
      </c>
      <c r="C10" s="26">
        <v>2646.0581714285718</v>
      </c>
      <c r="D10" s="26">
        <v>2634</v>
      </c>
      <c r="E10" s="26">
        <v>3122</v>
      </c>
      <c r="F10" s="27"/>
      <c r="G10" s="35">
        <v>17.986824088393845</v>
      </c>
      <c r="H10" s="29">
        <v>18.526955201214875</v>
      </c>
    </row>
    <row r="11" spans="1:8" x14ac:dyDescent="0.25">
      <c r="A11" s="30" t="s">
        <v>46</v>
      </c>
      <c r="B11" s="31" t="s">
        <v>3</v>
      </c>
      <c r="C11" s="20">
        <v>754.27673469387753</v>
      </c>
      <c r="D11" s="20">
        <v>706</v>
      </c>
      <c r="E11" s="21">
        <v>909.78565996831219</v>
      </c>
      <c r="F11" s="22" t="s">
        <v>240</v>
      </c>
      <c r="G11" s="37">
        <v>20.616959018038344</v>
      </c>
      <c r="H11" s="33">
        <v>28.864824358117886</v>
      </c>
    </row>
    <row r="12" spans="1:8" ht="13.8" thickBot="1" x14ac:dyDescent="0.3">
      <c r="A12" s="54"/>
      <c r="B12" s="41" t="s">
        <v>241</v>
      </c>
      <c r="C12" s="42">
        <v>154.32669387755101</v>
      </c>
      <c r="D12" s="42">
        <v>165</v>
      </c>
      <c r="E12" s="42">
        <v>203</v>
      </c>
      <c r="F12" s="43"/>
      <c r="G12" s="55">
        <v>31.5391361659496</v>
      </c>
      <c r="H12" s="45">
        <v>23.030303030303017</v>
      </c>
    </row>
    <row r="13" spans="1:8" x14ac:dyDescent="0.25">
      <c r="A13" s="6"/>
      <c r="B13" s="6"/>
      <c r="C13" s="21"/>
      <c r="D13" s="21"/>
      <c r="E13" s="21"/>
      <c r="F13" s="56"/>
      <c r="G13" s="23"/>
      <c r="H13" s="23"/>
    </row>
    <row r="14" spans="1:8" x14ac:dyDescent="0.25">
      <c r="A14" s="6"/>
      <c r="B14" s="57"/>
      <c r="C14" s="21"/>
      <c r="D14" s="21"/>
      <c r="E14" s="21"/>
      <c r="F14" s="58"/>
      <c r="G14" s="23"/>
      <c r="H14" s="23"/>
    </row>
    <row r="15" spans="1:8" x14ac:dyDescent="0.25">
      <c r="A15" s="6"/>
      <c r="B15" s="6"/>
      <c r="C15" s="21"/>
      <c r="D15" s="21"/>
      <c r="E15" s="21"/>
      <c r="F15" s="56"/>
      <c r="G15" s="23"/>
      <c r="H15" s="23"/>
    </row>
    <row r="16" spans="1:8" x14ac:dyDescent="0.25">
      <c r="A16" s="6"/>
      <c r="B16" s="57"/>
      <c r="C16" s="21"/>
      <c r="D16" s="21"/>
      <c r="E16" s="21"/>
      <c r="F16" s="58"/>
      <c r="G16" s="23"/>
      <c r="H16" s="23"/>
    </row>
    <row r="17" spans="1:8" x14ac:dyDescent="0.25">
      <c r="A17" s="6"/>
      <c r="B17" s="6"/>
      <c r="C17" s="21"/>
      <c r="D17" s="21"/>
      <c r="E17" s="21"/>
      <c r="F17" s="56"/>
      <c r="G17" s="23"/>
      <c r="H17" s="23"/>
    </row>
    <row r="18" spans="1:8" x14ac:dyDescent="0.25">
      <c r="A18" s="6"/>
      <c r="B18" s="57"/>
      <c r="C18" s="21"/>
      <c r="D18" s="21"/>
      <c r="E18" s="21"/>
      <c r="F18" s="58"/>
      <c r="G18" s="23"/>
      <c r="H18" s="23"/>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59</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58</v>
      </c>
      <c r="B35" s="19" t="s">
        <v>3</v>
      </c>
      <c r="C35" s="73">
        <v>2003.6754158814858</v>
      </c>
      <c r="D35" s="73">
        <v>2341.1157256331016</v>
      </c>
      <c r="E35" s="74">
        <v>3309.7692397006258</v>
      </c>
      <c r="F35" s="22" t="s">
        <v>240</v>
      </c>
      <c r="G35" s="23">
        <v>65.184900381908619</v>
      </c>
      <c r="H35" s="24">
        <v>41.37572113422857</v>
      </c>
    </row>
    <row r="36" spans="1:8" ht="12.75" customHeight="1" x14ac:dyDescent="0.25">
      <c r="A36" s="193"/>
      <c r="B36" s="25" t="s">
        <v>241</v>
      </c>
      <c r="C36" s="75">
        <v>556.31455547052394</v>
      </c>
      <c r="D36" s="75">
        <v>559.8080030833961</v>
      </c>
      <c r="E36" s="75">
        <v>829.81486720109547</v>
      </c>
      <c r="F36" s="27"/>
      <c r="G36" s="28">
        <v>49.162889779011522</v>
      </c>
      <c r="H36" s="29">
        <v>48.232047886152799</v>
      </c>
    </row>
    <row r="37" spans="1:8" x14ac:dyDescent="0.25">
      <c r="A37" s="30" t="s">
        <v>9</v>
      </c>
      <c r="B37" s="31" t="s">
        <v>3</v>
      </c>
      <c r="C37" s="73">
        <v>1428.2060151109472</v>
      </c>
      <c r="D37" s="73">
        <v>1665.8933757019656</v>
      </c>
      <c r="E37" s="76">
        <v>2322.7148864204087</v>
      </c>
      <c r="F37" s="22" t="s">
        <v>240</v>
      </c>
      <c r="G37" s="32">
        <v>62.631641503062383</v>
      </c>
      <c r="H37" s="33">
        <v>39.427584039805367</v>
      </c>
    </row>
    <row r="38" spans="1:8" x14ac:dyDescent="0.25">
      <c r="A38" s="34"/>
      <c r="B38" s="25" t="s">
        <v>241</v>
      </c>
      <c r="C38" s="75">
        <v>407.82909852562062</v>
      </c>
      <c r="D38" s="75">
        <v>403.3945479466804</v>
      </c>
      <c r="E38" s="75">
        <v>592.46146684819917</v>
      </c>
      <c r="F38" s="27"/>
      <c r="G38" s="35">
        <v>45.271994811076382</v>
      </c>
      <c r="H38" s="29">
        <v>46.868982207094462</v>
      </c>
    </row>
    <row r="39" spans="1:8" x14ac:dyDescent="0.25">
      <c r="A39" s="30" t="s">
        <v>46</v>
      </c>
      <c r="B39" s="31" t="s">
        <v>3</v>
      </c>
      <c r="C39" s="73">
        <v>575.46940077053875</v>
      </c>
      <c r="D39" s="73">
        <v>675.22234993113545</v>
      </c>
      <c r="E39" s="76">
        <v>1010.9621521084259</v>
      </c>
      <c r="F39" s="22" t="s">
        <v>240</v>
      </c>
      <c r="G39" s="37">
        <v>75.676091683549743</v>
      </c>
      <c r="H39" s="33">
        <v>49.722850881866066</v>
      </c>
    </row>
    <row r="40" spans="1:8" ht="13.8" thickBot="1" x14ac:dyDescent="0.3">
      <c r="A40" s="54"/>
      <c r="B40" s="41" t="s">
        <v>241</v>
      </c>
      <c r="C40" s="79">
        <v>148.48545694490318</v>
      </c>
      <c r="D40" s="79">
        <v>151.69545513671574</v>
      </c>
      <c r="E40" s="79">
        <v>237.35340035289644</v>
      </c>
      <c r="F40" s="43"/>
      <c r="G40" s="55">
        <v>59.849594186835759</v>
      </c>
      <c r="H40" s="45">
        <v>56.46704783540244</v>
      </c>
    </row>
    <row r="41" spans="1:8" x14ac:dyDescent="0.25">
      <c r="A41" s="6"/>
      <c r="B41" s="6"/>
      <c r="C41" s="21"/>
      <c r="D41" s="21"/>
      <c r="E41" s="21"/>
      <c r="F41" s="56"/>
      <c r="G41" s="23"/>
      <c r="H41" s="23"/>
    </row>
    <row r="42" spans="1:8" x14ac:dyDescent="0.25">
      <c r="A42" s="6"/>
      <c r="B42" s="57"/>
      <c r="C42" s="21"/>
      <c r="D42" s="21"/>
      <c r="E42" s="21"/>
      <c r="F42" s="58"/>
      <c r="G42" s="23"/>
      <c r="H42" s="23"/>
    </row>
    <row r="43" spans="1:8" x14ac:dyDescent="0.25">
      <c r="A43" s="6"/>
      <c r="B43" s="6"/>
      <c r="C43" s="21"/>
      <c r="D43" s="21"/>
      <c r="E43" s="21"/>
      <c r="F43" s="56"/>
      <c r="G43" s="23"/>
      <c r="H43" s="23"/>
    </row>
    <row r="44" spans="1:8" x14ac:dyDescent="0.25">
      <c r="A44" s="6"/>
      <c r="B44" s="57"/>
      <c r="C44" s="21"/>
      <c r="D44" s="21"/>
      <c r="E44" s="21"/>
      <c r="F44" s="58"/>
      <c r="G44" s="23"/>
      <c r="H44" s="23"/>
    </row>
    <row r="45" spans="1:8" x14ac:dyDescent="0.25">
      <c r="A45" s="6"/>
      <c r="B45" s="6"/>
      <c r="C45" s="21"/>
      <c r="D45" s="21"/>
      <c r="E45" s="21"/>
      <c r="F45" s="56"/>
      <c r="G45" s="23"/>
      <c r="H45" s="23"/>
    </row>
    <row r="46" spans="1:8" x14ac:dyDescent="0.25">
      <c r="A46" s="6"/>
      <c r="B46" s="57"/>
      <c r="C46" s="21"/>
      <c r="D46" s="21"/>
      <c r="E46" s="21"/>
      <c r="F46" s="58"/>
      <c r="G46" s="23"/>
      <c r="H46" s="23"/>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18</v>
      </c>
    </row>
    <row r="62" spans="1:8" ht="12.75" customHeight="1" x14ac:dyDescent="0.25">
      <c r="A62" s="52" t="str">
        <f>+Innhold!$B$124</f>
        <v>Skadestatistikk for landbasert forsikring 1. kvartal 2026</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43" display="Tilbake til innholdsfortegnelsen" xr:uid="{00000000-0004-0000-0D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152</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57</v>
      </c>
      <c r="B7" s="19" t="s">
        <v>3</v>
      </c>
      <c r="C7" s="20">
        <v>7488</v>
      </c>
      <c r="D7" s="20">
        <v>7472</v>
      </c>
      <c r="E7" s="72">
        <v>9919.5084221537509</v>
      </c>
      <c r="F7" s="22" t="s">
        <v>240</v>
      </c>
      <c r="G7" s="23">
        <v>32.472067603549021</v>
      </c>
      <c r="H7" s="24">
        <v>32.755733701201166</v>
      </c>
    </row>
    <row r="8" spans="1:8" x14ac:dyDescent="0.25">
      <c r="A8" s="193"/>
      <c r="B8" s="25" t="s">
        <v>241</v>
      </c>
      <c r="C8" s="26">
        <v>1943</v>
      </c>
      <c r="D8" s="26">
        <v>2092</v>
      </c>
      <c r="E8" s="26">
        <v>2706</v>
      </c>
      <c r="F8" s="27"/>
      <c r="G8" s="28">
        <v>39.269171384457024</v>
      </c>
      <c r="H8" s="29">
        <v>29.349904397705558</v>
      </c>
    </row>
    <row r="9" spans="1:8" x14ac:dyDescent="0.25">
      <c r="A9" s="30" t="s">
        <v>9</v>
      </c>
      <c r="B9" s="31" t="s">
        <v>3</v>
      </c>
      <c r="C9" s="20">
        <v>2925</v>
      </c>
      <c r="D9" s="20">
        <v>2875</v>
      </c>
      <c r="E9" s="21">
        <v>3499.2315730940327</v>
      </c>
      <c r="F9" s="22" t="s">
        <v>240</v>
      </c>
      <c r="G9" s="32">
        <v>19.63184865278744</v>
      </c>
      <c r="H9" s="33">
        <v>21.712402542401151</v>
      </c>
    </row>
    <row r="10" spans="1:8" x14ac:dyDescent="0.25">
      <c r="A10" s="34"/>
      <c r="B10" s="25" t="s">
        <v>241</v>
      </c>
      <c r="C10" s="26">
        <v>656</v>
      </c>
      <c r="D10" s="26">
        <v>848</v>
      </c>
      <c r="E10" s="26">
        <v>934</v>
      </c>
      <c r="F10" s="27"/>
      <c r="G10" s="35">
        <v>42.378048780487802</v>
      </c>
      <c r="H10" s="29">
        <v>10.141509433962256</v>
      </c>
    </row>
    <row r="11" spans="1:8" x14ac:dyDescent="0.25">
      <c r="A11" s="30" t="s">
        <v>46</v>
      </c>
      <c r="B11" s="31" t="s">
        <v>3</v>
      </c>
      <c r="C11" s="20">
        <v>3694</v>
      </c>
      <c r="D11" s="20">
        <v>3766</v>
      </c>
      <c r="E11" s="21">
        <v>6674.2844276784572</v>
      </c>
      <c r="F11" s="22" t="s">
        <v>240</v>
      </c>
      <c r="G11" s="37">
        <v>80.679058681062742</v>
      </c>
      <c r="H11" s="33">
        <v>77.224759099268653</v>
      </c>
    </row>
    <row r="12" spans="1:8" x14ac:dyDescent="0.25">
      <c r="A12" s="34"/>
      <c r="B12" s="25" t="s">
        <v>241</v>
      </c>
      <c r="C12" s="26">
        <v>910</v>
      </c>
      <c r="D12" s="26">
        <v>1005</v>
      </c>
      <c r="E12" s="26">
        <v>1733</v>
      </c>
      <c r="F12" s="27"/>
      <c r="G12" s="28">
        <v>90.439560439560438</v>
      </c>
      <c r="H12" s="29">
        <v>72.43781094527364</v>
      </c>
    </row>
    <row r="13" spans="1:8" x14ac:dyDescent="0.25">
      <c r="A13" s="30" t="s">
        <v>24</v>
      </c>
      <c r="B13" s="31" t="s">
        <v>3</v>
      </c>
      <c r="C13" s="20">
        <v>954</v>
      </c>
      <c r="D13" s="20">
        <v>910</v>
      </c>
      <c r="E13" s="21">
        <v>906.63594470046075</v>
      </c>
      <c r="F13" s="22" t="s">
        <v>240</v>
      </c>
      <c r="G13" s="23">
        <v>-4.9647856708112386</v>
      </c>
      <c r="H13" s="24">
        <v>-0.36967640654278</v>
      </c>
    </row>
    <row r="14" spans="1:8" ht="13.8" thickBot="1" x14ac:dyDescent="0.3">
      <c r="A14" s="54"/>
      <c r="B14" s="41" t="s">
        <v>241</v>
      </c>
      <c r="C14" s="42">
        <v>378</v>
      </c>
      <c r="D14" s="42">
        <v>310</v>
      </c>
      <c r="E14" s="42">
        <v>324</v>
      </c>
      <c r="F14" s="43"/>
      <c r="G14" s="55">
        <v>-14.285714285714292</v>
      </c>
      <c r="H14" s="45">
        <v>4.5161290322580641</v>
      </c>
    </row>
    <row r="15" spans="1:8" x14ac:dyDescent="0.25">
      <c r="A15" s="6"/>
      <c r="B15" s="57"/>
      <c r="C15" s="21"/>
      <c r="D15" s="21"/>
      <c r="E15" s="21"/>
      <c r="F15" s="58"/>
      <c r="G15" s="23"/>
      <c r="H15" s="23"/>
    </row>
    <row r="16" spans="1:8" x14ac:dyDescent="0.25">
      <c r="A16" s="6"/>
      <c r="B16" s="57"/>
      <c r="C16" s="21"/>
      <c r="D16" s="21"/>
      <c r="E16" s="21"/>
      <c r="F16" s="58"/>
      <c r="G16" s="23"/>
      <c r="H16" s="23"/>
    </row>
    <row r="17" spans="1:8" x14ac:dyDescent="0.25">
      <c r="A17" s="6"/>
      <c r="B17" s="57"/>
      <c r="C17" s="21"/>
      <c r="D17" s="21"/>
      <c r="E17" s="21"/>
      <c r="F17" s="58"/>
      <c r="G17" s="23"/>
      <c r="H17" s="23"/>
    </row>
    <row r="18" spans="1:8" x14ac:dyDescent="0.25">
      <c r="A18" s="6"/>
      <c r="B18" s="57"/>
      <c r="C18" s="21"/>
      <c r="D18" s="21"/>
      <c r="E18" s="21"/>
      <c r="F18" s="58"/>
      <c r="G18" s="23"/>
      <c r="H18" s="23"/>
    </row>
    <row r="19" spans="1:8" x14ac:dyDescent="0.25">
      <c r="A19" s="6"/>
      <c r="B19" s="57"/>
      <c r="C19" s="21"/>
      <c r="D19" s="21"/>
      <c r="E19" s="21"/>
      <c r="F19" s="58"/>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73</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57</v>
      </c>
      <c r="B35" s="19" t="s">
        <v>3</v>
      </c>
      <c r="C35" s="73">
        <v>3657.2098281060476</v>
      </c>
      <c r="D35" s="73">
        <v>2969.5852671768785</v>
      </c>
      <c r="E35" s="74">
        <v>3192.4752805511175</v>
      </c>
      <c r="F35" s="22" t="s">
        <v>240</v>
      </c>
      <c r="G35" s="23">
        <v>-12.707352582927996</v>
      </c>
      <c r="H35" s="24">
        <v>7.5057623647943217</v>
      </c>
    </row>
    <row r="36" spans="1:8" ht="12.75" customHeight="1" x14ac:dyDescent="0.25">
      <c r="A36" s="193"/>
      <c r="B36" s="25" t="s">
        <v>241</v>
      </c>
      <c r="C36" s="75">
        <v>677.20724836542172</v>
      </c>
      <c r="D36" s="75">
        <v>820.96199987441332</v>
      </c>
      <c r="E36" s="75">
        <v>758.01760734126003</v>
      </c>
      <c r="F36" s="27"/>
      <c r="G36" s="28">
        <v>11.932884529941262</v>
      </c>
      <c r="H36" s="29">
        <v>-7.6671505554193971</v>
      </c>
    </row>
    <row r="37" spans="1:8" x14ac:dyDescent="0.25">
      <c r="A37" s="30" t="s">
        <v>9</v>
      </c>
      <c r="B37" s="31" t="s">
        <v>3</v>
      </c>
      <c r="C37" s="73">
        <v>667.45686682931409</v>
      </c>
      <c r="D37" s="73">
        <v>511.27124828326401</v>
      </c>
      <c r="E37" s="76">
        <v>565.00001614848475</v>
      </c>
      <c r="F37" s="22" t="s">
        <v>240</v>
      </c>
      <c r="G37" s="32">
        <v>-15.350332848853625</v>
      </c>
      <c r="H37" s="33">
        <v>10.50885768476715</v>
      </c>
    </row>
    <row r="38" spans="1:8" x14ac:dyDescent="0.25">
      <c r="A38" s="34"/>
      <c r="B38" s="25" t="s">
        <v>241</v>
      </c>
      <c r="C38" s="75">
        <v>106.8082078047359</v>
      </c>
      <c r="D38" s="75">
        <v>164.82263333226442</v>
      </c>
      <c r="E38" s="75">
        <v>136.11165301701121</v>
      </c>
      <c r="F38" s="27"/>
      <c r="G38" s="35">
        <v>27.43557430141243</v>
      </c>
      <c r="H38" s="29">
        <v>-17.419319018750912</v>
      </c>
    </row>
    <row r="39" spans="1:8" x14ac:dyDescent="0.25">
      <c r="A39" s="30" t="s">
        <v>46</v>
      </c>
      <c r="B39" s="31" t="s">
        <v>3</v>
      </c>
      <c r="C39" s="73">
        <v>2813.8532427036594</v>
      </c>
      <c r="D39" s="73">
        <v>2280.8134718329497</v>
      </c>
      <c r="E39" s="76">
        <v>2642.4759370623951</v>
      </c>
      <c r="F39" s="22" t="s">
        <v>240</v>
      </c>
      <c r="G39" s="37">
        <v>-6.0904848568647481</v>
      </c>
      <c r="H39" s="33">
        <v>15.856731367813225</v>
      </c>
    </row>
    <row r="40" spans="1:8" x14ac:dyDescent="0.25">
      <c r="A40" s="34"/>
      <c r="B40" s="25" t="s">
        <v>241</v>
      </c>
      <c r="C40" s="75">
        <v>444.83178812855112</v>
      </c>
      <c r="D40" s="75">
        <v>606.42522902406267</v>
      </c>
      <c r="E40" s="75">
        <v>572.46774157601419</v>
      </c>
      <c r="F40" s="27"/>
      <c r="G40" s="28">
        <v>28.693082835747731</v>
      </c>
      <c r="H40" s="29">
        <v>-5.5996165434438154</v>
      </c>
    </row>
    <row r="41" spans="1:8" x14ac:dyDescent="0.25">
      <c r="A41" s="30" t="s">
        <v>24</v>
      </c>
      <c r="B41" s="31" t="s">
        <v>3</v>
      </c>
      <c r="C41" s="73">
        <v>175.89971857307401</v>
      </c>
      <c r="D41" s="73">
        <v>177.50054706066516</v>
      </c>
      <c r="E41" s="76">
        <v>140.7619393899125</v>
      </c>
      <c r="F41" s="22" t="s">
        <v>240</v>
      </c>
      <c r="G41" s="23">
        <v>-19.976029221766055</v>
      </c>
      <c r="H41" s="24">
        <v>-20.697743347346602</v>
      </c>
    </row>
    <row r="42" spans="1:8" ht="13.8" thickBot="1" x14ac:dyDescent="0.3">
      <c r="A42" s="54"/>
      <c r="B42" s="41" t="s">
        <v>241</v>
      </c>
      <c r="C42" s="79">
        <v>125.56725243213467</v>
      </c>
      <c r="D42" s="79">
        <v>49.714137518086432</v>
      </c>
      <c r="E42" s="79">
        <v>49.438212748234683</v>
      </c>
      <c r="F42" s="43"/>
      <c r="G42" s="55">
        <v>-60.628100248546446</v>
      </c>
      <c r="H42" s="45">
        <v>-0.55502274328175361</v>
      </c>
    </row>
    <row r="43" spans="1:8" x14ac:dyDescent="0.25">
      <c r="A43" s="6"/>
      <c r="B43" s="57"/>
      <c r="C43" s="21"/>
      <c r="D43" s="21"/>
      <c r="E43" s="21"/>
      <c r="F43" s="58"/>
      <c r="G43" s="23"/>
      <c r="H43" s="23"/>
    </row>
    <row r="44" spans="1:8" x14ac:dyDescent="0.25">
      <c r="A44" s="6"/>
      <c r="B44" s="57"/>
      <c r="C44" s="21"/>
      <c r="D44" s="21"/>
      <c r="E44" s="21"/>
      <c r="F44" s="58"/>
      <c r="G44" s="23"/>
      <c r="H44" s="23"/>
    </row>
    <row r="45" spans="1:8" x14ac:dyDescent="0.25">
      <c r="A45" s="6"/>
      <c r="B45" s="57"/>
      <c r="C45" s="21"/>
      <c r="D45" s="21"/>
      <c r="E45" s="21"/>
      <c r="F45" s="58"/>
      <c r="G45" s="23"/>
      <c r="H45" s="23"/>
    </row>
    <row r="46" spans="1:8" x14ac:dyDescent="0.25">
      <c r="A46" s="6"/>
      <c r="B46" s="57"/>
      <c r="C46" s="21"/>
      <c r="D46" s="21"/>
      <c r="E46" s="21"/>
      <c r="F46" s="58"/>
      <c r="G46" s="23"/>
      <c r="H46" s="23"/>
    </row>
    <row r="47" spans="1:8" x14ac:dyDescent="0.25">
      <c r="A47" s="6"/>
      <c r="B47" s="57"/>
      <c r="C47" s="21"/>
      <c r="D47" s="21"/>
      <c r="E47" s="21"/>
      <c r="F47" s="58"/>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19</v>
      </c>
    </row>
    <row r="62" spans="1:8" ht="12.75" customHeight="1" x14ac:dyDescent="0.25">
      <c r="A62" s="52" t="str">
        <f>+Innhold!$B$124</f>
        <v>Skadestatistikk for landbasert forsikring 1. kvartal 2026</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45" display="Tilbake til innholdsfortegnelsen" xr:uid="{00000000-0004-0000-0E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153</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2.75" customHeight="1" x14ac:dyDescent="0.25">
      <c r="A7" s="192" t="s">
        <v>60</v>
      </c>
      <c r="B7" s="19" t="s">
        <v>3</v>
      </c>
      <c r="C7" s="20">
        <v>45308.126666666663</v>
      </c>
      <c r="D7" s="20">
        <v>49784</v>
      </c>
      <c r="E7" s="72">
        <v>52442.354243142698</v>
      </c>
      <c r="F7" s="22" t="s">
        <v>240</v>
      </c>
      <c r="G7" s="23">
        <v>15.746021964145143</v>
      </c>
      <c r="H7" s="24">
        <v>5.3397763199877488</v>
      </c>
    </row>
    <row r="8" spans="1:8" ht="13.8" customHeight="1" thickBot="1" x14ac:dyDescent="0.3">
      <c r="A8" s="197"/>
      <c r="B8" s="41" t="s">
        <v>241</v>
      </c>
      <c r="C8" s="42">
        <v>11726.093333333334</v>
      </c>
      <c r="D8" s="42">
        <v>14056</v>
      </c>
      <c r="E8" s="42">
        <v>14371</v>
      </c>
      <c r="F8" s="43"/>
      <c r="G8" s="55">
        <v>22.5557360962503</v>
      </c>
      <c r="H8" s="45">
        <v>2.241035856573717</v>
      </c>
    </row>
    <row r="9" spans="1:8" x14ac:dyDescent="0.25">
      <c r="A9" s="6"/>
      <c r="B9" s="6"/>
      <c r="C9" s="21"/>
      <c r="D9" s="21"/>
      <c r="E9" s="21"/>
      <c r="F9" s="56"/>
      <c r="G9" s="23"/>
      <c r="H9" s="23"/>
    </row>
    <row r="10" spans="1:8" x14ac:dyDescent="0.25">
      <c r="A10" s="6"/>
      <c r="B10" s="6"/>
      <c r="C10" s="21"/>
      <c r="D10" s="21"/>
      <c r="E10" s="21"/>
      <c r="F10" s="56"/>
      <c r="G10" s="23"/>
      <c r="H10" s="23"/>
    </row>
    <row r="11" spans="1:8" x14ac:dyDescent="0.25">
      <c r="A11" s="6"/>
      <c r="B11" s="6"/>
      <c r="C11" s="21"/>
      <c r="D11" s="21"/>
      <c r="E11" s="21"/>
      <c r="F11" s="56"/>
      <c r="G11" s="23"/>
      <c r="H11" s="23"/>
    </row>
    <row r="12" spans="1:8" x14ac:dyDescent="0.25">
      <c r="A12" s="6"/>
      <c r="B12" s="6"/>
      <c r="C12" s="21"/>
      <c r="D12" s="21"/>
      <c r="E12" s="21"/>
      <c r="F12" s="56"/>
      <c r="G12" s="23"/>
      <c r="H12" s="23"/>
    </row>
    <row r="13" spans="1:8" x14ac:dyDescent="0.25">
      <c r="A13" s="6"/>
      <c r="B13" s="6"/>
      <c r="C13" s="21"/>
      <c r="D13" s="21"/>
      <c r="E13" s="21"/>
      <c r="F13" s="56"/>
      <c r="G13" s="23"/>
      <c r="H13" s="23"/>
    </row>
    <row r="14" spans="1:8" x14ac:dyDescent="0.25">
      <c r="A14" s="6"/>
      <c r="B14" s="57"/>
      <c r="C14" s="21"/>
      <c r="D14" s="21"/>
      <c r="E14" s="21"/>
      <c r="F14" s="58"/>
      <c r="G14" s="23"/>
      <c r="H14" s="23"/>
    </row>
    <row r="15" spans="1:8" x14ac:dyDescent="0.25">
      <c r="A15" s="6"/>
      <c r="B15" s="6"/>
      <c r="C15" s="21"/>
      <c r="D15" s="21"/>
      <c r="E15" s="21"/>
      <c r="F15" s="56"/>
      <c r="G15" s="23"/>
      <c r="H15" s="23"/>
    </row>
    <row r="16" spans="1:8" x14ac:dyDescent="0.25">
      <c r="A16" s="6"/>
      <c r="B16" s="57"/>
      <c r="C16" s="21"/>
      <c r="D16" s="21"/>
      <c r="E16" s="21"/>
      <c r="F16" s="58"/>
      <c r="G16" s="23"/>
      <c r="H16" s="23"/>
    </row>
    <row r="17" spans="1:8" x14ac:dyDescent="0.25">
      <c r="A17" s="6"/>
      <c r="B17" s="6"/>
      <c r="C17" s="21"/>
      <c r="D17" s="21"/>
      <c r="E17" s="21"/>
      <c r="F17" s="56"/>
      <c r="G17" s="23"/>
      <c r="H17" s="23"/>
    </row>
    <row r="18" spans="1:8" x14ac:dyDescent="0.25">
      <c r="A18" s="6"/>
      <c r="B18" s="57"/>
      <c r="C18" s="21"/>
      <c r="D18" s="21"/>
      <c r="E18" s="21"/>
      <c r="F18" s="58"/>
      <c r="G18" s="23"/>
      <c r="H18" s="23"/>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72</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60</v>
      </c>
      <c r="B35" s="19" t="s">
        <v>3</v>
      </c>
      <c r="C35" s="73">
        <v>784.81220905313887</v>
      </c>
      <c r="D35" s="73">
        <v>922.49233784242506</v>
      </c>
      <c r="E35" s="74">
        <v>1320.5670341337559</v>
      </c>
      <c r="F35" s="22" t="s">
        <v>240</v>
      </c>
      <c r="G35" s="23">
        <v>68.265353023367879</v>
      </c>
      <c r="H35" s="24">
        <v>43.152087010540328</v>
      </c>
    </row>
    <row r="36" spans="1:8" ht="12.75" customHeight="1" thickBot="1" x14ac:dyDescent="0.3">
      <c r="A36" s="197"/>
      <c r="B36" s="41" t="s">
        <v>241</v>
      </c>
      <c r="C36" s="79">
        <v>241.95851461356409</v>
      </c>
      <c r="D36" s="79">
        <v>278.82027206979666</v>
      </c>
      <c r="E36" s="79">
        <v>401.76702027328042</v>
      </c>
      <c r="F36" s="43"/>
      <c r="G36" s="55">
        <v>66.047894993465775</v>
      </c>
      <c r="H36" s="45">
        <v>44.095340446661169</v>
      </c>
    </row>
    <row r="37" spans="1:8" x14ac:dyDescent="0.25">
      <c r="A37" s="6"/>
      <c r="B37" s="6"/>
      <c r="C37" s="21"/>
      <c r="D37" s="21"/>
      <c r="E37" s="21"/>
      <c r="F37" s="56"/>
      <c r="G37" s="23"/>
      <c r="H37" s="23"/>
    </row>
    <row r="38" spans="1:8" x14ac:dyDescent="0.25">
      <c r="A38" s="6"/>
      <c r="B38" s="57"/>
      <c r="C38" s="21"/>
      <c r="D38" s="21"/>
      <c r="E38" s="21"/>
      <c r="F38" s="58"/>
      <c r="G38" s="23"/>
      <c r="H38" s="23"/>
    </row>
    <row r="39" spans="1:8" x14ac:dyDescent="0.25">
      <c r="A39" s="6"/>
      <c r="B39" s="6"/>
      <c r="C39" s="21"/>
      <c r="D39" s="21"/>
      <c r="E39" s="21"/>
      <c r="F39" s="56"/>
      <c r="G39" s="23"/>
      <c r="H39" s="23"/>
    </row>
    <row r="40" spans="1:8" x14ac:dyDescent="0.25">
      <c r="A40" s="6"/>
      <c r="B40" s="57"/>
      <c r="C40" s="21"/>
      <c r="D40" s="21"/>
      <c r="E40" s="21"/>
      <c r="F40" s="58"/>
      <c r="G40" s="23"/>
      <c r="H40" s="23"/>
    </row>
    <row r="41" spans="1:8" x14ac:dyDescent="0.25">
      <c r="A41" s="6"/>
      <c r="B41" s="6"/>
      <c r="C41" s="21"/>
      <c r="D41" s="21"/>
      <c r="E41" s="21"/>
      <c r="F41" s="56"/>
      <c r="G41" s="23"/>
      <c r="H41" s="23"/>
    </row>
    <row r="42" spans="1:8" x14ac:dyDescent="0.25">
      <c r="A42" s="6"/>
      <c r="B42" s="57"/>
      <c r="C42" s="21"/>
      <c r="D42" s="21"/>
      <c r="E42" s="21"/>
      <c r="F42" s="58"/>
      <c r="G42" s="23"/>
      <c r="H42" s="23"/>
    </row>
    <row r="43" spans="1:8" x14ac:dyDescent="0.25">
      <c r="A43" s="6"/>
      <c r="B43" s="6"/>
      <c r="C43" s="21"/>
      <c r="D43" s="21"/>
      <c r="E43" s="21"/>
      <c r="F43" s="56"/>
      <c r="G43" s="23"/>
      <c r="H43" s="23"/>
    </row>
    <row r="44" spans="1:8" x14ac:dyDescent="0.25">
      <c r="A44" s="6"/>
      <c r="B44" s="57"/>
      <c r="C44" s="21"/>
      <c r="D44" s="21"/>
      <c r="E44" s="21"/>
      <c r="F44" s="58"/>
      <c r="G44" s="23"/>
      <c r="H44" s="23"/>
    </row>
    <row r="45" spans="1:8" x14ac:dyDescent="0.25">
      <c r="A45" s="6"/>
      <c r="B45" s="6"/>
      <c r="C45" s="21"/>
      <c r="D45" s="21"/>
      <c r="E45" s="21"/>
      <c r="F45" s="56"/>
      <c r="G45" s="23"/>
      <c r="H45" s="23"/>
    </row>
    <row r="46" spans="1:8" x14ac:dyDescent="0.25">
      <c r="A46" s="6"/>
      <c r="B46" s="57"/>
      <c r="C46" s="21"/>
      <c r="D46" s="21"/>
      <c r="E46" s="21"/>
      <c r="F46" s="58"/>
      <c r="G46" s="23"/>
      <c r="H46" s="23"/>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20</v>
      </c>
    </row>
    <row r="62" spans="1:8" ht="12.75" customHeight="1" x14ac:dyDescent="0.25">
      <c r="A62" s="52" t="str">
        <f>+Innhold!$B$124</f>
        <v>Skadestatistikk for landbasert forsikring 1. kvartal 2026</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47" display="Tilbake til innholdsfortegnelsen" xr:uid="{00000000-0004-0000-0F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8"/>
  <sheetViews>
    <sheetView showGridLines="0" showRowColHeaders="0" zoomScaleNormal="100" workbookViewId="0">
      <selection activeCell="K49" sqref="K49"/>
    </sheetView>
  </sheetViews>
  <sheetFormatPr baseColWidth="10" defaultColWidth="11.44140625" defaultRowHeight="13.2" x14ac:dyDescent="0.25"/>
  <cols>
    <col min="1" max="1" width="26.44140625" style="91" customWidth="1"/>
    <col min="2" max="2" width="8.21875" style="91" customWidth="1"/>
    <col min="3" max="4" width="10.44140625" style="91" customWidth="1"/>
    <col min="5" max="5" width="9.77734375" style="91" customWidth="1"/>
    <col min="6" max="6" width="1.5546875" style="91" customWidth="1"/>
    <col min="7" max="7" width="7.5546875" style="91" customWidth="1"/>
    <col min="8" max="8" width="8.77734375" style="91" customWidth="1"/>
    <col min="9" max="16384" width="11.44140625" style="91"/>
  </cols>
  <sheetData>
    <row r="1" spans="1:8" ht="5.25" customHeight="1" x14ac:dyDescent="0.25"/>
    <row r="2" spans="1:8" x14ac:dyDescent="0.25">
      <c r="A2" s="85" t="s">
        <v>0</v>
      </c>
      <c r="B2" s="92"/>
      <c r="C2" s="92"/>
      <c r="D2" s="92"/>
      <c r="E2" s="92"/>
      <c r="F2" s="92"/>
      <c r="G2" s="92"/>
    </row>
    <row r="3" spans="1:8" ht="6" customHeight="1" x14ac:dyDescent="0.25">
      <c r="A3" s="3"/>
      <c r="B3" s="92"/>
      <c r="C3" s="92"/>
      <c r="D3" s="92"/>
      <c r="E3" s="92"/>
      <c r="F3" s="92"/>
      <c r="G3" s="92"/>
    </row>
    <row r="4" spans="1:8" ht="16.2" thickBot="1" x14ac:dyDescent="0.35">
      <c r="A4" s="93" t="s">
        <v>212</v>
      </c>
      <c r="B4" s="94"/>
      <c r="C4" s="94"/>
      <c r="D4" s="94"/>
      <c r="E4" s="94"/>
      <c r="F4" s="94"/>
      <c r="G4" s="94"/>
      <c r="H4" s="95"/>
    </row>
    <row r="5" spans="1:8" x14ac:dyDescent="0.25">
      <c r="A5" s="96"/>
      <c r="B5" s="97"/>
      <c r="C5" s="98"/>
      <c r="D5" s="97"/>
      <c r="E5" s="99"/>
      <c r="F5" s="100"/>
      <c r="G5" s="199" t="s">
        <v>1</v>
      </c>
      <c r="H5" s="200"/>
    </row>
    <row r="6" spans="1:8" x14ac:dyDescent="0.25">
      <c r="A6" s="101"/>
      <c r="B6" s="102"/>
      <c r="C6" s="103" t="s">
        <v>235</v>
      </c>
      <c r="D6" s="104" t="s">
        <v>236</v>
      </c>
      <c r="E6" s="104" t="s">
        <v>237</v>
      </c>
      <c r="F6" s="105"/>
      <c r="G6" s="106" t="s">
        <v>238</v>
      </c>
      <c r="H6" s="107" t="s">
        <v>239</v>
      </c>
    </row>
    <row r="7" spans="1:8" ht="12.75" customHeight="1" x14ac:dyDescent="0.25">
      <c r="A7" s="201" t="s">
        <v>193</v>
      </c>
      <c r="B7" s="108" t="s">
        <v>3</v>
      </c>
      <c r="C7" s="20">
        <v>9944</v>
      </c>
      <c r="D7" s="20">
        <v>10277</v>
      </c>
      <c r="E7" s="72">
        <v>10507.101700726387</v>
      </c>
      <c r="F7" s="22" t="s">
        <v>240</v>
      </c>
      <c r="G7" s="109">
        <v>5.6627282856635901</v>
      </c>
      <c r="H7" s="110">
        <v>2.2389967960142769</v>
      </c>
    </row>
    <row r="8" spans="1:8" ht="12.75" customHeight="1" x14ac:dyDescent="0.25">
      <c r="A8" s="202"/>
      <c r="B8" s="111" t="s">
        <v>241</v>
      </c>
      <c r="C8" s="26">
        <v>2898</v>
      </c>
      <c r="D8" s="26">
        <v>2708</v>
      </c>
      <c r="E8" s="26">
        <v>2860</v>
      </c>
      <c r="F8" s="27"/>
      <c r="G8" s="112">
        <v>-1.3112491373360911</v>
      </c>
      <c r="H8" s="113">
        <v>5.6129985228951114</v>
      </c>
    </row>
    <row r="9" spans="1:8" x14ac:dyDescent="0.25">
      <c r="A9" s="114" t="s">
        <v>194</v>
      </c>
      <c r="B9" s="115" t="s">
        <v>3</v>
      </c>
      <c r="C9" s="20">
        <v>3763</v>
      </c>
      <c r="D9" s="20">
        <v>3591</v>
      </c>
      <c r="E9" s="20">
        <v>3144.8658883245653</v>
      </c>
      <c r="F9" s="22" t="s">
        <v>240</v>
      </c>
      <c r="G9" s="116">
        <v>-16.426630658395823</v>
      </c>
      <c r="H9" s="117">
        <v>-12.423673396698263</v>
      </c>
    </row>
    <row r="10" spans="1:8" x14ac:dyDescent="0.25">
      <c r="A10" s="118"/>
      <c r="B10" s="111" t="s">
        <v>241</v>
      </c>
      <c r="C10" s="26">
        <v>1018</v>
      </c>
      <c r="D10" s="26">
        <v>863</v>
      </c>
      <c r="E10" s="26">
        <v>785</v>
      </c>
      <c r="F10" s="27"/>
      <c r="G10" s="119">
        <v>-22.88801571709233</v>
      </c>
      <c r="H10" s="113">
        <v>-9.0382387022016246</v>
      </c>
    </row>
    <row r="11" spans="1:8" x14ac:dyDescent="0.25">
      <c r="A11" s="114" t="s">
        <v>195</v>
      </c>
      <c r="B11" s="115" t="s">
        <v>3</v>
      </c>
      <c r="C11" s="20">
        <v>1583</v>
      </c>
      <c r="D11" s="20">
        <v>1937</v>
      </c>
      <c r="E11" s="20">
        <v>1749.8280150234261</v>
      </c>
      <c r="F11" s="22" t="s">
        <v>240</v>
      </c>
      <c r="G11" s="120">
        <v>10.538724890930268</v>
      </c>
      <c r="H11" s="117">
        <v>-9.6629832202671082</v>
      </c>
    </row>
    <row r="12" spans="1:8" x14ac:dyDescent="0.25">
      <c r="A12" s="118"/>
      <c r="B12" s="111" t="s">
        <v>241</v>
      </c>
      <c r="C12" s="26">
        <v>389</v>
      </c>
      <c r="D12" s="26">
        <v>402</v>
      </c>
      <c r="E12" s="26">
        <v>383</v>
      </c>
      <c r="F12" s="27"/>
      <c r="G12" s="112">
        <v>-1.5424164524421684</v>
      </c>
      <c r="H12" s="113">
        <v>-4.7263681592039717</v>
      </c>
    </row>
    <row r="13" spans="1:8" x14ac:dyDescent="0.25">
      <c r="A13" s="114" t="s">
        <v>228</v>
      </c>
      <c r="B13" s="115" t="s">
        <v>3</v>
      </c>
      <c r="C13" s="20">
        <v>937</v>
      </c>
      <c r="D13" s="20">
        <v>889</v>
      </c>
      <c r="E13" s="20">
        <v>959.86084855805518</v>
      </c>
      <c r="F13" s="22" t="s">
        <v>240</v>
      </c>
      <c r="G13" s="109">
        <v>2.4397917351179501</v>
      </c>
      <c r="H13" s="110">
        <v>7.9708491066428735</v>
      </c>
    </row>
    <row r="14" spans="1:8" x14ac:dyDescent="0.25">
      <c r="A14" s="118"/>
      <c r="B14" s="111" t="s">
        <v>241</v>
      </c>
      <c r="C14" s="26">
        <v>185</v>
      </c>
      <c r="D14" s="26">
        <v>179</v>
      </c>
      <c r="E14" s="26">
        <v>192</v>
      </c>
      <c r="F14" s="27"/>
      <c r="G14" s="109">
        <v>3.7837837837837895</v>
      </c>
      <c r="H14" s="110">
        <v>7.2625698324022352</v>
      </c>
    </row>
    <row r="15" spans="1:8" x14ac:dyDescent="0.25">
      <c r="A15" s="114" t="s">
        <v>196</v>
      </c>
      <c r="B15" s="115" t="s">
        <v>3</v>
      </c>
      <c r="C15" s="20">
        <v>4553</v>
      </c>
      <c r="D15" s="20">
        <v>4722</v>
      </c>
      <c r="E15" s="20">
        <v>4636.301683929385</v>
      </c>
      <c r="F15" s="22" t="s">
        <v>240</v>
      </c>
      <c r="G15" s="120">
        <v>1.8295999105948795</v>
      </c>
      <c r="H15" s="117">
        <v>-1.8148732755318662</v>
      </c>
    </row>
    <row r="16" spans="1:8" x14ac:dyDescent="0.25">
      <c r="A16" s="118"/>
      <c r="B16" s="111" t="s">
        <v>241</v>
      </c>
      <c r="C16" s="26">
        <v>1204</v>
      </c>
      <c r="D16" s="26">
        <v>1190</v>
      </c>
      <c r="E16" s="26">
        <v>1187</v>
      </c>
      <c r="F16" s="27"/>
      <c r="G16" s="112">
        <v>-1.4119601328903713</v>
      </c>
      <c r="H16" s="113">
        <v>-0.25210084033614066</v>
      </c>
    </row>
    <row r="17" spans="1:8" x14ac:dyDescent="0.25">
      <c r="A17" s="114" t="s">
        <v>197</v>
      </c>
      <c r="B17" s="115" t="s">
        <v>3</v>
      </c>
      <c r="C17" s="20">
        <v>898</v>
      </c>
      <c r="D17" s="20">
        <v>990</v>
      </c>
      <c r="E17" s="20">
        <v>844.01269703183573</v>
      </c>
      <c r="F17" s="22" t="s">
        <v>240</v>
      </c>
      <c r="G17" s="120">
        <v>-6.0119491055862255</v>
      </c>
      <c r="H17" s="117">
        <v>-14.746192219006488</v>
      </c>
    </row>
    <row r="18" spans="1:8" x14ac:dyDescent="0.25">
      <c r="A18" s="114"/>
      <c r="B18" s="111" t="s">
        <v>241</v>
      </c>
      <c r="C18" s="26">
        <v>242</v>
      </c>
      <c r="D18" s="26">
        <v>266</v>
      </c>
      <c r="E18" s="26">
        <v>227</v>
      </c>
      <c r="F18" s="27"/>
      <c r="G18" s="112">
        <v>-6.1983471074380248</v>
      </c>
      <c r="H18" s="113">
        <v>-14.661654135338338</v>
      </c>
    </row>
    <row r="19" spans="1:8" x14ac:dyDescent="0.25">
      <c r="A19" s="121" t="s">
        <v>198</v>
      </c>
      <c r="B19" s="115" t="s">
        <v>3</v>
      </c>
      <c r="C19" s="20">
        <v>58</v>
      </c>
      <c r="D19" s="20">
        <v>85</v>
      </c>
      <c r="E19" s="20">
        <v>67.636363636363626</v>
      </c>
      <c r="F19" s="22" t="s">
        <v>240</v>
      </c>
      <c r="G19" s="109">
        <v>16.614420062695913</v>
      </c>
      <c r="H19" s="110">
        <v>-20.427807486631039</v>
      </c>
    </row>
    <row r="20" spans="1:8" x14ac:dyDescent="0.25">
      <c r="A20" s="118"/>
      <c r="B20" s="111" t="s">
        <v>241</v>
      </c>
      <c r="C20" s="26">
        <v>10</v>
      </c>
      <c r="D20" s="26">
        <v>22</v>
      </c>
      <c r="E20" s="26">
        <v>15</v>
      </c>
      <c r="F20" s="27"/>
      <c r="G20" s="109">
        <v>50</v>
      </c>
      <c r="H20" s="110">
        <v>-31.818181818181827</v>
      </c>
    </row>
    <row r="21" spans="1:8" x14ac:dyDescent="0.25">
      <c r="A21" s="121" t="s">
        <v>199</v>
      </c>
      <c r="B21" s="115" t="s">
        <v>3</v>
      </c>
      <c r="C21" s="20">
        <v>23</v>
      </c>
      <c r="D21" s="20">
        <v>23</v>
      </c>
      <c r="E21" s="20">
        <v>8.3636363636363633</v>
      </c>
      <c r="F21" s="22" t="s">
        <v>240</v>
      </c>
      <c r="G21" s="120">
        <v>-63.636363636363633</v>
      </c>
      <c r="H21" s="117">
        <v>-63.636363636363633</v>
      </c>
    </row>
    <row r="22" spans="1:8" x14ac:dyDescent="0.25">
      <c r="A22" s="118"/>
      <c r="B22" s="111" t="s">
        <v>241</v>
      </c>
      <c r="C22" s="26">
        <v>11</v>
      </c>
      <c r="D22" s="26">
        <v>2</v>
      </c>
      <c r="E22" s="26">
        <v>1</v>
      </c>
      <c r="F22" s="27"/>
      <c r="G22" s="112">
        <v>-90.909090909090907</v>
      </c>
      <c r="H22" s="113">
        <v>-50</v>
      </c>
    </row>
    <row r="23" spans="1:8" x14ac:dyDescent="0.25">
      <c r="A23" s="121" t="s">
        <v>200</v>
      </c>
      <c r="B23" s="115" t="s">
        <v>3</v>
      </c>
      <c r="C23" s="20">
        <v>594</v>
      </c>
      <c r="D23" s="20">
        <v>637</v>
      </c>
      <c r="E23" s="20">
        <v>683.45528455284557</v>
      </c>
      <c r="F23" s="22" t="s">
        <v>240</v>
      </c>
      <c r="G23" s="120">
        <v>15.059812214283767</v>
      </c>
      <c r="H23" s="117">
        <v>7.2928233206978916</v>
      </c>
    </row>
    <row r="24" spans="1:8" x14ac:dyDescent="0.25">
      <c r="A24" s="118"/>
      <c r="B24" s="111" t="s">
        <v>241</v>
      </c>
      <c r="C24" s="26">
        <v>132</v>
      </c>
      <c r="D24" s="26">
        <v>123</v>
      </c>
      <c r="E24" s="26">
        <v>138</v>
      </c>
      <c r="F24" s="27"/>
      <c r="G24" s="112">
        <v>4.5454545454545467</v>
      </c>
      <c r="H24" s="113">
        <v>12.195121951219519</v>
      </c>
    </row>
    <row r="25" spans="1:8" x14ac:dyDescent="0.25">
      <c r="A25" s="114" t="s">
        <v>24</v>
      </c>
      <c r="B25" s="115" t="s">
        <v>3</v>
      </c>
      <c r="C25" s="20">
        <v>3341</v>
      </c>
      <c r="D25" s="20">
        <v>3469</v>
      </c>
      <c r="E25" s="20">
        <v>3514.5310086959012</v>
      </c>
      <c r="F25" s="22" t="s">
        <v>240</v>
      </c>
      <c r="G25" s="109">
        <v>5.1939840974528835</v>
      </c>
      <c r="H25" s="110">
        <v>1.3125110607062851</v>
      </c>
    </row>
    <row r="26" spans="1:8" ht="13.8" thickBot="1" x14ac:dyDescent="0.3">
      <c r="A26" s="122"/>
      <c r="B26" s="123" t="s">
        <v>241</v>
      </c>
      <c r="C26" s="42">
        <v>841</v>
      </c>
      <c r="D26" s="42">
        <v>830</v>
      </c>
      <c r="E26" s="42">
        <v>855</v>
      </c>
      <c r="F26" s="43"/>
      <c r="G26" s="124">
        <v>1.6646848989298348</v>
      </c>
      <c r="H26" s="125">
        <v>3.0120481927710756</v>
      </c>
    </row>
    <row r="27" spans="1:8" x14ac:dyDescent="0.25">
      <c r="A27" s="95"/>
      <c r="B27" s="95"/>
      <c r="C27" s="59"/>
      <c r="D27" s="59"/>
      <c r="E27" s="21"/>
      <c r="F27" s="56"/>
      <c r="G27" s="109"/>
      <c r="H27" s="109"/>
    </row>
    <row r="28" spans="1:8" x14ac:dyDescent="0.25">
      <c r="A28" s="95"/>
      <c r="B28" s="95"/>
      <c r="C28" s="59"/>
      <c r="D28" s="59"/>
      <c r="E28" s="21"/>
      <c r="F28" s="56"/>
      <c r="G28" s="109"/>
      <c r="H28" s="109"/>
    </row>
    <row r="29" spans="1:8" x14ac:dyDescent="0.25">
      <c r="A29" s="95"/>
      <c r="B29" s="95"/>
      <c r="C29" s="59"/>
      <c r="D29" s="59"/>
      <c r="E29" s="21"/>
      <c r="F29" s="56"/>
      <c r="G29" s="109"/>
      <c r="H29" s="109"/>
    </row>
    <row r="30" spans="1:8" x14ac:dyDescent="0.25">
      <c r="A30" s="126"/>
      <c r="B30" s="127"/>
      <c r="C30" s="21"/>
      <c r="D30" s="21"/>
      <c r="E30" s="21"/>
      <c r="F30" s="58"/>
      <c r="G30" s="109"/>
      <c r="H30" s="109"/>
    </row>
    <row r="31" spans="1:8" x14ac:dyDescent="0.25">
      <c r="A31" s="128"/>
      <c r="B31" s="129"/>
      <c r="C31" s="48"/>
      <c r="D31" s="53"/>
      <c r="E31" s="48"/>
      <c r="F31" s="48"/>
      <c r="G31" s="130"/>
      <c r="H31" s="130"/>
    </row>
    <row r="32" spans="1:8" ht="16.2" thickBot="1" x14ac:dyDescent="0.35">
      <c r="A32" s="93" t="s">
        <v>213</v>
      </c>
      <c r="B32" s="94"/>
      <c r="C32" s="94"/>
      <c r="D32" s="94"/>
      <c r="E32" s="94"/>
      <c r="F32" s="94"/>
      <c r="G32" s="94"/>
      <c r="H32" s="95"/>
    </row>
    <row r="33" spans="1:8" x14ac:dyDescent="0.25">
      <c r="A33" s="96"/>
      <c r="B33" s="97"/>
      <c r="C33" s="203" t="s">
        <v>16</v>
      </c>
      <c r="D33" s="199"/>
      <c r="E33" s="199"/>
      <c r="F33" s="204"/>
      <c r="G33" s="199" t="s">
        <v>1</v>
      </c>
      <c r="H33" s="200"/>
    </row>
    <row r="34" spans="1:8" x14ac:dyDescent="0.25">
      <c r="A34" s="101"/>
      <c r="B34" s="102"/>
      <c r="C34" s="103" t="s">
        <v>235</v>
      </c>
      <c r="D34" s="104" t="s">
        <v>236</v>
      </c>
      <c r="E34" s="104" t="s">
        <v>237</v>
      </c>
      <c r="F34" s="105"/>
      <c r="G34" s="106" t="s">
        <v>238</v>
      </c>
      <c r="H34" s="107" t="s">
        <v>239</v>
      </c>
    </row>
    <row r="35" spans="1:8" ht="12.75" customHeight="1" x14ac:dyDescent="0.25">
      <c r="A35" s="201" t="s">
        <v>193</v>
      </c>
      <c r="B35" s="108" t="s">
        <v>3</v>
      </c>
      <c r="C35" s="73">
        <v>2315.6154205171711</v>
      </c>
      <c r="D35" s="73">
        <v>2965.5622254451928</v>
      </c>
      <c r="E35" s="74">
        <v>5347.8935817137371</v>
      </c>
      <c r="F35" s="22" t="s">
        <v>240</v>
      </c>
      <c r="G35" s="109">
        <v>130.94912628105297</v>
      </c>
      <c r="H35" s="110">
        <v>80.333210877438489</v>
      </c>
    </row>
    <row r="36" spans="1:8" ht="12.75" customHeight="1" x14ac:dyDescent="0.25">
      <c r="A36" s="202"/>
      <c r="B36" s="111" t="s">
        <v>241</v>
      </c>
      <c r="C36" s="75">
        <v>572.36783985100783</v>
      </c>
      <c r="D36" s="75">
        <v>583.5938664368939</v>
      </c>
      <c r="E36" s="75">
        <v>1129.1385294619904</v>
      </c>
      <c r="F36" s="27"/>
      <c r="G36" s="112">
        <v>97.274977880643092</v>
      </c>
      <c r="H36" s="113">
        <v>93.480191345377733</v>
      </c>
    </row>
    <row r="37" spans="1:8" x14ac:dyDescent="0.25">
      <c r="A37" s="114" t="s">
        <v>194</v>
      </c>
      <c r="B37" s="115" t="s">
        <v>3</v>
      </c>
      <c r="C37" s="73">
        <v>985.49603999758483</v>
      </c>
      <c r="D37" s="73">
        <v>1317.155924817604</v>
      </c>
      <c r="E37" s="73">
        <v>2601.8291033332648</v>
      </c>
      <c r="F37" s="22" t="s">
        <v>240</v>
      </c>
      <c r="G37" s="116">
        <v>164.01213173212153</v>
      </c>
      <c r="H37" s="117">
        <v>97.533872361661253</v>
      </c>
    </row>
    <row r="38" spans="1:8" x14ac:dyDescent="0.25">
      <c r="A38" s="118"/>
      <c r="B38" s="111" t="s">
        <v>241</v>
      </c>
      <c r="C38" s="75">
        <v>253.6166005521942</v>
      </c>
      <c r="D38" s="75">
        <v>255.69259256797224</v>
      </c>
      <c r="E38" s="75">
        <v>550.13070764200177</v>
      </c>
      <c r="F38" s="27"/>
      <c r="G38" s="119">
        <v>116.91431335496708</v>
      </c>
      <c r="H38" s="113">
        <v>115.15316580622388</v>
      </c>
    </row>
    <row r="39" spans="1:8" x14ac:dyDescent="0.25">
      <c r="A39" s="114" t="s">
        <v>195</v>
      </c>
      <c r="B39" s="115" t="s">
        <v>3</v>
      </c>
      <c r="C39" s="73">
        <v>226.68125153969811</v>
      </c>
      <c r="D39" s="73">
        <v>300.28010789970057</v>
      </c>
      <c r="E39" s="73">
        <v>505.55542854605977</v>
      </c>
      <c r="F39" s="22" t="s">
        <v>240</v>
      </c>
      <c r="G39" s="120">
        <v>123.02480911506839</v>
      </c>
      <c r="H39" s="117">
        <v>68.361278435042124</v>
      </c>
    </row>
    <row r="40" spans="1:8" x14ac:dyDescent="0.25">
      <c r="A40" s="118"/>
      <c r="B40" s="111" t="s">
        <v>241</v>
      </c>
      <c r="C40" s="75">
        <v>49.616121174024279</v>
      </c>
      <c r="D40" s="75">
        <v>53.847479220996533</v>
      </c>
      <c r="E40" s="75">
        <v>96.46968345525022</v>
      </c>
      <c r="F40" s="27"/>
      <c r="G40" s="112">
        <v>94.432134500984262</v>
      </c>
      <c r="H40" s="113">
        <v>79.153573855011928</v>
      </c>
    </row>
    <row r="41" spans="1:8" x14ac:dyDescent="0.25">
      <c r="A41" s="114" t="s">
        <v>228</v>
      </c>
      <c r="B41" s="115" t="s">
        <v>3</v>
      </c>
      <c r="C41" s="73">
        <v>351.77039615849526</v>
      </c>
      <c r="D41" s="73">
        <v>441.88591487467244</v>
      </c>
      <c r="E41" s="73">
        <v>707.64291191080156</v>
      </c>
      <c r="F41" s="22" t="s">
        <v>240</v>
      </c>
      <c r="G41" s="109">
        <v>101.16613553573814</v>
      </c>
      <c r="H41" s="110">
        <v>60.141540630799028</v>
      </c>
    </row>
    <row r="42" spans="1:8" x14ac:dyDescent="0.25">
      <c r="A42" s="118"/>
      <c r="B42" s="111" t="s">
        <v>241</v>
      </c>
      <c r="C42" s="75">
        <v>90.821102384041623</v>
      </c>
      <c r="D42" s="75">
        <v>101.74822481722315</v>
      </c>
      <c r="E42" s="75">
        <v>169.03519625313069</v>
      </c>
      <c r="F42" s="27"/>
      <c r="G42" s="109">
        <v>86.118855437755883</v>
      </c>
      <c r="H42" s="110">
        <v>66.130855409791621</v>
      </c>
    </row>
    <row r="43" spans="1:8" x14ac:dyDescent="0.25">
      <c r="A43" s="114" t="s">
        <v>196</v>
      </c>
      <c r="B43" s="115" t="s">
        <v>3</v>
      </c>
      <c r="C43" s="73">
        <v>87.048590826927239</v>
      </c>
      <c r="D43" s="73">
        <v>113.8161609726432</v>
      </c>
      <c r="E43" s="73">
        <v>222.25685464124967</v>
      </c>
      <c r="F43" s="22" t="s">
        <v>240</v>
      </c>
      <c r="G43" s="120">
        <v>155.32504608046759</v>
      </c>
      <c r="H43" s="117">
        <v>95.277061483976098</v>
      </c>
    </row>
    <row r="44" spans="1:8" x14ac:dyDescent="0.25">
      <c r="A44" s="118"/>
      <c r="B44" s="111" t="s">
        <v>241</v>
      </c>
      <c r="C44" s="75">
        <v>25.02651164001734</v>
      </c>
      <c r="D44" s="75">
        <v>23.069176872140385</v>
      </c>
      <c r="E44" s="75">
        <v>49.961698182321577</v>
      </c>
      <c r="F44" s="27"/>
      <c r="G44" s="112">
        <v>99.635086587269029</v>
      </c>
      <c r="H44" s="113">
        <v>116.5733890690226</v>
      </c>
    </row>
    <row r="45" spans="1:8" x14ac:dyDescent="0.25">
      <c r="A45" s="114" t="s">
        <v>197</v>
      </c>
      <c r="B45" s="115" t="s">
        <v>3</v>
      </c>
      <c r="C45" s="73">
        <v>73.252319031385454</v>
      </c>
      <c r="D45" s="73">
        <v>73.760091408528666</v>
      </c>
      <c r="E45" s="73">
        <v>91.100073643466942</v>
      </c>
      <c r="F45" s="22" t="s">
        <v>240</v>
      </c>
      <c r="G45" s="120">
        <v>24.364763939329336</v>
      </c>
      <c r="H45" s="117">
        <v>23.50862357111086</v>
      </c>
    </row>
    <row r="46" spans="1:8" x14ac:dyDescent="0.25">
      <c r="A46" s="114"/>
      <c r="B46" s="111" t="s">
        <v>241</v>
      </c>
      <c r="C46" s="75">
        <v>18.562075542003463</v>
      </c>
      <c r="D46" s="75">
        <v>16.960543644428078</v>
      </c>
      <c r="E46" s="75">
        <v>21.614690836464316</v>
      </c>
      <c r="F46" s="27"/>
      <c r="G46" s="112">
        <v>16.445441607826666</v>
      </c>
      <c r="H46" s="113">
        <v>27.441026004878282</v>
      </c>
    </row>
    <row r="47" spans="1:8" x14ac:dyDescent="0.25">
      <c r="A47" s="121" t="s">
        <v>198</v>
      </c>
      <c r="B47" s="115" t="s">
        <v>3</v>
      </c>
      <c r="C47" s="73">
        <v>17.388157471385444</v>
      </c>
      <c r="D47" s="73">
        <v>24.327114498528633</v>
      </c>
      <c r="E47" s="73">
        <v>47.058914161510771</v>
      </c>
      <c r="F47" s="22" t="s">
        <v>240</v>
      </c>
      <c r="G47" s="109">
        <v>170.63772707920634</v>
      </c>
      <c r="H47" s="110">
        <v>93.442235676397274</v>
      </c>
    </row>
    <row r="48" spans="1:8" x14ac:dyDescent="0.25">
      <c r="A48" s="118"/>
      <c r="B48" s="111" t="s">
        <v>241</v>
      </c>
      <c r="C48" s="75">
        <v>4.1779337420034679</v>
      </c>
      <c r="D48" s="75">
        <v>4.8495191744280763</v>
      </c>
      <c r="E48" s="75">
        <v>9.9457376364643171</v>
      </c>
      <c r="F48" s="27"/>
      <c r="G48" s="109">
        <v>138.0539819593927</v>
      </c>
      <c r="H48" s="110">
        <v>105.08708757991991</v>
      </c>
    </row>
    <row r="49" spans="1:8" x14ac:dyDescent="0.25">
      <c r="A49" s="121" t="s">
        <v>199</v>
      </c>
      <c r="B49" s="115" t="s">
        <v>3</v>
      </c>
      <c r="C49" s="73">
        <v>13.682730471385447</v>
      </c>
      <c r="D49" s="73">
        <v>20.631570498528639</v>
      </c>
      <c r="E49" s="73">
        <v>45.20249168536143</v>
      </c>
      <c r="F49" s="22" t="s">
        <v>240</v>
      </c>
      <c r="G49" s="120">
        <v>230.36163198488003</v>
      </c>
      <c r="H49" s="117">
        <v>119.09379942057777</v>
      </c>
    </row>
    <row r="50" spans="1:8" x14ac:dyDescent="0.25">
      <c r="A50" s="118"/>
      <c r="B50" s="111" t="s">
        <v>241</v>
      </c>
      <c r="C50" s="75">
        <v>3.911114742003468</v>
      </c>
      <c r="D50" s="75">
        <v>3.4953471744280766</v>
      </c>
      <c r="E50" s="75">
        <v>8.8611576364643163</v>
      </c>
      <c r="F50" s="27"/>
      <c r="G50" s="112">
        <v>126.56347923776815</v>
      </c>
      <c r="H50" s="113">
        <v>153.51294719141072</v>
      </c>
    </row>
    <row r="51" spans="1:8" x14ac:dyDescent="0.25">
      <c r="A51" s="121" t="s">
        <v>200</v>
      </c>
      <c r="B51" s="115" t="s">
        <v>3</v>
      </c>
      <c r="C51" s="73">
        <v>226.20454335692722</v>
      </c>
      <c r="D51" s="73">
        <v>272.66452049264325</v>
      </c>
      <c r="E51" s="73">
        <v>438.66163009868512</v>
      </c>
      <c r="F51" s="22" t="s">
        <v>240</v>
      </c>
      <c r="G51" s="120">
        <v>93.922555041930678</v>
      </c>
      <c r="H51" s="117">
        <v>60.87961473906563</v>
      </c>
    </row>
    <row r="52" spans="1:8" x14ac:dyDescent="0.25">
      <c r="A52" s="118"/>
      <c r="B52" s="111" t="s">
        <v>241</v>
      </c>
      <c r="C52" s="75">
        <v>47.911143710017342</v>
      </c>
      <c r="D52" s="75">
        <v>46.216527872140382</v>
      </c>
      <c r="E52" s="75">
        <v>79.656378182321575</v>
      </c>
      <c r="F52" s="27"/>
      <c r="G52" s="112">
        <v>66.258561190779687</v>
      </c>
      <c r="H52" s="113">
        <v>72.354743745989936</v>
      </c>
    </row>
    <row r="53" spans="1:8" x14ac:dyDescent="0.25">
      <c r="A53" s="114" t="s">
        <v>24</v>
      </c>
      <c r="B53" s="115" t="s">
        <v>3</v>
      </c>
      <c r="C53" s="73">
        <v>334.09139166338213</v>
      </c>
      <c r="D53" s="73">
        <v>401.04081998234369</v>
      </c>
      <c r="E53" s="73">
        <v>696.49728540316994</v>
      </c>
      <c r="F53" s="22" t="s">
        <v>240</v>
      </c>
      <c r="G53" s="109">
        <v>108.47507681518903</v>
      </c>
      <c r="H53" s="110">
        <v>73.672417045684796</v>
      </c>
    </row>
    <row r="54" spans="1:8" ht="13.8" thickBot="1" x14ac:dyDescent="0.3">
      <c r="A54" s="122"/>
      <c r="B54" s="123" t="s">
        <v>241</v>
      </c>
      <c r="C54" s="79">
        <v>78.725236364702781</v>
      </c>
      <c r="D54" s="79">
        <v>77.71445509313692</v>
      </c>
      <c r="E54" s="79">
        <v>143.46327963757179</v>
      </c>
      <c r="F54" s="43"/>
      <c r="G54" s="124">
        <v>82.23289794007519</v>
      </c>
      <c r="H54" s="125">
        <v>84.603082483996275</v>
      </c>
    </row>
    <row r="55" spans="1:8" x14ac:dyDescent="0.25">
      <c r="A55" s="126"/>
      <c r="B55" s="127"/>
      <c r="C55" s="21"/>
      <c r="D55" s="21"/>
      <c r="E55" s="21"/>
      <c r="F55" s="58"/>
      <c r="G55" s="109"/>
      <c r="H55" s="109"/>
    </row>
    <row r="56" spans="1:8" x14ac:dyDescent="0.25">
      <c r="A56" s="126"/>
      <c r="B56" s="127"/>
      <c r="C56" s="21"/>
      <c r="D56" s="21"/>
      <c r="E56" s="21"/>
      <c r="F56" s="58"/>
      <c r="G56" s="109"/>
      <c r="H56" s="109"/>
    </row>
    <row r="57" spans="1:8" x14ac:dyDescent="0.25">
      <c r="A57" s="126"/>
      <c r="B57" s="127"/>
      <c r="C57" s="21"/>
      <c r="D57" s="21"/>
      <c r="E57" s="21"/>
      <c r="F57" s="58"/>
      <c r="G57" s="109"/>
      <c r="H57" s="109"/>
    </row>
    <row r="58" spans="1:8" x14ac:dyDescent="0.25">
      <c r="A58" s="126"/>
      <c r="B58" s="127"/>
      <c r="C58" s="21"/>
      <c r="D58" s="21"/>
      <c r="E58" s="21"/>
      <c r="F58" s="58"/>
      <c r="G58" s="109"/>
      <c r="H58" s="109"/>
    </row>
    <row r="59" spans="1:8" x14ac:dyDescent="0.25">
      <c r="A59" s="128"/>
      <c r="B59" s="129"/>
      <c r="C59" s="48"/>
      <c r="D59" s="48"/>
      <c r="E59" s="48"/>
      <c r="F59" s="48"/>
      <c r="G59" s="130"/>
      <c r="H59" s="130"/>
    </row>
    <row r="60" spans="1:8" x14ac:dyDescent="0.25">
      <c r="A60" s="131"/>
      <c r="B60" s="131"/>
      <c r="C60" s="131"/>
      <c r="D60" s="131"/>
      <c r="E60" s="131"/>
      <c r="F60" s="131"/>
      <c r="G60" s="131"/>
      <c r="H60" s="131"/>
    </row>
    <row r="61" spans="1:8" ht="12.75" customHeight="1" x14ac:dyDescent="0.25">
      <c r="A61" s="132" t="str">
        <f>+Innhold!$B$123</f>
        <v>Finans Norge / Skadeforsikringsstatistikk</v>
      </c>
      <c r="G61" s="133"/>
      <c r="H61" s="198">
        <v>21</v>
      </c>
    </row>
    <row r="62" spans="1:8" ht="12.75" customHeight="1" x14ac:dyDescent="0.25">
      <c r="A62" s="132" t="str">
        <f>+Innhold!$B$124</f>
        <v>Skadestatistikk for landbasert forsikring 1. kvartal 2026</v>
      </c>
      <c r="G62" s="133"/>
      <c r="H62" s="198"/>
    </row>
    <row r="67" ht="12.75" customHeight="1" x14ac:dyDescent="0.25"/>
    <row r="68" ht="12.75" customHeight="1" x14ac:dyDescent="0.25"/>
  </sheetData>
  <mergeCells count="6">
    <mergeCell ref="H61:H62"/>
    <mergeCell ref="G5:H5"/>
    <mergeCell ref="A7:A8"/>
    <mergeCell ref="C33:F33"/>
    <mergeCell ref="G33:H33"/>
    <mergeCell ref="A35:A36"/>
  </mergeCells>
  <hyperlinks>
    <hyperlink ref="A2" location="Innhold!A66" display="Tilbake til innholdsfortegnelsen" xr:uid="{00000000-0004-0000-10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68"/>
  <sheetViews>
    <sheetView showGridLines="0" showRowColHeaders="0" zoomScaleNormal="100" workbookViewId="0"/>
  </sheetViews>
  <sheetFormatPr baseColWidth="10" defaultColWidth="11.44140625" defaultRowHeight="13.2" x14ac:dyDescent="0.25"/>
  <cols>
    <col min="1" max="1" width="26.44140625" style="91" customWidth="1"/>
    <col min="2" max="2" width="8.21875" style="91" customWidth="1"/>
    <col min="3" max="4" width="10.44140625" style="91" customWidth="1"/>
    <col min="5" max="5" width="9.77734375" style="91" customWidth="1"/>
    <col min="6" max="6" width="1.5546875" style="91" customWidth="1"/>
    <col min="7" max="7" width="7.5546875" style="91" customWidth="1"/>
    <col min="8" max="8" width="8.77734375" style="91" customWidth="1"/>
    <col min="9" max="16384" width="11.44140625" style="91"/>
  </cols>
  <sheetData>
    <row r="1" spans="1:8" ht="5.25" customHeight="1" x14ac:dyDescent="0.25"/>
    <row r="2" spans="1:8" x14ac:dyDescent="0.25">
      <c r="A2" s="85" t="s">
        <v>0</v>
      </c>
      <c r="B2" s="92"/>
      <c r="C2" s="92"/>
      <c r="D2" s="92"/>
      <c r="E2" s="92"/>
      <c r="F2" s="92"/>
      <c r="G2" s="92"/>
    </row>
    <row r="3" spans="1:8" ht="6" customHeight="1" x14ac:dyDescent="0.25">
      <c r="A3" s="3"/>
      <c r="B3" s="92"/>
      <c r="C3" s="92"/>
      <c r="D3" s="92"/>
      <c r="E3" s="92"/>
      <c r="F3" s="92"/>
      <c r="G3" s="92"/>
    </row>
    <row r="4" spans="1:8" ht="16.2" thickBot="1" x14ac:dyDescent="0.35">
      <c r="A4" s="93" t="s">
        <v>214</v>
      </c>
      <c r="B4" s="94"/>
      <c r="C4" s="94"/>
      <c r="D4" s="94"/>
      <c r="E4" s="94"/>
      <c r="F4" s="94"/>
      <c r="G4" s="94"/>
      <c r="H4" s="95"/>
    </row>
    <row r="5" spans="1:8" x14ac:dyDescent="0.25">
      <c r="A5" s="96"/>
      <c r="B5" s="97"/>
      <c r="C5" s="98"/>
      <c r="D5" s="97"/>
      <c r="E5" s="99"/>
      <c r="F5" s="100"/>
      <c r="G5" s="199" t="s">
        <v>1</v>
      </c>
      <c r="H5" s="200"/>
    </row>
    <row r="6" spans="1:8" x14ac:dyDescent="0.25">
      <c r="A6" s="101"/>
      <c r="B6" s="102"/>
      <c r="C6" s="103" t="s">
        <v>235</v>
      </c>
      <c r="D6" s="104" t="s">
        <v>236</v>
      </c>
      <c r="E6" s="104" t="s">
        <v>237</v>
      </c>
      <c r="F6" s="105"/>
      <c r="G6" s="106" t="s">
        <v>238</v>
      </c>
      <c r="H6" s="107" t="s">
        <v>239</v>
      </c>
    </row>
    <row r="7" spans="1:8" ht="12.75" customHeight="1" x14ac:dyDescent="0.25">
      <c r="A7" s="201" t="s">
        <v>201</v>
      </c>
      <c r="B7" s="108" t="s">
        <v>3</v>
      </c>
      <c r="C7" s="20">
        <v>2788</v>
      </c>
      <c r="D7" s="20">
        <v>2867</v>
      </c>
      <c r="E7" s="72">
        <v>2876.6405168435622</v>
      </c>
      <c r="F7" s="22" t="s">
        <v>240</v>
      </c>
      <c r="G7" s="109">
        <v>3.1793585668422679</v>
      </c>
      <c r="H7" s="110">
        <v>0.33625799942664969</v>
      </c>
    </row>
    <row r="8" spans="1:8" ht="12.75" customHeight="1" x14ac:dyDescent="0.25">
      <c r="A8" s="202"/>
      <c r="B8" s="111" t="s">
        <v>241</v>
      </c>
      <c r="C8" s="26">
        <v>704</v>
      </c>
      <c r="D8" s="26">
        <v>788</v>
      </c>
      <c r="E8" s="26">
        <v>768</v>
      </c>
      <c r="F8" s="27"/>
      <c r="G8" s="112">
        <v>9.0909090909090793</v>
      </c>
      <c r="H8" s="113">
        <v>-2.5380710659898398</v>
      </c>
    </row>
    <row r="9" spans="1:8" x14ac:dyDescent="0.25">
      <c r="A9" s="114" t="s">
        <v>202</v>
      </c>
      <c r="B9" s="115" t="s">
        <v>3</v>
      </c>
      <c r="C9" s="20">
        <v>725</v>
      </c>
      <c r="D9" s="20">
        <v>814</v>
      </c>
      <c r="E9" s="20">
        <v>770.57069444444437</v>
      </c>
      <c r="F9" s="22" t="s">
        <v>240</v>
      </c>
      <c r="G9" s="116">
        <v>6.2856130268199166</v>
      </c>
      <c r="H9" s="117">
        <v>-5.3352955227955334</v>
      </c>
    </row>
    <row r="10" spans="1:8" x14ac:dyDescent="0.25">
      <c r="A10" s="118"/>
      <c r="B10" s="111" t="s">
        <v>241</v>
      </c>
      <c r="C10" s="26">
        <v>192</v>
      </c>
      <c r="D10" s="26">
        <v>200</v>
      </c>
      <c r="E10" s="26">
        <v>194</v>
      </c>
      <c r="F10" s="27"/>
      <c r="G10" s="119">
        <v>1.0416666666666714</v>
      </c>
      <c r="H10" s="113">
        <v>-3</v>
      </c>
    </row>
    <row r="11" spans="1:8" x14ac:dyDescent="0.25">
      <c r="A11" s="114" t="s">
        <v>203</v>
      </c>
      <c r="B11" s="115" t="s">
        <v>3</v>
      </c>
      <c r="C11" s="20">
        <v>161</v>
      </c>
      <c r="D11" s="20">
        <v>221</v>
      </c>
      <c r="E11" s="20">
        <v>222.21363636363634</v>
      </c>
      <c r="F11" s="22" t="s">
        <v>240</v>
      </c>
      <c r="G11" s="120">
        <v>38.020892151326905</v>
      </c>
      <c r="H11" s="117">
        <v>0.54915672562729867</v>
      </c>
    </row>
    <row r="12" spans="1:8" x14ac:dyDescent="0.25">
      <c r="A12" s="118"/>
      <c r="B12" s="111" t="s">
        <v>241</v>
      </c>
      <c r="C12" s="26">
        <v>44</v>
      </c>
      <c r="D12" s="26">
        <v>55</v>
      </c>
      <c r="E12" s="26">
        <v>57</v>
      </c>
      <c r="F12" s="27"/>
      <c r="G12" s="112">
        <v>29.545454545454533</v>
      </c>
      <c r="H12" s="113">
        <v>3.6363636363636402</v>
      </c>
    </row>
    <row r="13" spans="1:8" x14ac:dyDescent="0.25">
      <c r="A13" s="114" t="s">
        <v>204</v>
      </c>
      <c r="B13" s="115" t="s">
        <v>3</v>
      </c>
      <c r="C13" s="20">
        <v>81</v>
      </c>
      <c r="D13" s="20">
        <v>99</v>
      </c>
      <c r="E13" s="20">
        <v>90.84</v>
      </c>
      <c r="F13" s="22" t="s">
        <v>240</v>
      </c>
      <c r="G13" s="109">
        <v>12.148148148148152</v>
      </c>
      <c r="H13" s="110">
        <v>-8.2424242424242351</v>
      </c>
    </row>
    <row r="14" spans="1:8" x14ac:dyDescent="0.25">
      <c r="A14" s="118"/>
      <c r="B14" s="111" t="s">
        <v>241</v>
      </c>
      <c r="C14" s="26">
        <v>25</v>
      </c>
      <c r="D14" s="26">
        <v>23</v>
      </c>
      <c r="E14" s="26">
        <v>23</v>
      </c>
      <c r="F14" s="27"/>
      <c r="G14" s="109">
        <v>-8</v>
      </c>
      <c r="H14" s="110">
        <v>0</v>
      </c>
    </row>
    <row r="15" spans="1:8" x14ac:dyDescent="0.25">
      <c r="A15" s="114" t="s">
        <v>205</v>
      </c>
      <c r="B15" s="115" t="s">
        <v>3</v>
      </c>
      <c r="C15" s="20">
        <v>11</v>
      </c>
      <c r="D15" s="20">
        <v>25</v>
      </c>
      <c r="E15" s="20">
        <v>20.68148148148148</v>
      </c>
      <c r="F15" s="22" t="s">
        <v>240</v>
      </c>
      <c r="G15" s="120">
        <v>88.013468013468014</v>
      </c>
      <c r="H15" s="117">
        <v>-17.274074074074079</v>
      </c>
    </row>
    <row r="16" spans="1:8" x14ac:dyDescent="0.25">
      <c r="A16" s="118"/>
      <c r="B16" s="111" t="s">
        <v>241</v>
      </c>
      <c r="C16" s="26">
        <v>5</v>
      </c>
      <c r="D16" s="26">
        <v>9</v>
      </c>
      <c r="E16" s="26">
        <v>8</v>
      </c>
      <c r="F16" s="27"/>
      <c r="G16" s="112">
        <v>60</v>
      </c>
      <c r="H16" s="113">
        <v>-11.111111111111114</v>
      </c>
    </row>
    <row r="17" spans="1:8" x14ac:dyDescent="0.25">
      <c r="A17" s="114" t="s">
        <v>206</v>
      </c>
      <c r="B17" s="115" t="s">
        <v>3</v>
      </c>
      <c r="C17" s="20">
        <v>99</v>
      </c>
      <c r="D17" s="20">
        <v>88</v>
      </c>
      <c r="E17" s="20">
        <v>212.10526315789474</v>
      </c>
      <c r="F17" s="22" t="s">
        <v>240</v>
      </c>
      <c r="G17" s="120">
        <v>114.24774056353004</v>
      </c>
      <c r="H17" s="117">
        <v>141.02870813397129</v>
      </c>
    </row>
    <row r="18" spans="1:8" x14ac:dyDescent="0.25">
      <c r="A18" s="118"/>
      <c r="B18" s="111" t="s">
        <v>241</v>
      </c>
      <c r="C18" s="26">
        <v>19</v>
      </c>
      <c r="D18" s="26">
        <v>11</v>
      </c>
      <c r="E18" s="26">
        <v>30</v>
      </c>
      <c r="F18" s="27"/>
      <c r="G18" s="112">
        <v>57.89473684210526</v>
      </c>
      <c r="H18" s="113">
        <v>172.72727272727269</v>
      </c>
    </row>
    <row r="19" spans="1:8" x14ac:dyDescent="0.25">
      <c r="A19" s="114" t="s">
        <v>207</v>
      </c>
      <c r="B19" s="115" t="s">
        <v>3</v>
      </c>
      <c r="C19" s="20">
        <v>1711</v>
      </c>
      <c r="D19" s="20">
        <v>1838</v>
      </c>
      <c r="E19" s="20">
        <v>1761.0603514046486</v>
      </c>
      <c r="F19" s="22" t="s">
        <v>240</v>
      </c>
      <c r="G19" s="109">
        <v>2.9257949389040618</v>
      </c>
      <c r="H19" s="110">
        <v>-4.186052698332503</v>
      </c>
    </row>
    <row r="20" spans="1:8" ht="13.8" thickBot="1" x14ac:dyDescent="0.3">
      <c r="A20" s="122"/>
      <c r="B20" s="123" t="s">
        <v>241</v>
      </c>
      <c r="C20" s="42">
        <v>420</v>
      </c>
      <c r="D20" s="42">
        <v>491</v>
      </c>
      <c r="E20" s="42">
        <v>457</v>
      </c>
      <c r="F20" s="43"/>
      <c r="G20" s="124">
        <v>8.809523809523796</v>
      </c>
      <c r="H20" s="125">
        <v>-6.9246435845213909</v>
      </c>
    </row>
    <row r="27" spans="1:8" x14ac:dyDescent="0.25">
      <c r="A27" s="95"/>
      <c r="B27" s="95"/>
      <c r="C27" s="59"/>
      <c r="D27" s="59"/>
      <c r="E27" s="21"/>
      <c r="F27" s="56"/>
      <c r="G27" s="109"/>
      <c r="H27" s="109"/>
    </row>
    <row r="28" spans="1:8" x14ac:dyDescent="0.25">
      <c r="A28" s="95"/>
      <c r="B28" s="95"/>
      <c r="C28" s="59"/>
      <c r="D28" s="59"/>
      <c r="E28" s="21"/>
      <c r="F28" s="56"/>
      <c r="G28" s="109"/>
      <c r="H28" s="109"/>
    </row>
    <row r="29" spans="1:8" x14ac:dyDescent="0.25">
      <c r="A29" s="95"/>
      <c r="B29" s="95"/>
      <c r="C29" s="59"/>
      <c r="D29" s="59"/>
      <c r="E29" s="21"/>
      <c r="F29" s="56"/>
      <c r="G29" s="109"/>
      <c r="H29" s="109"/>
    </row>
    <row r="30" spans="1:8" x14ac:dyDescent="0.25">
      <c r="A30" s="126"/>
      <c r="B30" s="127"/>
      <c r="C30" s="21"/>
      <c r="D30" s="21"/>
      <c r="E30" s="21"/>
      <c r="F30" s="58"/>
      <c r="G30" s="109"/>
      <c r="H30" s="109"/>
    </row>
    <row r="31" spans="1:8" x14ac:dyDescent="0.25">
      <c r="A31" s="128"/>
      <c r="B31" s="129"/>
      <c r="C31" s="48"/>
      <c r="D31" s="53"/>
      <c r="E31" s="48"/>
      <c r="F31" s="48"/>
      <c r="G31" s="130"/>
      <c r="H31" s="130"/>
    </row>
    <row r="32" spans="1:8" ht="16.2" thickBot="1" x14ac:dyDescent="0.35">
      <c r="A32" s="93" t="s">
        <v>215</v>
      </c>
      <c r="B32" s="94"/>
      <c r="C32" s="94"/>
      <c r="D32" s="94"/>
      <c r="E32" s="94"/>
      <c r="F32" s="94"/>
      <c r="G32" s="94"/>
      <c r="H32" s="95"/>
    </row>
    <row r="33" spans="1:8" x14ac:dyDescent="0.25">
      <c r="A33" s="96"/>
      <c r="B33" s="97"/>
      <c r="C33" s="203" t="s">
        <v>16</v>
      </c>
      <c r="D33" s="199"/>
      <c r="E33" s="199"/>
      <c r="F33" s="204"/>
      <c r="G33" s="199" t="s">
        <v>1</v>
      </c>
      <c r="H33" s="200"/>
    </row>
    <row r="34" spans="1:8" x14ac:dyDescent="0.25">
      <c r="A34" s="101"/>
      <c r="B34" s="102"/>
      <c r="C34" s="103" t="s">
        <v>235</v>
      </c>
      <c r="D34" s="104" t="s">
        <v>236</v>
      </c>
      <c r="E34" s="104" t="s">
        <v>237</v>
      </c>
      <c r="F34" s="105"/>
      <c r="G34" s="106" t="s">
        <v>238</v>
      </c>
      <c r="H34" s="107" t="s">
        <v>239</v>
      </c>
    </row>
    <row r="35" spans="1:8" ht="12.75" customHeight="1" x14ac:dyDescent="0.25">
      <c r="A35" s="201" t="s">
        <v>201</v>
      </c>
      <c r="B35" s="108" t="s">
        <v>3</v>
      </c>
      <c r="C35" s="73">
        <v>908.362582576092</v>
      </c>
      <c r="D35" s="73">
        <v>1133.4397185393248</v>
      </c>
      <c r="E35" s="74">
        <v>1482.6273580663808</v>
      </c>
      <c r="F35" s="22" t="s">
        <v>240</v>
      </c>
      <c r="G35" s="109">
        <v>63.219774405688213</v>
      </c>
      <c r="H35" s="110">
        <v>30.807782170988105</v>
      </c>
    </row>
    <row r="36" spans="1:8" ht="12.75" customHeight="1" x14ac:dyDescent="0.25">
      <c r="A36" s="202"/>
      <c r="B36" s="111" t="s">
        <v>241</v>
      </c>
      <c r="C36" s="75">
        <v>310.89171900532108</v>
      </c>
      <c r="D36" s="75">
        <v>312.24684380466704</v>
      </c>
      <c r="E36" s="75">
        <v>436.85094335690474</v>
      </c>
      <c r="F36" s="27"/>
      <c r="G36" s="112">
        <v>40.51546459795793</v>
      </c>
      <c r="H36" s="113">
        <v>39.90563940821977</v>
      </c>
    </row>
    <row r="37" spans="1:8" x14ac:dyDescent="0.25">
      <c r="A37" s="114" t="s">
        <v>202</v>
      </c>
      <c r="B37" s="115" t="s">
        <v>3</v>
      </c>
      <c r="C37" s="73">
        <v>442.07758016421138</v>
      </c>
      <c r="D37" s="73">
        <v>557.19940627322194</v>
      </c>
      <c r="E37" s="73">
        <v>760.77197407014137</v>
      </c>
      <c r="F37" s="22" t="s">
        <v>240</v>
      </c>
      <c r="G37" s="116">
        <v>72.090150734979517</v>
      </c>
      <c r="H37" s="117">
        <v>36.534957773644493</v>
      </c>
    </row>
    <row r="38" spans="1:8" x14ac:dyDescent="0.25">
      <c r="A38" s="118"/>
      <c r="B38" s="111" t="s">
        <v>241</v>
      </c>
      <c r="C38" s="75">
        <v>152.57454712297977</v>
      </c>
      <c r="D38" s="75">
        <v>146.43780409061355</v>
      </c>
      <c r="E38" s="75">
        <v>217.20823827986663</v>
      </c>
      <c r="F38" s="27"/>
      <c r="G38" s="119">
        <v>42.362040311212667</v>
      </c>
      <c r="H38" s="113">
        <v>48.327981035185019</v>
      </c>
    </row>
    <row r="39" spans="1:8" x14ac:dyDescent="0.25">
      <c r="A39" s="114" t="s">
        <v>203</v>
      </c>
      <c r="B39" s="115" t="s">
        <v>3</v>
      </c>
      <c r="C39" s="73">
        <v>96.560726264135624</v>
      </c>
      <c r="D39" s="73">
        <v>150.65727169008522</v>
      </c>
      <c r="E39" s="73">
        <v>191.51115657570082</v>
      </c>
      <c r="F39" s="22" t="s">
        <v>240</v>
      </c>
      <c r="G39" s="120">
        <v>98.332348963319163</v>
      </c>
      <c r="H39" s="117">
        <v>27.117101237340549</v>
      </c>
    </row>
    <row r="40" spans="1:8" x14ac:dyDescent="0.25">
      <c r="A40" s="118"/>
      <c r="B40" s="111" t="s">
        <v>241</v>
      </c>
      <c r="C40" s="75">
        <v>35.240589090904585</v>
      </c>
      <c r="D40" s="75">
        <v>40.245051116793391</v>
      </c>
      <c r="E40" s="75">
        <v>56.17788937067381</v>
      </c>
      <c r="F40" s="27"/>
      <c r="G40" s="112">
        <v>59.412458247393573</v>
      </c>
      <c r="H40" s="113">
        <v>39.589558993582671</v>
      </c>
    </row>
    <row r="41" spans="1:8" x14ac:dyDescent="0.25">
      <c r="A41" s="114" t="s">
        <v>204</v>
      </c>
      <c r="B41" s="115" t="s">
        <v>3</v>
      </c>
      <c r="C41" s="73">
        <v>51.562479520526431</v>
      </c>
      <c r="D41" s="73">
        <v>59.835739284152744</v>
      </c>
      <c r="E41" s="73">
        <v>71.463924190298314</v>
      </c>
      <c r="F41" s="22" t="s">
        <v>240</v>
      </c>
      <c r="G41" s="109">
        <v>38.596756507509212</v>
      </c>
      <c r="H41" s="110">
        <v>19.43351088372907</v>
      </c>
    </row>
    <row r="42" spans="1:8" x14ac:dyDescent="0.25">
      <c r="A42" s="118"/>
      <c r="B42" s="111" t="s">
        <v>241</v>
      </c>
      <c r="C42" s="75">
        <v>22.693986390372473</v>
      </c>
      <c r="D42" s="75">
        <v>17.39764963632669</v>
      </c>
      <c r="E42" s="75">
        <v>23.429061034983334</v>
      </c>
      <c r="F42" s="27"/>
      <c r="G42" s="109">
        <v>3.2390723778820387</v>
      </c>
      <c r="H42" s="110">
        <v>34.667966792841469</v>
      </c>
    </row>
    <row r="43" spans="1:8" x14ac:dyDescent="0.25">
      <c r="A43" s="114" t="s">
        <v>205</v>
      </c>
      <c r="B43" s="115" t="s">
        <v>3</v>
      </c>
      <c r="C43" s="73">
        <v>5.0723310743609193</v>
      </c>
      <c r="D43" s="73">
        <v>8.5722810405932481</v>
      </c>
      <c r="E43" s="73">
        <v>15.601388030286071</v>
      </c>
      <c r="F43" s="22" t="s">
        <v>240</v>
      </c>
      <c r="G43" s="120">
        <v>207.57826730093211</v>
      </c>
      <c r="H43" s="117">
        <v>81.998093114389661</v>
      </c>
    </row>
    <row r="44" spans="1:8" x14ac:dyDescent="0.25">
      <c r="A44" s="118"/>
      <c r="B44" s="111" t="s">
        <v>241</v>
      </c>
      <c r="C44" s="75">
        <v>2.1884527700532104</v>
      </c>
      <c r="D44" s="75">
        <v>2.6812659480466703</v>
      </c>
      <c r="E44" s="75">
        <v>5.3723944335690472</v>
      </c>
      <c r="F44" s="27"/>
      <c r="G44" s="112">
        <v>145.48825120125491</v>
      </c>
      <c r="H44" s="113">
        <v>100.36783137767037</v>
      </c>
    </row>
    <row r="45" spans="1:8" x14ac:dyDescent="0.25">
      <c r="A45" s="114" t="s">
        <v>206</v>
      </c>
      <c r="B45" s="115" t="s">
        <v>3</v>
      </c>
      <c r="C45" s="73">
        <v>49.963531751804595</v>
      </c>
      <c r="D45" s="73">
        <v>60.012010202966252</v>
      </c>
      <c r="E45" s="73">
        <v>136.89628488555536</v>
      </c>
      <c r="F45" s="22" t="s">
        <v>240</v>
      </c>
      <c r="G45" s="120">
        <v>173.9924102355132</v>
      </c>
      <c r="H45" s="117">
        <v>128.11481305585212</v>
      </c>
    </row>
    <row r="46" spans="1:8" x14ac:dyDescent="0.25">
      <c r="A46" s="118"/>
      <c r="B46" s="111" t="s">
        <v>241</v>
      </c>
      <c r="C46" s="75">
        <v>12.949228850266055</v>
      </c>
      <c r="D46" s="75">
        <v>8.3664347402333501</v>
      </c>
      <c r="E46" s="75">
        <v>22.559972167845238</v>
      </c>
      <c r="F46" s="27"/>
      <c r="G46" s="112">
        <v>74.218653702932443</v>
      </c>
      <c r="H46" s="113">
        <v>169.64857634467143</v>
      </c>
    </row>
    <row r="47" spans="1:8" x14ac:dyDescent="0.25">
      <c r="A47" s="114" t="s">
        <v>207</v>
      </c>
      <c r="B47" s="115" t="s">
        <v>3</v>
      </c>
      <c r="C47" s="73">
        <v>263.12593380105284</v>
      </c>
      <c r="D47" s="73">
        <v>297.16322404830544</v>
      </c>
      <c r="E47" s="73">
        <v>344.01905894953774</v>
      </c>
      <c r="F47" s="22" t="s">
        <v>240</v>
      </c>
      <c r="G47" s="109">
        <v>30.743121356349263</v>
      </c>
      <c r="H47" s="110">
        <v>15.767709833978529</v>
      </c>
    </row>
    <row r="48" spans="1:8" ht="13.8" thickBot="1" x14ac:dyDescent="0.3">
      <c r="A48" s="122"/>
      <c r="B48" s="123" t="s">
        <v>241</v>
      </c>
      <c r="C48" s="79">
        <v>85.244914780744949</v>
      </c>
      <c r="D48" s="79">
        <v>97.118638272653385</v>
      </c>
      <c r="E48" s="79">
        <v>112.10339306996669</v>
      </c>
      <c r="F48" s="43"/>
      <c r="G48" s="124">
        <v>31.507425819244872</v>
      </c>
      <c r="H48" s="125">
        <v>15.429329595051271</v>
      </c>
    </row>
    <row r="55" spans="1:8" x14ac:dyDescent="0.25">
      <c r="A55" s="126"/>
      <c r="B55" s="127"/>
      <c r="C55" s="21"/>
      <c r="D55" s="21"/>
      <c r="E55" s="21"/>
      <c r="F55" s="58"/>
      <c r="G55" s="109"/>
      <c r="H55" s="109"/>
    </row>
    <row r="56" spans="1:8" x14ac:dyDescent="0.25">
      <c r="A56" s="126"/>
      <c r="B56" s="127"/>
      <c r="C56" s="21"/>
      <c r="D56" s="21"/>
      <c r="E56" s="21"/>
      <c r="F56" s="58"/>
      <c r="G56" s="109"/>
      <c r="H56" s="109"/>
    </row>
    <row r="57" spans="1:8" x14ac:dyDescent="0.25">
      <c r="A57" s="126"/>
      <c r="B57" s="127"/>
      <c r="C57" s="21"/>
      <c r="D57" s="21"/>
      <c r="E57" s="21"/>
      <c r="F57" s="58"/>
      <c r="G57" s="109"/>
      <c r="H57" s="109"/>
    </row>
    <row r="58" spans="1:8" x14ac:dyDescent="0.25">
      <c r="A58" s="126"/>
      <c r="B58" s="127"/>
      <c r="C58" s="21"/>
      <c r="D58" s="21"/>
      <c r="E58" s="21"/>
      <c r="F58" s="58"/>
      <c r="G58" s="109"/>
      <c r="H58" s="109"/>
    </row>
    <row r="59" spans="1:8" x14ac:dyDescent="0.25">
      <c r="A59" s="128"/>
      <c r="B59" s="129"/>
      <c r="C59" s="48"/>
      <c r="D59" s="48"/>
      <c r="E59" s="48"/>
      <c r="F59" s="48"/>
      <c r="G59" s="130"/>
      <c r="H59" s="130"/>
    </row>
    <row r="60" spans="1:8" x14ac:dyDescent="0.25">
      <c r="A60" s="131"/>
      <c r="B60" s="131"/>
      <c r="C60" s="131"/>
      <c r="D60" s="131"/>
      <c r="E60" s="131"/>
      <c r="F60" s="131"/>
      <c r="G60" s="131"/>
      <c r="H60" s="131"/>
    </row>
    <row r="61" spans="1:8" ht="12.75" customHeight="1" x14ac:dyDescent="0.25">
      <c r="A61" s="132" t="str">
        <f>+Innhold!$B$123</f>
        <v>Finans Norge / Skadeforsikringsstatistikk</v>
      </c>
      <c r="G61" s="133"/>
      <c r="H61" s="198">
        <v>22</v>
      </c>
    </row>
    <row r="62" spans="1:8" ht="12.75" customHeight="1" x14ac:dyDescent="0.25">
      <c r="A62" s="132" t="str">
        <f>+Innhold!$B$124</f>
        <v>Skadestatistikk for landbasert forsikring 1. kvartal 2026</v>
      </c>
      <c r="G62" s="133"/>
      <c r="H62" s="198"/>
    </row>
    <row r="67" ht="12.75" customHeight="1" x14ac:dyDescent="0.25"/>
    <row r="68" ht="12.75" customHeight="1" x14ac:dyDescent="0.25"/>
  </sheetData>
  <mergeCells count="6">
    <mergeCell ref="H61:H62"/>
    <mergeCell ref="G5:H5"/>
    <mergeCell ref="A7:A8"/>
    <mergeCell ref="C33:F33"/>
    <mergeCell ref="G33:H33"/>
    <mergeCell ref="A35:A36"/>
  </mergeCells>
  <hyperlinks>
    <hyperlink ref="A2" location="Innhold!A68" display="Tilbake til innholdsfortegnelsen" xr:uid="{00000000-0004-0000-11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8"/>
  <sheetViews>
    <sheetView showGridLines="0" showRowColHeaders="0" zoomScaleNormal="100" workbookViewId="0"/>
  </sheetViews>
  <sheetFormatPr baseColWidth="10" defaultColWidth="11.44140625" defaultRowHeight="13.2" x14ac:dyDescent="0.25"/>
  <cols>
    <col min="1" max="1" width="26.44140625" style="91" customWidth="1"/>
    <col min="2" max="2" width="8.21875" style="91" customWidth="1"/>
    <col min="3" max="4" width="10.44140625" style="91" customWidth="1"/>
    <col min="5" max="5" width="9.77734375" style="91" customWidth="1"/>
    <col min="6" max="6" width="1.5546875" style="91" customWidth="1"/>
    <col min="7" max="7" width="7.5546875" style="91" customWidth="1"/>
    <col min="8" max="8" width="8.77734375" style="91" customWidth="1"/>
    <col min="9" max="16384" width="11.44140625" style="91"/>
  </cols>
  <sheetData>
    <row r="1" spans="1:8" ht="5.25" customHeight="1" x14ac:dyDescent="0.25"/>
    <row r="2" spans="1:8" x14ac:dyDescent="0.25">
      <c r="A2" s="85" t="s">
        <v>0</v>
      </c>
      <c r="B2" s="92"/>
      <c r="C2" s="92"/>
      <c r="D2" s="92"/>
      <c r="E2" s="92"/>
      <c r="F2" s="92"/>
      <c r="G2" s="92"/>
    </row>
    <row r="3" spans="1:8" ht="6" customHeight="1" x14ac:dyDescent="0.25">
      <c r="A3" s="3"/>
      <c r="B3" s="92"/>
      <c r="C3" s="92"/>
      <c r="D3" s="92"/>
      <c r="E3" s="92"/>
      <c r="F3" s="92"/>
      <c r="G3" s="92"/>
    </row>
    <row r="4" spans="1:8" ht="16.2" thickBot="1" x14ac:dyDescent="0.35">
      <c r="A4" s="93" t="s">
        <v>216</v>
      </c>
      <c r="B4" s="94"/>
      <c r="C4" s="94"/>
      <c r="D4" s="94"/>
      <c r="E4" s="94"/>
      <c r="F4" s="94"/>
      <c r="G4" s="94"/>
      <c r="H4" s="95"/>
    </row>
    <row r="5" spans="1:8" x14ac:dyDescent="0.25">
      <c r="A5" s="96"/>
      <c r="B5" s="97"/>
      <c r="C5" s="98"/>
      <c r="D5" s="97"/>
      <c r="E5" s="99"/>
      <c r="F5" s="100"/>
      <c r="G5" s="199" t="s">
        <v>1</v>
      </c>
      <c r="H5" s="200"/>
    </row>
    <row r="6" spans="1:8" x14ac:dyDescent="0.25">
      <c r="A6" s="101"/>
      <c r="B6" s="102"/>
      <c r="C6" s="103" t="s">
        <v>235</v>
      </c>
      <c r="D6" s="104" t="s">
        <v>236</v>
      </c>
      <c r="E6" s="104" t="s">
        <v>237</v>
      </c>
      <c r="F6" s="105"/>
      <c r="G6" s="106" t="s">
        <v>238</v>
      </c>
      <c r="H6" s="107" t="s">
        <v>239</v>
      </c>
    </row>
    <row r="7" spans="1:8" ht="12.75" customHeight="1" x14ac:dyDescent="0.25">
      <c r="A7" s="201" t="s">
        <v>208</v>
      </c>
      <c r="B7" s="108" t="s">
        <v>3</v>
      </c>
      <c r="C7" s="20">
        <v>365256.53234071122</v>
      </c>
      <c r="D7" s="20">
        <v>399330.99999996775</v>
      </c>
      <c r="E7" s="72">
        <v>467055.14449382195</v>
      </c>
      <c r="F7" s="22" t="s">
        <v>240</v>
      </c>
      <c r="G7" s="109">
        <v>27.870442590237658</v>
      </c>
      <c r="H7" s="110">
        <v>16.959400721171079</v>
      </c>
    </row>
    <row r="8" spans="1:8" ht="12.75" customHeight="1" x14ac:dyDescent="0.25">
      <c r="A8" s="202"/>
      <c r="B8" s="111" t="s">
        <v>241</v>
      </c>
      <c r="C8" s="26">
        <v>91473.017716161718</v>
      </c>
      <c r="D8" s="26">
        <v>83350.000000002503</v>
      </c>
      <c r="E8" s="26">
        <v>103216.00000000212</v>
      </c>
      <c r="F8" s="27"/>
      <c r="G8" s="112">
        <v>12.837646091745398</v>
      </c>
      <c r="H8" s="113">
        <v>23.834433113376164</v>
      </c>
    </row>
    <row r="9" spans="1:8" x14ac:dyDescent="0.25">
      <c r="A9" s="114" t="s">
        <v>227</v>
      </c>
      <c r="B9" s="115" t="s">
        <v>3</v>
      </c>
      <c r="C9" s="20">
        <v>22391.82359042584</v>
      </c>
      <c r="D9" s="20">
        <v>21451.049999996285</v>
      </c>
      <c r="E9" s="20">
        <v>23340.422949327218</v>
      </c>
      <c r="F9" s="22" t="s">
        <v>240</v>
      </c>
      <c r="G9" s="116">
        <v>4.2363649171788467</v>
      </c>
      <c r="H9" s="117">
        <v>8.8078343453176444</v>
      </c>
    </row>
    <row r="10" spans="1:8" x14ac:dyDescent="0.25">
      <c r="A10" s="118"/>
      <c r="B10" s="111" t="s">
        <v>241</v>
      </c>
      <c r="C10" s="26">
        <v>4877.5668231299996</v>
      </c>
      <c r="D10" s="26">
        <v>4910.70000000033</v>
      </c>
      <c r="E10" s="26">
        <v>5254.0000000002547</v>
      </c>
      <c r="F10" s="27"/>
      <c r="G10" s="119">
        <v>7.7176426386444348</v>
      </c>
      <c r="H10" s="113">
        <v>6.9908567006720261</v>
      </c>
    </row>
    <row r="11" spans="1:8" x14ac:dyDescent="0.25">
      <c r="A11" s="114" t="s">
        <v>230</v>
      </c>
      <c r="B11" s="115" t="s">
        <v>3</v>
      </c>
      <c r="C11" s="20">
        <v>180699.84821338599</v>
      </c>
      <c r="D11" s="20">
        <v>216989</v>
      </c>
      <c r="E11" s="20">
        <v>231114.42370900742</v>
      </c>
      <c r="F11" s="22" t="s">
        <v>240</v>
      </c>
      <c r="G11" s="120">
        <v>27.899622492259951</v>
      </c>
      <c r="H11" s="117">
        <v>6.5097418343821118</v>
      </c>
    </row>
    <row r="12" spans="1:8" x14ac:dyDescent="0.25">
      <c r="A12" s="118"/>
      <c r="B12" s="111" t="s">
        <v>241</v>
      </c>
      <c r="C12" s="26">
        <v>45764.337706628001</v>
      </c>
      <c r="D12" s="26">
        <v>47537</v>
      </c>
      <c r="E12" s="26">
        <v>53017</v>
      </c>
      <c r="F12" s="27"/>
      <c r="G12" s="112">
        <v>15.84784715964895</v>
      </c>
      <c r="H12" s="113">
        <v>11.527862507099741</v>
      </c>
    </row>
    <row r="13" spans="1:8" x14ac:dyDescent="0.25">
      <c r="A13" s="114" t="s">
        <v>209</v>
      </c>
      <c r="B13" s="115" t="s">
        <v>3</v>
      </c>
      <c r="C13" s="20">
        <v>146738.9817676497</v>
      </c>
      <c r="D13" s="20">
        <v>150109.94999997149</v>
      </c>
      <c r="E13" s="20">
        <v>157805.86304664178</v>
      </c>
      <c r="F13" s="22" t="s">
        <v>240</v>
      </c>
      <c r="G13" s="109">
        <v>7.5418822903621248</v>
      </c>
      <c r="H13" s="110">
        <v>5.1268507162062065</v>
      </c>
    </row>
    <row r="14" spans="1:8" x14ac:dyDescent="0.25">
      <c r="A14" s="118"/>
      <c r="B14" s="111" t="s">
        <v>241</v>
      </c>
      <c r="C14" s="26">
        <v>34378.806856850002</v>
      </c>
      <c r="D14" s="26">
        <v>36387.300000002171</v>
      </c>
      <c r="E14" s="26">
        <v>37816.000000001877</v>
      </c>
      <c r="F14" s="27"/>
      <c r="G14" s="109">
        <v>9.9980000977462993</v>
      </c>
      <c r="H14" s="110">
        <v>3.9263699147768989</v>
      </c>
    </row>
    <row r="15" spans="1:8" x14ac:dyDescent="0.25">
      <c r="A15" s="114" t="s">
        <v>210</v>
      </c>
      <c r="B15" s="115" t="s">
        <v>3</v>
      </c>
      <c r="C15" s="20">
        <v>29543.212349344001</v>
      </c>
      <c r="D15" s="20">
        <v>33200</v>
      </c>
      <c r="E15" s="20">
        <v>38971.260887975506</v>
      </c>
      <c r="F15" s="22" t="s">
        <v>240</v>
      </c>
      <c r="G15" s="120">
        <v>31.912739979479085</v>
      </c>
      <c r="H15" s="117">
        <v>17.383315927637071</v>
      </c>
    </row>
    <row r="16" spans="1:8" x14ac:dyDescent="0.25">
      <c r="A16" s="118"/>
      <c r="B16" s="111" t="s">
        <v>241</v>
      </c>
      <c r="C16" s="26">
        <v>7297.2973441280001</v>
      </c>
      <c r="D16" s="26">
        <v>7278</v>
      </c>
      <c r="E16" s="26">
        <v>8876</v>
      </c>
      <c r="F16" s="27"/>
      <c r="G16" s="112">
        <v>21.634073293482459</v>
      </c>
      <c r="H16" s="113">
        <v>21.956581478428134</v>
      </c>
    </row>
    <row r="17" spans="1:8" x14ac:dyDescent="0.25">
      <c r="A17" s="114" t="s">
        <v>211</v>
      </c>
      <c r="B17" s="115" t="s">
        <v>3</v>
      </c>
      <c r="C17" s="20">
        <v>21205.484705620001</v>
      </c>
      <c r="D17" s="20">
        <v>18574</v>
      </c>
      <c r="E17" s="20">
        <v>18623.587774247833</v>
      </c>
      <c r="F17" s="22" t="s">
        <v>240</v>
      </c>
      <c r="G17" s="109">
        <v>-12.175609127613569</v>
      </c>
      <c r="H17" s="110">
        <v>0.2669741264554375</v>
      </c>
    </row>
    <row r="18" spans="1:8" ht="13.8" thickBot="1" x14ac:dyDescent="0.3">
      <c r="A18" s="122"/>
      <c r="B18" s="123" t="s">
        <v>241</v>
      </c>
      <c r="C18" s="42">
        <v>4922.1112711400001</v>
      </c>
      <c r="D18" s="42">
        <v>4152</v>
      </c>
      <c r="E18" s="42">
        <v>4215</v>
      </c>
      <c r="F18" s="43"/>
      <c r="G18" s="124">
        <v>-14.366015560965323</v>
      </c>
      <c r="H18" s="125">
        <v>1.5173410404624406</v>
      </c>
    </row>
    <row r="27" spans="1:8" x14ac:dyDescent="0.25">
      <c r="A27" s="95"/>
      <c r="B27" s="95"/>
      <c r="C27" s="59"/>
      <c r="D27" s="59"/>
      <c r="E27" s="21"/>
      <c r="F27" s="56"/>
      <c r="G27" s="109"/>
      <c r="H27" s="109"/>
    </row>
    <row r="28" spans="1:8" x14ac:dyDescent="0.25">
      <c r="A28" s="95"/>
      <c r="B28" s="95"/>
      <c r="C28" s="59"/>
      <c r="D28" s="59"/>
      <c r="E28" s="21"/>
      <c r="F28" s="56"/>
      <c r="G28" s="109"/>
      <c r="H28" s="109"/>
    </row>
    <row r="29" spans="1:8" x14ac:dyDescent="0.25">
      <c r="A29" s="95"/>
      <c r="B29" s="95"/>
      <c r="C29" s="59"/>
      <c r="D29" s="59"/>
      <c r="E29" s="21"/>
      <c r="F29" s="56"/>
      <c r="G29" s="109"/>
      <c r="H29" s="109"/>
    </row>
    <row r="30" spans="1:8" x14ac:dyDescent="0.25">
      <c r="A30" s="126"/>
      <c r="B30" s="127"/>
      <c r="C30" s="21"/>
      <c r="D30" s="21"/>
      <c r="E30" s="21"/>
      <c r="F30" s="58"/>
      <c r="G30" s="109"/>
      <c r="H30" s="109"/>
    </row>
    <row r="31" spans="1:8" x14ac:dyDescent="0.25">
      <c r="A31" s="128"/>
      <c r="B31" s="129"/>
      <c r="C31" s="48"/>
      <c r="D31" s="53"/>
      <c r="E31" s="48"/>
      <c r="F31" s="48"/>
      <c r="G31" s="130"/>
      <c r="H31" s="130"/>
    </row>
    <row r="32" spans="1:8" ht="16.2" thickBot="1" x14ac:dyDescent="0.35">
      <c r="A32" s="93" t="s">
        <v>217</v>
      </c>
      <c r="B32" s="94"/>
      <c r="C32" s="94"/>
      <c r="D32" s="94"/>
      <c r="E32" s="94"/>
      <c r="F32" s="94"/>
      <c r="G32" s="94"/>
      <c r="H32" s="95"/>
    </row>
    <row r="33" spans="1:8" x14ac:dyDescent="0.25">
      <c r="A33" s="96"/>
      <c r="B33" s="97"/>
      <c r="C33" s="203" t="s">
        <v>16</v>
      </c>
      <c r="D33" s="199"/>
      <c r="E33" s="199"/>
      <c r="F33" s="204"/>
      <c r="G33" s="199" t="s">
        <v>1</v>
      </c>
      <c r="H33" s="200"/>
    </row>
    <row r="34" spans="1:8" x14ac:dyDescent="0.25">
      <c r="A34" s="101"/>
      <c r="B34" s="102"/>
      <c r="C34" s="103" t="s">
        <v>235</v>
      </c>
      <c r="D34" s="104" t="s">
        <v>236</v>
      </c>
      <c r="E34" s="104" t="s">
        <v>237</v>
      </c>
      <c r="F34" s="105"/>
      <c r="G34" s="106" t="s">
        <v>238</v>
      </c>
      <c r="H34" s="107" t="s">
        <v>239</v>
      </c>
    </row>
    <row r="35" spans="1:8" ht="12.75" customHeight="1" x14ac:dyDescent="0.25">
      <c r="A35" s="201" t="s">
        <v>208</v>
      </c>
      <c r="B35" s="108" t="s">
        <v>3</v>
      </c>
      <c r="C35" s="73">
        <v>2712.508763845166</v>
      </c>
      <c r="D35" s="73">
        <v>2508.5070738604845</v>
      </c>
      <c r="E35" s="74">
        <v>2955.8488694696803</v>
      </c>
      <c r="F35" s="22" t="s">
        <v>240</v>
      </c>
      <c r="G35" s="109">
        <v>8.9710348172133934</v>
      </c>
      <c r="H35" s="110">
        <v>17.832989201850481</v>
      </c>
    </row>
    <row r="36" spans="1:8" ht="12.75" customHeight="1" x14ac:dyDescent="0.25">
      <c r="A36" s="202"/>
      <c r="B36" s="111" t="s">
        <v>241</v>
      </c>
      <c r="C36" s="75">
        <v>684.81376284750388</v>
      </c>
      <c r="D36" s="75">
        <v>663.78280838986893</v>
      </c>
      <c r="E36" s="75">
        <v>769.80843057077027</v>
      </c>
      <c r="F36" s="27"/>
      <c r="G36" s="112">
        <v>12.411355077014292</v>
      </c>
      <c r="H36" s="113">
        <v>15.972938865061394</v>
      </c>
    </row>
    <row r="37" spans="1:8" x14ac:dyDescent="0.25">
      <c r="A37" s="114" t="s">
        <v>227</v>
      </c>
      <c r="B37" s="115" t="s">
        <v>3</v>
      </c>
      <c r="C37" s="73">
        <v>819.58099779469239</v>
      </c>
      <c r="D37" s="73">
        <v>808.04652875744864</v>
      </c>
      <c r="E37" s="73">
        <v>984.96352834916024</v>
      </c>
      <c r="F37" s="22" t="s">
        <v>240</v>
      </c>
      <c r="G37" s="116">
        <v>20.178912273402489</v>
      </c>
      <c r="H37" s="117">
        <v>21.894407474747865</v>
      </c>
    </row>
    <row r="38" spans="1:8" x14ac:dyDescent="0.25">
      <c r="A38" s="118"/>
      <c r="B38" s="111" t="s">
        <v>241</v>
      </c>
      <c r="C38" s="75">
        <v>189.22338519354972</v>
      </c>
      <c r="D38" s="75">
        <v>196.63874774389006</v>
      </c>
      <c r="E38" s="75">
        <v>235.4517538260574</v>
      </c>
      <c r="F38" s="27"/>
      <c r="G38" s="119">
        <v>24.430579013911185</v>
      </c>
      <c r="H38" s="113">
        <v>19.738228872734126</v>
      </c>
    </row>
    <row r="39" spans="1:8" x14ac:dyDescent="0.25">
      <c r="A39" s="114" t="s">
        <v>230</v>
      </c>
      <c r="B39" s="115" t="s">
        <v>3</v>
      </c>
      <c r="C39" s="73">
        <v>566.19356314488584</v>
      </c>
      <c r="D39" s="73">
        <v>482.32914181646095</v>
      </c>
      <c r="E39" s="73">
        <v>554.8204767120626</v>
      </c>
      <c r="F39" s="22" t="s">
        <v>240</v>
      </c>
      <c r="G39" s="120">
        <v>-2.0086922870779631</v>
      </c>
      <c r="H39" s="117">
        <v>15.029432935069579</v>
      </c>
    </row>
    <row r="40" spans="1:8" x14ac:dyDescent="0.25">
      <c r="A40" s="118"/>
      <c r="B40" s="111" t="s">
        <v>241</v>
      </c>
      <c r="C40" s="75">
        <v>157.45894046437687</v>
      </c>
      <c r="D40" s="75">
        <v>144.90980690180402</v>
      </c>
      <c r="E40" s="75">
        <v>162.34255034065623</v>
      </c>
      <c r="F40" s="27"/>
      <c r="G40" s="112">
        <v>3.1015132337844022</v>
      </c>
      <c r="H40" s="113">
        <v>12.030064639217457</v>
      </c>
    </row>
    <row r="41" spans="1:8" x14ac:dyDescent="0.25">
      <c r="A41" s="114" t="s">
        <v>209</v>
      </c>
      <c r="B41" s="115" t="s">
        <v>3</v>
      </c>
      <c r="C41" s="73">
        <v>919.90574354956948</v>
      </c>
      <c r="D41" s="73">
        <v>869.78798685696995</v>
      </c>
      <c r="E41" s="73">
        <v>1048.8831279132537</v>
      </c>
      <c r="F41" s="22" t="s">
        <v>240</v>
      </c>
      <c r="G41" s="109">
        <v>14.02071736893491</v>
      </c>
      <c r="H41" s="110">
        <v>20.590666204008471</v>
      </c>
    </row>
    <row r="42" spans="1:8" x14ac:dyDescent="0.25">
      <c r="A42" s="118"/>
      <c r="B42" s="111" t="s">
        <v>241</v>
      </c>
      <c r="C42" s="75">
        <v>223.25516850382706</v>
      </c>
      <c r="D42" s="75">
        <v>231.44644926250925</v>
      </c>
      <c r="E42" s="75">
        <v>270.4113445840182</v>
      </c>
      <c r="F42" s="27"/>
      <c r="G42" s="109">
        <v>21.122098268189831</v>
      </c>
      <c r="H42" s="110">
        <v>16.835382631994705</v>
      </c>
    </row>
    <row r="43" spans="1:8" x14ac:dyDescent="0.25">
      <c r="A43" s="114" t="s">
        <v>210</v>
      </c>
      <c r="B43" s="115" t="s">
        <v>3</v>
      </c>
      <c r="C43" s="73">
        <v>242.75495083609036</v>
      </c>
      <c r="D43" s="73">
        <v>208.76139112192098</v>
      </c>
      <c r="E43" s="73">
        <v>248.50974222423866</v>
      </c>
      <c r="F43" s="22" t="s">
        <v>240</v>
      </c>
      <c r="G43" s="120">
        <v>2.370617517100186</v>
      </c>
      <c r="H43" s="117">
        <v>19.040087292340274</v>
      </c>
    </row>
    <row r="44" spans="1:8" x14ac:dyDescent="0.25">
      <c r="A44" s="118"/>
      <c r="B44" s="111" t="s">
        <v>241</v>
      </c>
      <c r="C44" s="75">
        <v>64.882804033150279</v>
      </c>
      <c r="D44" s="75">
        <v>53.382113460333123</v>
      </c>
      <c r="E44" s="75">
        <v>64.476330184007693</v>
      </c>
      <c r="F44" s="27"/>
      <c r="G44" s="112">
        <v>-0.62647392510180566</v>
      </c>
      <c r="H44" s="113">
        <v>20.782647977994344</v>
      </c>
    </row>
    <row r="45" spans="1:8" x14ac:dyDescent="0.25">
      <c r="A45" s="114" t="s">
        <v>211</v>
      </c>
      <c r="B45" s="115" t="s">
        <v>3</v>
      </c>
      <c r="C45" s="73">
        <v>164.07350851992751</v>
      </c>
      <c r="D45" s="73">
        <v>139.58202530768421</v>
      </c>
      <c r="E45" s="73">
        <v>132.97510551034506</v>
      </c>
      <c r="F45" s="22" t="s">
        <v>240</v>
      </c>
      <c r="G45" s="109">
        <v>-18.953945271308328</v>
      </c>
      <c r="H45" s="110">
        <v>-4.7333600316912907</v>
      </c>
    </row>
    <row r="46" spans="1:8" ht="13.8" thickBot="1" x14ac:dyDescent="0.3">
      <c r="A46" s="122"/>
      <c r="B46" s="123" t="s">
        <v>241</v>
      </c>
      <c r="C46" s="79">
        <v>49.99346465259994</v>
      </c>
      <c r="D46" s="79">
        <v>37.40569102133248</v>
      </c>
      <c r="E46" s="79">
        <v>37.126451636030794</v>
      </c>
      <c r="F46" s="43"/>
      <c r="G46" s="124">
        <v>-25.737390088846325</v>
      </c>
      <c r="H46" s="125">
        <v>-0.74651577788640111</v>
      </c>
    </row>
    <row r="55" spans="1:8" x14ac:dyDescent="0.25">
      <c r="A55" s="126"/>
      <c r="B55" s="127"/>
      <c r="C55" s="21"/>
      <c r="D55" s="21"/>
      <c r="E55" s="21"/>
      <c r="F55" s="58"/>
      <c r="G55" s="109"/>
      <c r="H55" s="109"/>
    </row>
    <row r="56" spans="1:8" x14ac:dyDescent="0.25">
      <c r="A56" s="126"/>
      <c r="B56" s="127"/>
      <c r="C56" s="21"/>
      <c r="D56" s="21"/>
      <c r="E56" s="21"/>
      <c r="F56" s="58"/>
      <c r="G56" s="109"/>
      <c r="H56" s="109"/>
    </row>
    <row r="57" spans="1:8" x14ac:dyDescent="0.25">
      <c r="A57" s="126"/>
      <c r="B57" s="127"/>
      <c r="C57" s="21"/>
      <c r="D57" s="21"/>
      <c r="E57" s="21"/>
      <c r="F57" s="58"/>
      <c r="G57" s="109"/>
      <c r="H57" s="109"/>
    </row>
    <row r="58" spans="1:8" x14ac:dyDescent="0.25">
      <c r="A58" s="126"/>
      <c r="B58" s="127"/>
      <c r="C58" s="21"/>
      <c r="D58" s="21"/>
      <c r="E58" s="21"/>
      <c r="F58" s="58"/>
      <c r="G58" s="109"/>
      <c r="H58" s="109"/>
    </row>
    <row r="59" spans="1:8" x14ac:dyDescent="0.25">
      <c r="A59" s="128"/>
      <c r="B59" s="129"/>
      <c r="C59" s="48"/>
      <c r="D59" s="48"/>
      <c r="E59" s="48"/>
      <c r="F59" s="48"/>
      <c r="G59" s="130"/>
      <c r="H59" s="130"/>
    </row>
    <row r="60" spans="1:8" x14ac:dyDescent="0.25">
      <c r="A60" s="131"/>
      <c r="B60" s="131"/>
      <c r="C60" s="131"/>
      <c r="D60" s="131"/>
      <c r="E60" s="131"/>
      <c r="F60" s="131"/>
      <c r="G60" s="131"/>
      <c r="H60" s="131"/>
    </row>
    <row r="61" spans="1:8" ht="12.75" customHeight="1" x14ac:dyDescent="0.25">
      <c r="A61" s="132" t="str">
        <f>+Innhold!$B$123</f>
        <v>Finans Norge / Skadeforsikringsstatistikk</v>
      </c>
      <c r="G61" s="133"/>
      <c r="H61" s="198">
        <v>23</v>
      </c>
    </row>
    <row r="62" spans="1:8" ht="12.75" customHeight="1" x14ac:dyDescent="0.25">
      <c r="A62" s="132" t="str">
        <f>+Innhold!$B$124</f>
        <v>Skadestatistikk for landbasert forsikring 1. kvartal 2026</v>
      </c>
      <c r="G62" s="133"/>
      <c r="H62" s="198"/>
    </row>
    <row r="67" ht="12.75" customHeight="1" x14ac:dyDescent="0.25"/>
    <row r="68" ht="12.75" customHeight="1" x14ac:dyDescent="0.25"/>
  </sheetData>
  <mergeCells count="6">
    <mergeCell ref="H61:H62"/>
    <mergeCell ref="G5:H5"/>
    <mergeCell ref="A7:A8"/>
    <mergeCell ref="C33:F33"/>
    <mergeCell ref="G33:H33"/>
    <mergeCell ref="A35:A36"/>
  </mergeCells>
  <hyperlinks>
    <hyperlink ref="A2" location="Innhold!A70" display="Tilbake til innholdsfortegnelsen" xr:uid="{00000000-0004-0000-12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63"/>
  <sheetViews>
    <sheetView showGridLines="0" showRowColHeaders="0" zoomScaleNormal="100" workbookViewId="0"/>
  </sheetViews>
  <sheetFormatPr baseColWidth="10" defaultColWidth="11.44140625" defaultRowHeight="12.75" customHeight="1" x14ac:dyDescent="0.25"/>
  <cols>
    <col min="1" max="1" width="11.44140625" style="82" customWidth="1"/>
    <col min="2" max="2" width="27.21875" style="1" customWidth="1"/>
    <col min="3" max="5" width="10.5546875" style="1" customWidth="1"/>
    <col min="6" max="8" width="7.5546875" style="1" customWidth="1"/>
    <col min="9" max="16384" width="11.44140625" style="1"/>
  </cols>
  <sheetData>
    <row r="2" spans="1:8" ht="12.75" customHeight="1" x14ac:dyDescent="0.25">
      <c r="B2" s="2"/>
      <c r="C2" s="2"/>
      <c r="D2" s="2"/>
      <c r="E2" s="2"/>
      <c r="F2" s="2"/>
      <c r="G2" s="2"/>
    </row>
    <row r="3" spans="1:8" ht="12.75" customHeight="1" x14ac:dyDescent="0.25">
      <c r="A3" s="83"/>
      <c r="B3" s="2"/>
      <c r="C3" s="2"/>
      <c r="D3" s="2"/>
      <c r="E3" s="2"/>
      <c r="F3" s="2"/>
      <c r="G3" s="2"/>
    </row>
    <row r="4" spans="1:8" ht="12.75" customHeight="1" x14ac:dyDescent="0.3">
      <c r="A4" s="83"/>
      <c r="C4" s="67"/>
      <c r="D4" s="67" t="s">
        <v>88</v>
      </c>
      <c r="E4" s="67"/>
      <c r="F4" s="67"/>
      <c r="G4" s="67"/>
      <c r="H4" s="67"/>
    </row>
    <row r="5" spans="1:8" ht="12.75" customHeight="1" x14ac:dyDescent="0.3">
      <c r="A5" s="83"/>
      <c r="B5" s="68"/>
      <c r="C5" s="67"/>
      <c r="D5" s="67"/>
      <c r="E5" s="67"/>
      <c r="F5" s="67"/>
      <c r="G5" s="67"/>
      <c r="H5" s="67"/>
    </row>
    <row r="6" spans="1:8" ht="12.75" customHeight="1" x14ac:dyDescent="0.3">
      <c r="A6" s="83"/>
      <c r="B6" s="66"/>
      <c r="C6" s="66"/>
      <c r="D6" s="66"/>
      <c r="E6" s="66"/>
      <c r="F6" s="66"/>
      <c r="G6" s="66"/>
      <c r="H6" s="66"/>
    </row>
    <row r="7" spans="1:8" ht="12.75" customHeight="1" x14ac:dyDescent="0.3">
      <c r="A7" s="83"/>
      <c r="B7" s="66"/>
      <c r="C7" s="66"/>
      <c r="D7" s="66"/>
      <c r="E7" s="66"/>
      <c r="F7" s="66"/>
      <c r="G7" s="66"/>
      <c r="H7" s="66"/>
    </row>
    <row r="8" spans="1:8" ht="12.75" customHeight="1" x14ac:dyDescent="0.3">
      <c r="A8" s="84" t="s">
        <v>114</v>
      </c>
      <c r="B8" s="66" t="s">
        <v>89</v>
      </c>
      <c r="C8" s="66"/>
      <c r="D8" s="66"/>
      <c r="E8" s="66"/>
      <c r="F8" s="66"/>
      <c r="G8" s="66"/>
      <c r="H8" s="69">
        <v>2</v>
      </c>
    </row>
    <row r="9" spans="1:8" ht="12.75" customHeight="1" x14ac:dyDescent="0.3">
      <c r="B9" s="66"/>
      <c r="C9" s="66"/>
      <c r="D9" s="66"/>
      <c r="E9" s="66"/>
      <c r="F9" s="66"/>
      <c r="G9" s="66"/>
      <c r="H9" s="69"/>
    </row>
    <row r="10" spans="1:8" ht="12.75" customHeight="1" x14ac:dyDescent="0.3">
      <c r="B10" s="66" t="s">
        <v>90</v>
      </c>
      <c r="C10" s="66"/>
      <c r="D10" s="66"/>
      <c r="E10" s="66"/>
      <c r="F10" s="66"/>
      <c r="G10" s="66"/>
      <c r="H10" s="69"/>
    </row>
    <row r="11" spans="1:8" ht="12.75" customHeight="1" x14ac:dyDescent="0.3">
      <c r="A11" s="84" t="s">
        <v>115</v>
      </c>
      <c r="B11" s="66" t="str">
        <f>+'Tab2'!A6&amp;" ……………………………………………"</f>
        <v>Figur 1. Antall meldte skader etter bransjer  ……………………………………………</v>
      </c>
      <c r="C11" s="66"/>
      <c r="D11" s="66"/>
      <c r="E11" s="66"/>
      <c r="F11" s="66"/>
      <c r="G11" s="66"/>
      <c r="H11" s="69">
        <v>4</v>
      </c>
    </row>
    <row r="12" spans="1:8" ht="12.75" customHeight="1" x14ac:dyDescent="0.3">
      <c r="B12" s="66" t="str">
        <f>+'Tab2'!A32&amp;" ……………………………"</f>
        <v>Figur 2. Antall meldte skader etter bransjer  ……………………………</v>
      </c>
      <c r="C12" s="66"/>
      <c r="D12" s="66"/>
      <c r="E12" s="66"/>
      <c r="F12" s="66"/>
      <c r="G12" s="66"/>
      <c r="H12" s="69">
        <v>4</v>
      </c>
    </row>
    <row r="13" spans="1:8" ht="12.75" customHeight="1" x14ac:dyDescent="0.3">
      <c r="B13" s="66" t="str">
        <f>+'Tab2'!I6&amp;"  ………………………………………………………………………………………………….."</f>
        <v>Figur 3. Anslått erstatning etter bransje, pr.   …………………………………………………………………………………………………..</v>
      </c>
      <c r="C13" s="66"/>
      <c r="D13" s="66"/>
      <c r="E13" s="66"/>
      <c r="F13" s="66"/>
      <c r="G13" s="66"/>
      <c r="H13" s="69">
        <v>5</v>
      </c>
    </row>
    <row r="14" spans="1:8" ht="12.75" customHeight="1" x14ac:dyDescent="0.3">
      <c r="B14" s="66" t="str">
        <f>+'Tab2'!I32&amp;"  ………………………………………………………………………………………………….."</f>
        <v>Figur 4. Vannskader pr. kvartal  …………………………………………………………………………………………………..</v>
      </c>
      <c r="C14" s="66"/>
      <c r="D14" s="66"/>
      <c r="E14" s="66"/>
      <c r="F14" s="66"/>
      <c r="G14" s="66"/>
      <c r="H14" s="69">
        <v>5</v>
      </c>
    </row>
    <row r="15" spans="1:8" ht="12.75" customHeight="1" x14ac:dyDescent="0.3">
      <c r="B15" s="66" t="str">
        <f>+'Tab2'!P6&amp;" ……………………………"</f>
        <v>Figur 5. Antall meldte skader i motorvogn kvartalsvis (i 1000) ……………………………</v>
      </c>
      <c r="C15" s="66"/>
      <c r="D15" s="66"/>
      <c r="E15" s="66"/>
      <c r="F15" s="66"/>
      <c r="G15" s="66"/>
      <c r="H15" s="69">
        <v>6</v>
      </c>
    </row>
    <row r="16" spans="1:8" ht="12.75" customHeight="1" x14ac:dyDescent="0.3">
      <c r="B16" s="66" t="str">
        <f>+'Tab2'!P32&amp;" ……………………………"</f>
        <v>Figur 6. Anslått erstatning etter skadetype, motorvogn  2026 ……………………………</v>
      </c>
      <c r="C16" s="66"/>
      <c r="D16" s="66"/>
      <c r="E16" s="66"/>
      <c r="F16" s="66"/>
      <c r="G16" s="66"/>
      <c r="H16" s="69">
        <v>6</v>
      </c>
    </row>
    <row r="17" spans="1:14" ht="12.75" customHeight="1" x14ac:dyDescent="0.3">
      <c r="B17" s="66" t="str">
        <f>+'Tab2'!W6&amp;" ……………………………………………………………"</f>
        <v>Figur 7. Antall meldte skader i de Brann-kombinerte bransjer etter skadetype  ……………………………………………………………</v>
      </c>
      <c r="C17" s="66"/>
      <c r="D17" s="66"/>
      <c r="E17" s="66"/>
      <c r="F17" s="66"/>
      <c r="G17" s="66"/>
      <c r="H17" s="69">
        <v>7</v>
      </c>
    </row>
    <row r="18" spans="1:14" ht="12.75" customHeight="1" x14ac:dyDescent="0.3">
      <c r="B18" s="66" t="str">
        <f>+'Tab2'!W32&amp;" ……………………………………………………………"</f>
        <v>Figur 8. Anslått erstatning i de Brann-kombinerte bransjer etter skadetype  ……………………………………………………………</v>
      </c>
      <c r="C18" s="66"/>
      <c r="D18" s="66"/>
      <c r="E18" s="66"/>
      <c r="F18" s="66"/>
      <c r="G18" s="66"/>
      <c r="H18" s="69">
        <v>7</v>
      </c>
    </row>
    <row r="19" spans="1:14" ht="12.75" customHeight="1" x14ac:dyDescent="0.3">
      <c r="B19" s="66" t="str">
        <f>+'Tab2'!AD6&amp;"  ………………………………………………………………………………………………….."</f>
        <v>Figur 9. Brannskader pr. kvartal  …………………………………………………………………………………………………..</v>
      </c>
      <c r="C19" s="66"/>
      <c r="D19" s="66"/>
      <c r="E19" s="66"/>
      <c r="F19" s="66"/>
      <c r="G19" s="66"/>
      <c r="H19" s="69">
        <v>8</v>
      </c>
    </row>
    <row r="20" spans="1:14" ht="12.75" customHeight="1" x14ac:dyDescent="0.3">
      <c r="B20" s="66" t="str">
        <f>+'Tab2'!AD32&amp;"  ………………………………………………………………………………………………….."</f>
        <v>Figur 10. Innbrudd, tyverier og ran pr. kvartal  …………………………………………………………………………………………………..</v>
      </c>
      <c r="C20" s="66"/>
      <c r="D20" s="66"/>
      <c r="E20" s="66"/>
      <c r="F20" s="66"/>
      <c r="G20" s="66"/>
      <c r="H20" s="69">
        <v>8</v>
      </c>
    </row>
    <row r="22" spans="1:14" ht="12.75" customHeight="1" x14ac:dyDescent="0.3">
      <c r="B22" s="66" t="s">
        <v>91</v>
      </c>
      <c r="C22" s="66"/>
      <c r="D22" s="66"/>
      <c r="E22" s="66"/>
      <c r="F22" s="66"/>
      <c r="G22" s="66"/>
      <c r="H22" s="69"/>
    </row>
    <row r="23" spans="1:14" ht="12.75" customHeight="1" x14ac:dyDescent="0.3">
      <c r="A23" s="84" t="s">
        <v>116</v>
      </c>
      <c r="B23" s="66" t="s">
        <v>131</v>
      </c>
      <c r="C23" s="66"/>
      <c r="D23" s="66"/>
      <c r="E23" s="66"/>
      <c r="F23" s="66"/>
      <c r="G23" s="66"/>
      <c r="H23" s="69">
        <v>9</v>
      </c>
    </row>
    <row r="24" spans="1:14" ht="12.75" customHeight="1" x14ac:dyDescent="0.3">
      <c r="A24" s="84" t="s">
        <v>117</v>
      </c>
      <c r="B24" s="66" t="s">
        <v>93</v>
      </c>
      <c r="C24" s="66"/>
      <c r="D24" s="66"/>
      <c r="E24" s="66"/>
      <c r="F24" s="66"/>
      <c r="G24" s="66"/>
      <c r="H24" s="69">
        <f>H23+1</f>
        <v>10</v>
      </c>
    </row>
    <row r="25" spans="1:14" ht="12.75" customHeight="1" x14ac:dyDescent="0.3">
      <c r="B25" s="66"/>
      <c r="C25" s="66"/>
      <c r="D25" s="66"/>
      <c r="E25" s="66"/>
      <c r="F25" s="66"/>
      <c r="G25" s="66"/>
      <c r="H25" s="69"/>
    </row>
    <row r="26" spans="1:14" ht="12.75" customHeight="1" x14ac:dyDescent="0.3">
      <c r="A26" s="84" t="s">
        <v>118</v>
      </c>
      <c r="B26" s="66" t="s">
        <v>132</v>
      </c>
      <c r="C26" s="66"/>
      <c r="D26" s="66"/>
      <c r="E26" s="66"/>
      <c r="F26" s="66"/>
      <c r="G26" s="66"/>
      <c r="H26" s="69">
        <f>+H24+1</f>
        <v>11</v>
      </c>
    </row>
    <row r="27" spans="1:14" ht="12.75" customHeight="1" x14ac:dyDescent="0.3">
      <c r="B27" s="66" t="s">
        <v>94</v>
      </c>
      <c r="C27" s="66"/>
      <c r="D27" s="66"/>
      <c r="E27" s="66"/>
      <c r="F27" s="66"/>
      <c r="G27" s="66"/>
      <c r="H27" s="69">
        <f>+H26</f>
        <v>11</v>
      </c>
      <c r="N27" s="70"/>
    </row>
    <row r="28" spans="1:14" ht="12.75" customHeight="1" x14ac:dyDescent="0.3">
      <c r="A28" s="84" t="s">
        <v>119</v>
      </c>
      <c r="B28" s="66" t="s">
        <v>133</v>
      </c>
      <c r="C28" s="66"/>
      <c r="D28" s="66"/>
      <c r="E28" s="66"/>
      <c r="F28" s="66"/>
      <c r="G28" s="66"/>
      <c r="H28" s="69">
        <f>+H26+1</f>
        <v>12</v>
      </c>
      <c r="N28" s="70"/>
    </row>
    <row r="29" spans="1:14" ht="12.75" customHeight="1" x14ac:dyDescent="0.3">
      <c r="B29" s="66" t="s">
        <v>95</v>
      </c>
      <c r="C29" s="66"/>
      <c r="D29" s="66"/>
      <c r="E29" s="66"/>
      <c r="F29" s="66"/>
      <c r="G29" s="66"/>
      <c r="H29" s="69">
        <f>+H28</f>
        <v>12</v>
      </c>
      <c r="N29" s="70"/>
    </row>
    <row r="30" spans="1:14" ht="12.75" customHeight="1" x14ac:dyDescent="0.3">
      <c r="B30" s="66"/>
      <c r="C30" s="66"/>
      <c r="D30" s="66"/>
      <c r="E30" s="66"/>
      <c r="F30" s="66"/>
      <c r="G30" s="66"/>
      <c r="H30" s="69"/>
      <c r="N30" s="70"/>
    </row>
    <row r="31" spans="1:14" ht="12.75" customHeight="1" x14ac:dyDescent="0.3">
      <c r="A31" s="84" t="s">
        <v>120</v>
      </c>
      <c r="B31" s="66" t="s">
        <v>134</v>
      </c>
      <c r="C31" s="66"/>
      <c r="D31" s="66"/>
      <c r="E31" s="66"/>
      <c r="F31" s="66"/>
      <c r="G31" s="66"/>
      <c r="H31" s="69">
        <f>+H29+1</f>
        <v>13</v>
      </c>
      <c r="N31" s="70"/>
    </row>
    <row r="32" spans="1:14" ht="12.75" customHeight="1" x14ac:dyDescent="0.3">
      <c r="B32" s="66" t="s">
        <v>96</v>
      </c>
      <c r="C32" s="66"/>
      <c r="D32" s="66"/>
      <c r="E32" s="66"/>
      <c r="F32" s="66"/>
      <c r="G32" s="66"/>
      <c r="H32" s="69">
        <f>+H31</f>
        <v>13</v>
      </c>
      <c r="N32" s="70"/>
    </row>
    <row r="33" spans="1:14" ht="12.75" customHeight="1" x14ac:dyDescent="0.3">
      <c r="A33" s="84" t="s">
        <v>121</v>
      </c>
      <c r="B33" s="66" t="s">
        <v>135</v>
      </c>
      <c r="C33" s="66"/>
      <c r="D33" s="66"/>
      <c r="E33" s="66"/>
      <c r="F33" s="66"/>
      <c r="G33" s="66"/>
      <c r="H33" s="69">
        <f>+H31+1</f>
        <v>14</v>
      </c>
      <c r="N33" s="70"/>
    </row>
    <row r="34" spans="1:14" ht="12.75" customHeight="1" x14ac:dyDescent="0.3">
      <c r="B34" s="66" t="s">
        <v>97</v>
      </c>
      <c r="C34" s="66"/>
      <c r="D34" s="66"/>
      <c r="E34" s="66"/>
      <c r="F34" s="66"/>
      <c r="G34" s="66"/>
      <c r="H34" s="69">
        <f>+H33</f>
        <v>14</v>
      </c>
      <c r="N34" s="70"/>
    </row>
    <row r="35" spans="1:14" ht="12.75" customHeight="1" x14ac:dyDescent="0.3">
      <c r="A35" s="84" t="s">
        <v>122</v>
      </c>
      <c r="B35" s="66" t="s">
        <v>136</v>
      </c>
      <c r="C35" s="66"/>
      <c r="D35" s="66"/>
      <c r="E35" s="66"/>
      <c r="F35" s="66"/>
      <c r="G35" s="66"/>
      <c r="H35" s="69">
        <f>+H34+1</f>
        <v>15</v>
      </c>
      <c r="N35" s="70"/>
    </row>
    <row r="36" spans="1:14" ht="12.75" customHeight="1" x14ac:dyDescent="0.3">
      <c r="B36" s="66" t="s">
        <v>100</v>
      </c>
      <c r="C36" s="66"/>
      <c r="D36" s="66"/>
      <c r="E36" s="66"/>
      <c r="F36" s="66"/>
      <c r="G36" s="66"/>
      <c r="H36" s="69">
        <f>+H35</f>
        <v>15</v>
      </c>
      <c r="N36" s="70"/>
    </row>
    <row r="37" spans="1:14" ht="12.75" customHeight="1" x14ac:dyDescent="0.3">
      <c r="A37" s="84" t="s">
        <v>123</v>
      </c>
      <c r="B37" s="66" t="s">
        <v>137</v>
      </c>
      <c r="C37" s="66"/>
      <c r="D37" s="66"/>
      <c r="E37" s="66"/>
      <c r="F37" s="66"/>
      <c r="G37" s="66"/>
      <c r="H37" s="69">
        <f>+H36+1</f>
        <v>16</v>
      </c>
      <c r="N37" s="70"/>
    </row>
    <row r="38" spans="1:14" ht="12.75" customHeight="1" x14ac:dyDescent="0.3">
      <c r="B38" s="66" t="s">
        <v>101</v>
      </c>
      <c r="C38" s="66"/>
      <c r="D38" s="66"/>
      <c r="E38" s="66"/>
      <c r="F38" s="66"/>
      <c r="G38" s="66"/>
      <c r="H38" s="69">
        <f>+H37</f>
        <v>16</v>
      </c>
      <c r="N38" s="70"/>
    </row>
    <row r="39" spans="1:14" ht="12.75" customHeight="1" x14ac:dyDescent="0.3">
      <c r="B39" s="66"/>
      <c r="C39" s="66"/>
      <c r="D39" s="66"/>
      <c r="E39" s="66"/>
      <c r="F39" s="66"/>
      <c r="G39" s="66"/>
      <c r="H39" s="69"/>
      <c r="N39" s="70"/>
    </row>
    <row r="40" spans="1:14" ht="12.75" customHeight="1" x14ac:dyDescent="0.3">
      <c r="A40" s="84" t="s">
        <v>124</v>
      </c>
      <c r="B40" s="66" t="s">
        <v>166</v>
      </c>
      <c r="C40" s="66"/>
      <c r="D40" s="66"/>
      <c r="E40" s="66"/>
      <c r="F40" s="66"/>
      <c r="G40" s="66"/>
      <c r="H40" s="69">
        <f>+H38+1</f>
        <v>17</v>
      </c>
      <c r="N40" s="70"/>
    </row>
    <row r="41" spans="1:14" ht="12.75" customHeight="1" x14ac:dyDescent="0.3">
      <c r="B41" s="66" t="s">
        <v>167</v>
      </c>
      <c r="C41" s="66"/>
      <c r="D41" s="66"/>
      <c r="E41" s="66"/>
      <c r="F41" s="66"/>
      <c r="G41" s="66"/>
      <c r="H41" s="69">
        <f>+H40</f>
        <v>17</v>
      </c>
      <c r="N41" s="70"/>
    </row>
    <row r="42" spans="1:14" ht="12.75" customHeight="1" x14ac:dyDescent="0.3">
      <c r="B42" s="66"/>
      <c r="C42" s="66"/>
      <c r="D42" s="66"/>
      <c r="E42" s="66"/>
      <c r="F42" s="66"/>
      <c r="G42" s="66"/>
      <c r="H42" s="69"/>
      <c r="N42" s="70"/>
    </row>
    <row r="43" spans="1:14" ht="12.75" customHeight="1" x14ac:dyDescent="0.3">
      <c r="A43" s="84" t="s">
        <v>172</v>
      </c>
      <c r="B43" s="66" t="s">
        <v>138</v>
      </c>
      <c r="H43" s="69">
        <f>+H40+1</f>
        <v>18</v>
      </c>
      <c r="N43" s="70"/>
    </row>
    <row r="44" spans="1:14" ht="12.75" customHeight="1" x14ac:dyDescent="0.3">
      <c r="B44" s="66" t="s">
        <v>104</v>
      </c>
      <c r="H44" s="69">
        <f>+H43</f>
        <v>18</v>
      </c>
      <c r="N44" s="70"/>
    </row>
    <row r="45" spans="1:14" ht="12.75" customHeight="1" x14ac:dyDescent="0.3">
      <c r="A45" s="84" t="s">
        <v>125</v>
      </c>
      <c r="B45" s="66" t="s">
        <v>139</v>
      </c>
      <c r="H45" s="69">
        <f>+H43+1</f>
        <v>19</v>
      </c>
      <c r="N45" s="70"/>
    </row>
    <row r="46" spans="1:14" ht="12.75" customHeight="1" x14ac:dyDescent="0.3">
      <c r="B46" s="66" t="s">
        <v>102</v>
      </c>
      <c r="H46" s="69">
        <f>+H45</f>
        <v>19</v>
      </c>
      <c r="N46" s="70"/>
    </row>
    <row r="47" spans="1:14" ht="12.75" customHeight="1" x14ac:dyDescent="0.3">
      <c r="A47" s="84" t="s">
        <v>126</v>
      </c>
      <c r="B47" s="66" t="s">
        <v>140</v>
      </c>
      <c r="H47" s="69">
        <f>+H46+1</f>
        <v>20</v>
      </c>
      <c r="N47" s="70"/>
    </row>
    <row r="48" spans="1:14" ht="12.75" customHeight="1" x14ac:dyDescent="0.3">
      <c r="B48" s="66" t="s">
        <v>103</v>
      </c>
      <c r="H48" s="69">
        <f>H47</f>
        <v>20</v>
      </c>
      <c r="N48" s="70"/>
    </row>
    <row r="49" spans="1:14" ht="12.75" customHeight="1" x14ac:dyDescent="0.3">
      <c r="A49" s="84"/>
      <c r="B49" s="66"/>
      <c r="C49" s="66"/>
      <c r="D49" s="66"/>
      <c r="E49" s="66"/>
      <c r="F49" s="66"/>
      <c r="G49" s="66"/>
      <c r="H49" s="69"/>
      <c r="N49" s="70"/>
    </row>
    <row r="50" spans="1:14" ht="12.75" customHeight="1" x14ac:dyDescent="0.3">
      <c r="A50" s="84"/>
      <c r="B50" s="66"/>
      <c r="C50" s="66"/>
      <c r="D50" s="66"/>
      <c r="E50" s="66"/>
      <c r="F50" s="66"/>
      <c r="G50" s="66"/>
      <c r="H50" s="69"/>
      <c r="N50" s="70"/>
    </row>
    <row r="51" spans="1:14" ht="12.75" customHeight="1" x14ac:dyDescent="0.3">
      <c r="A51" s="84"/>
      <c r="B51" s="66"/>
      <c r="C51" s="66"/>
      <c r="D51" s="66"/>
      <c r="E51" s="66"/>
      <c r="F51" s="66"/>
      <c r="G51" s="66"/>
      <c r="H51" s="69"/>
      <c r="N51" s="70"/>
    </row>
    <row r="52" spans="1:14" ht="12.75" customHeight="1" x14ac:dyDescent="0.3">
      <c r="A52" s="84"/>
      <c r="B52" s="66"/>
      <c r="C52" s="66"/>
      <c r="D52" s="66"/>
      <c r="E52" s="66"/>
      <c r="F52" s="66"/>
      <c r="G52" s="66"/>
      <c r="H52" s="69"/>
      <c r="N52" s="70"/>
    </row>
    <row r="53" spans="1:14" ht="12.75" customHeight="1" x14ac:dyDescent="0.3">
      <c r="A53" s="84"/>
      <c r="B53" s="66"/>
      <c r="C53" s="66"/>
      <c r="D53" s="66"/>
      <c r="E53" s="66"/>
      <c r="F53" s="66"/>
      <c r="G53" s="66"/>
      <c r="H53" s="69"/>
      <c r="N53" s="70"/>
    </row>
    <row r="54" spans="1:14" ht="12.75" customHeight="1" x14ac:dyDescent="0.3">
      <c r="A54" s="84"/>
      <c r="B54" s="66"/>
      <c r="C54" s="66"/>
      <c r="D54" s="66"/>
      <c r="E54" s="66"/>
      <c r="F54" s="66"/>
      <c r="G54" s="66"/>
      <c r="H54" s="69"/>
      <c r="N54" s="70"/>
    </row>
    <row r="55" spans="1:14" ht="12.75" customHeight="1" x14ac:dyDescent="0.3">
      <c r="A55" s="84"/>
      <c r="B55" s="66"/>
      <c r="C55" s="66"/>
      <c r="D55" s="66"/>
      <c r="E55" s="66"/>
      <c r="F55" s="66"/>
      <c r="G55" s="66"/>
      <c r="H55" s="69"/>
      <c r="N55" s="70"/>
    </row>
    <row r="56" spans="1:14" ht="12.75" customHeight="1" x14ac:dyDescent="0.3">
      <c r="A56" s="84"/>
      <c r="B56" s="66"/>
      <c r="C56" s="66"/>
      <c r="D56" s="66"/>
      <c r="E56" s="66"/>
      <c r="F56" s="66"/>
      <c r="G56" s="66"/>
      <c r="H56" s="69"/>
      <c r="N56" s="70"/>
    </row>
    <row r="57" spans="1:14" ht="12.75" customHeight="1" x14ac:dyDescent="0.3">
      <c r="A57" s="84"/>
      <c r="B57" s="66"/>
      <c r="C57" s="66"/>
      <c r="D57" s="66"/>
      <c r="E57" s="66"/>
      <c r="F57" s="66"/>
      <c r="G57" s="66"/>
      <c r="H57" s="69"/>
      <c r="N57" s="70"/>
    </row>
    <row r="58" spans="1:14" ht="12.75" customHeight="1" x14ac:dyDescent="0.3">
      <c r="B58" s="66"/>
      <c r="C58" s="66"/>
      <c r="D58" s="66"/>
      <c r="E58" s="66"/>
      <c r="F58" s="66"/>
      <c r="G58" s="66"/>
      <c r="H58" s="69"/>
      <c r="N58" s="70"/>
    </row>
    <row r="59" spans="1:14" ht="12.75" customHeight="1" x14ac:dyDescent="0.25">
      <c r="B59" s="47"/>
      <c r="C59" s="48"/>
      <c r="D59" s="48"/>
      <c r="E59" s="90"/>
      <c r="F59" s="48"/>
      <c r="G59" s="49"/>
      <c r="H59" s="49"/>
      <c r="N59" s="70"/>
    </row>
    <row r="60" spans="1:14" ht="12.75" customHeight="1" x14ac:dyDescent="0.25">
      <c r="B60" s="50"/>
      <c r="C60" s="50"/>
      <c r="D60" s="50"/>
      <c r="E60" s="50"/>
      <c r="F60" s="50"/>
      <c r="G60" s="50"/>
      <c r="H60" s="50"/>
      <c r="I60" s="70"/>
    </row>
    <row r="61" spans="1:14" ht="12.75" customHeight="1" x14ac:dyDescent="0.25">
      <c r="B61" s="52" t="str">
        <f>+B123</f>
        <v>Finans Norge / Skadeforsikringsstatistikk</v>
      </c>
      <c r="H61" s="187">
        <v>1</v>
      </c>
      <c r="I61" s="70"/>
    </row>
    <row r="62" spans="1:14" ht="12.75" customHeight="1" x14ac:dyDescent="0.25">
      <c r="B62" s="52" t="str">
        <f>+B124</f>
        <v>Skadestatistikk for landbasert forsikring 1. kvartal 2026</v>
      </c>
      <c r="H62" s="188"/>
      <c r="I62" s="70"/>
    </row>
    <row r="63" spans="1:14" ht="12.75" customHeight="1" x14ac:dyDescent="0.25">
      <c r="I63" s="70"/>
    </row>
    <row r="64" spans="1:14" ht="12.75" customHeight="1" x14ac:dyDescent="0.25">
      <c r="I64" s="70"/>
    </row>
    <row r="66" spans="1:13" ht="12.75" customHeight="1" x14ac:dyDescent="0.3">
      <c r="A66" s="84" t="s">
        <v>127</v>
      </c>
      <c r="B66" s="66" t="s">
        <v>218</v>
      </c>
      <c r="H66" s="69">
        <f>H48+1</f>
        <v>21</v>
      </c>
    </row>
    <row r="67" spans="1:13" ht="12.75" customHeight="1" x14ac:dyDescent="0.3">
      <c r="B67" s="66" t="s">
        <v>219</v>
      </c>
      <c r="H67" s="69">
        <f>H66</f>
        <v>21</v>
      </c>
    </row>
    <row r="68" spans="1:13" ht="12.75" customHeight="1" x14ac:dyDescent="0.3">
      <c r="A68" s="84" t="s">
        <v>128</v>
      </c>
      <c r="B68" s="66" t="s">
        <v>220</v>
      </c>
      <c r="H68" s="69">
        <f>H67+1</f>
        <v>22</v>
      </c>
    </row>
    <row r="69" spans="1:13" ht="12.75" customHeight="1" x14ac:dyDescent="0.3">
      <c r="B69" s="66" t="s">
        <v>221</v>
      </c>
      <c r="H69" s="69">
        <f>H68</f>
        <v>22</v>
      </c>
    </row>
    <row r="70" spans="1:13" ht="12.75" customHeight="1" x14ac:dyDescent="0.3">
      <c r="A70" s="84" t="s">
        <v>129</v>
      </c>
      <c r="B70" s="66" t="s">
        <v>222</v>
      </c>
      <c r="H70" s="69">
        <f>H69+1</f>
        <v>23</v>
      </c>
      <c r="J70"/>
      <c r="K70"/>
      <c r="L70"/>
      <c r="M70"/>
    </row>
    <row r="71" spans="1:13" ht="12.75" customHeight="1" x14ac:dyDescent="0.3">
      <c r="B71" s="66" t="s">
        <v>223</v>
      </c>
      <c r="H71" s="69">
        <f>H70</f>
        <v>23</v>
      </c>
      <c r="J71"/>
      <c r="K71" s="64"/>
      <c r="L71" s="65"/>
      <c r="M71" s="65"/>
    </row>
    <row r="72" spans="1:13" ht="12.75" customHeight="1" x14ac:dyDescent="0.25">
      <c r="J72"/>
      <c r="K72" s="63"/>
      <c r="L72"/>
      <c r="M72"/>
    </row>
    <row r="73" spans="1:13" ht="12.75" customHeight="1" x14ac:dyDescent="0.3">
      <c r="A73" s="84" t="s">
        <v>130</v>
      </c>
      <c r="B73" s="66" t="s">
        <v>141</v>
      </c>
      <c r="C73" s="66"/>
      <c r="D73" s="66"/>
      <c r="E73" s="66"/>
      <c r="F73" s="66"/>
      <c r="G73" s="66"/>
      <c r="H73" s="69">
        <f>+H71+1</f>
        <v>24</v>
      </c>
      <c r="J73"/>
      <c r="K73" s="62"/>
      <c r="L73" s="62"/>
      <c r="M73" s="62"/>
    </row>
    <row r="74" spans="1:13" ht="12.75" customHeight="1" x14ac:dyDescent="0.3">
      <c r="B74" s="66" t="s">
        <v>107</v>
      </c>
      <c r="C74" s="66"/>
      <c r="D74" s="66"/>
      <c r="E74" s="66"/>
      <c r="F74" s="66"/>
      <c r="G74" s="66"/>
      <c r="H74" s="69">
        <f>+H73</f>
        <v>24</v>
      </c>
      <c r="J74"/>
      <c r="K74" s="62"/>
      <c r="L74" s="62"/>
      <c r="M74" s="62"/>
    </row>
    <row r="75" spans="1:13" ht="12.75" customHeight="1" x14ac:dyDescent="0.3">
      <c r="A75" s="84" t="s">
        <v>224</v>
      </c>
      <c r="B75" s="66" t="s">
        <v>142</v>
      </c>
      <c r="C75" s="66"/>
      <c r="D75" s="66"/>
      <c r="E75" s="66"/>
      <c r="F75" s="66"/>
      <c r="G75" s="66"/>
      <c r="H75" s="69">
        <f>+H74+1</f>
        <v>25</v>
      </c>
      <c r="J75"/>
      <c r="K75" s="62"/>
      <c r="L75" s="62"/>
      <c r="M75" s="62"/>
    </row>
    <row r="76" spans="1:13" ht="12.75" customHeight="1" x14ac:dyDescent="0.3">
      <c r="B76" s="66" t="s">
        <v>105</v>
      </c>
      <c r="C76" s="66"/>
      <c r="D76" s="66"/>
      <c r="E76" s="66"/>
      <c r="F76" s="66"/>
      <c r="G76" s="66"/>
      <c r="H76" s="69">
        <f>+H75</f>
        <v>25</v>
      </c>
      <c r="J76"/>
      <c r="K76" s="62"/>
      <c r="L76" s="62"/>
      <c r="M76" s="62"/>
    </row>
    <row r="77" spans="1:13" ht="12.75" customHeight="1" x14ac:dyDescent="0.3">
      <c r="A77" s="84" t="s">
        <v>225</v>
      </c>
      <c r="B77" s="66" t="s">
        <v>143</v>
      </c>
      <c r="C77" s="66"/>
      <c r="D77" s="66"/>
      <c r="E77" s="66"/>
      <c r="F77" s="66"/>
      <c r="G77" s="66"/>
      <c r="H77" s="69">
        <f>+H76+1</f>
        <v>26</v>
      </c>
      <c r="J77"/>
      <c r="K77"/>
      <c r="L77"/>
      <c r="M77"/>
    </row>
    <row r="78" spans="1:13" ht="12.75" customHeight="1" x14ac:dyDescent="0.3">
      <c r="B78" s="66" t="s">
        <v>106</v>
      </c>
      <c r="C78" s="66"/>
      <c r="D78" s="66"/>
      <c r="E78" s="66"/>
      <c r="F78" s="66"/>
      <c r="G78" s="66"/>
      <c r="H78" s="69">
        <f>+H77</f>
        <v>26</v>
      </c>
      <c r="J78"/>
      <c r="K78"/>
      <c r="L78"/>
      <c r="M78"/>
    </row>
    <row r="79" spans="1:13" ht="12.75" customHeight="1" x14ac:dyDescent="0.25">
      <c r="B79"/>
      <c r="C79"/>
      <c r="D79"/>
      <c r="E79"/>
      <c r="F79"/>
      <c r="G79"/>
      <c r="I79"/>
      <c r="J79"/>
      <c r="K79"/>
      <c r="L79"/>
      <c r="M79"/>
    </row>
    <row r="80" spans="1:13" ht="12.75" customHeight="1" x14ac:dyDescent="0.3">
      <c r="A80" s="84" t="s">
        <v>226</v>
      </c>
      <c r="B80" s="66" t="s">
        <v>92</v>
      </c>
      <c r="C80" s="66"/>
      <c r="D80" s="66"/>
      <c r="E80" s="66"/>
      <c r="F80" s="66"/>
      <c r="G80" s="66"/>
      <c r="H80" s="69">
        <f>+H78+1</f>
        <v>27</v>
      </c>
      <c r="I80"/>
      <c r="J80"/>
      <c r="K80"/>
      <c r="L80"/>
      <c r="M80"/>
    </row>
    <row r="81" spans="2:13" ht="12.75" customHeight="1" x14ac:dyDescent="0.25">
      <c r="C81"/>
      <c r="D81"/>
      <c r="E81"/>
      <c r="F81"/>
      <c r="G81"/>
      <c r="I81" s="61"/>
      <c r="J81"/>
      <c r="K81"/>
      <c r="L81"/>
      <c r="M81"/>
    </row>
    <row r="82" spans="2:13" ht="12.75" customHeight="1" x14ac:dyDescent="0.25">
      <c r="C82"/>
      <c r="D82"/>
      <c r="E82"/>
      <c r="F82"/>
      <c r="G82"/>
      <c r="I82" s="61"/>
      <c r="J82"/>
      <c r="K82"/>
      <c r="L82"/>
      <c r="M82"/>
    </row>
    <row r="83" spans="2:13" ht="12.75" customHeight="1" x14ac:dyDescent="0.25">
      <c r="C83"/>
      <c r="D83"/>
      <c r="E83"/>
      <c r="F83"/>
      <c r="G83"/>
      <c r="I83" s="61"/>
      <c r="J83"/>
      <c r="K83"/>
      <c r="L83"/>
      <c r="M83"/>
    </row>
    <row r="84" spans="2:13" ht="12.75" customHeight="1" x14ac:dyDescent="0.25">
      <c r="C84"/>
      <c r="D84"/>
      <c r="E84"/>
      <c r="F84"/>
      <c r="G84"/>
      <c r="I84" s="61"/>
      <c r="J84"/>
      <c r="K84"/>
      <c r="L84"/>
      <c r="M84"/>
    </row>
    <row r="85" spans="2:13" ht="12.75" customHeight="1" x14ac:dyDescent="0.25">
      <c r="C85"/>
      <c r="D85"/>
      <c r="E85"/>
      <c r="F85"/>
      <c r="G85"/>
      <c r="I85" s="61"/>
      <c r="J85"/>
      <c r="K85"/>
      <c r="L85"/>
      <c r="M85"/>
    </row>
    <row r="86" spans="2:13" ht="12.75" customHeight="1" x14ac:dyDescent="0.25">
      <c r="C86"/>
      <c r="D86"/>
      <c r="E86"/>
      <c r="F86"/>
      <c r="G86"/>
      <c r="I86" s="61"/>
      <c r="J86"/>
      <c r="K86"/>
      <c r="L86"/>
      <c r="M86"/>
    </row>
    <row r="87" spans="2:13" ht="12.75" customHeight="1" x14ac:dyDescent="0.25">
      <c r="C87"/>
      <c r="D87"/>
      <c r="E87"/>
      <c r="F87"/>
      <c r="G87"/>
      <c r="I87" s="61"/>
      <c r="J87"/>
      <c r="K87"/>
      <c r="L87"/>
      <c r="M87"/>
    </row>
    <row r="88" spans="2:13" ht="12.75" customHeight="1" x14ac:dyDescent="0.25">
      <c r="C88"/>
      <c r="D88"/>
      <c r="E88"/>
      <c r="F88"/>
      <c r="G88"/>
      <c r="I88" s="61"/>
      <c r="J88"/>
      <c r="K88"/>
      <c r="L88"/>
      <c r="M88"/>
    </row>
    <row r="89" spans="2:13" ht="12.75" customHeight="1" x14ac:dyDescent="0.25">
      <c r="C89"/>
      <c r="D89"/>
      <c r="E89"/>
      <c r="F89"/>
      <c r="G89"/>
      <c r="I89"/>
      <c r="J89"/>
      <c r="K89"/>
      <c r="L89"/>
      <c r="M89"/>
    </row>
    <row r="90" spans="2:13" ht="12.75" customHeight="1" x14ac:dyDescent="0.25">
      <c r="C90"/>
      <c r="D90"/>
      <c r="E90"/>
      <c r="F90"/>
      <c r="G90"/>
      <c r="I90"/>
      <c r="J90"/>
      <c r="K90"/>
      <c r="L90"/>
      <c r="M90"/>
    </row>
    <row r="91" spans="2:13" ht="12.75" customHeight="1" x14ac:dyDescent="0.3">
      <c r="B91" s="81"/>
      <c r="C91"/>
      <c r="D91"/>
      <c r="E91"/>
      <c r="F91"/>
      <c r="G91"/>
      <c r="I91"/>
      <c r="J91"/>
      <c r="K91"/>
      <c r="L91"/>
      <c r="M91"/>
    </row>
    <row r="92" spans="2:13" ht="12.75" customHeight="1" x14ac:dyDescent="0.25">
      <c r="C92"/>
      <c r="D92"/>
      <c r="E92"/>
      <c r="F92"/>
      <c r="G92"/>
      <c r="I92"/>
      <c r="J92"/>
      <c r="K92"/>
      <c r="L92"/>
      <c r="M92"/>
    </row>
    <row r="93" spans="2:13" ht="12.75" customHeight="1" x14ac:dyDescent="0.25">
      <c r="C93"/>
      <c r="D93"/>
      <c r="E93"/>
      <c r="F93"/>
      <c r="G93"/>
      <c r="I93"/>
      <c r="J93"/>
      <c r="K93"/>
      <c r="L93"/>
      <c r="M93"/>
    </row>
    <row r="94" spans="2:13" ht="12.75" customHeight="1" x14ac:dyDescent="0.25">
      <c r="B94"/>
      <c r="C94"/>
      <c r="D94"/>
      <c r="E94"/>
      <c r="F94"/>
      <c r="G94"/>
      <c r="I94"/>
      <c r="J94"/>
      <c r="K94"/>
      <c r="L94"/>
      <c r="M94"/>
    </row>
    <row r="95" spans="2:13" ht="12.75" customHeight="1" x14ac:dyDescent="0.25">
      <c r="B95"/>
      <c r="C95"/>
      <c r="D95"/>
      <c r="E95"/>
      <c r="F95"/>
      <c r="G95"/>
      <c r="I95"/>
      <c r="J95"/>
      <c r="K95"/>
      <c r="L95"/>
      <c r="M95"/>
    </row>
    <row r="96" spans="2:13" ht="12.75" customHeight="1" x14ac:dyDescent="0.25">
      <c r="C96"/>
      <c r="D96"/>
      <c r="E96"/>
      <c r="F96"/>
      <c r="G96"/>
      <c r="I96"/>
      <c r="J96"/>
      <c r="K96"/>
      <c r="L96"/>
      <c r="M96"/>
    </row>
    <row r="97" spans="2:13" ht="12.75" customHeight="1" x14ac:dyDescent="0.25">
      <c r="C97"/>
      <c r="D97"/>
      <c r="E97"/>
      <c r="F97"/>
      <c r="G97"/>
      <c r="I97"/>
      <c r="J97"/>
      <c r="K97"/>
      <c r="L97"/>
      <c r="M97"/>
    </row>
    <row r="98" spans="2:13" ht="12.75" customHeight="1" x14ac:dyDescent="0.25">
      <c r="B98"/>
      <c r="C98"/>
      <c r="D98"/>
      <c r="E98"/>
      <c r="F98"/>
      <c r="G98"/>
      <c r="I98"/>
      <c r="J98"/>
      <c r="K98"/>
      <c r="L98"/>
      <c r="M98"/>
    </row>
    <row r="99" spans="2:13" ht="12.75" customHeight="1" x14ac:dyDescent="0.25">
      <c r="C99"/>
      <c r="D99"/>
      <c r="E99"/>
      <c r="F99"/>
      <c r="G99"/>
      <c r="I99"/>
      <c r="J99"/>
      <c r="K99"/>
      <c r="L99"/>
      <c r="M99"/>
    </row>
    <row r="100" spans="2:13" ht="12.75" customHeight="1" x14ac:dyDescent="0.25">
      <c r="C100"/>
      <c r="D100"/>
      <c r="E100"/>
      <c r="F100"/>
      <c r="G100"/>
      <c r="I100"/>
      <c r="J100"/>
      <c r="K100"/>
      <c r="L100"/>
      <c r="M100"/>
    </row>
    <row r="101" spans="2:13" ht="12.75" customHeight="1" x14ac:dyDescent="0.25">
      <c r="B101"/>
      <c r="C101"/>
      <c r="D101"/>
      <c r="E101"/>
      <c r="F101"/>
      <c r="G101"/>
      <c r="I101"/>
      <c r="J101"/>
      <c r="K101"/>
      <c r="L101"/>
      <c r="M101"/>
    </row>
    <row r="102" spans="2:13" ht="12.75" customHeight="1" x14ac:dyDescent="0.25">
      <c r="B102"/>
      <c r="C102"/>
      <c r="D102"/>
      <c r="E102"/>
      <c r="F102"/>
      <c r="G102"/>
      <c r="I102"/>
      <c r="J102"/>
      <c r="K102"/>
      <c r="L102"/>
      <c r="M102"/>
    </row>
    <row r="103" spans="2:13" ht="12.75" customHeight="1" x14ac:dyDescent="0.25">
      <c r="B103"/>
      <c r="C103"/>
      <c r="D103"/>
      <c r="E103"/>
      <c r="F103"/>
      <c r="G103"/>
      <c r="I103"/>
      <c r="J103"/>
      <c r="K103"/>
      <c r="L103"/>
      <c r="M103"/>
    </row>
    <row r="104" spans="2:13" ht="12.75" customHeight="1" x14ac:dyDescent="0.25">
      <c r="B104"/>
      <c r="C104"/>
      <c r="D104"/>
      <c r="E104"/>
      <c r="F104"/>
      <c r="G104"/>
      <c r="I104"/>
      <c r="J104"/>
      <c r="K104"/>
      <c r="L104"/>
      <c r="M104"/>
    </row>
    <row r="105" spans="2:13" ht="12.75" customHeight="1" x14ac:dyDescent="0.25">
      <c r="B105"/>
      <c r="C105"/>
      <c r="D105"/>
      <c r="E105"/>
      <c r="F105"/>
      <c r="G105"/>
      <c r="I105"/>
      <c r="J105"/>
      <c r="K105"/>
      <c r="L105"/>
      <c r="M105"/>
    </row>
    <row r="106" spans="2:13" ht="12.75" customHeight="1" x14ac:dyDescent="0.25">
      <c r="B106"/>
      <c r="C106"/>
      <c r="D106"/>
      <c r="E106"/>
      <c r="F106"/>
      <c r="G106"/>
      <c r="I106"/>
      <c r="J106"/>
      <c r="K106"/>
      <c r="L106"/>
      <c r="M106"/>
    </row>
    <row r="107" spans="2:13" ht="12.75" customHeight="1" x14ac:dyDescent="0.25">
      <c r="B107"/>
      <c r="C107"/>
      <c r="D107"/>
      <c r="E107"/>
      <c r="F107"/>
      <c r="G107"/>
      <c r="I107"/>
      <c r="J107"/>
      <c r="K107"/>
      <c r="L107"/>
      <c r="M107"/>
    </row>
    <row r="108" spans="2:13" ht="12.75" customHeight="1" x14ac:dyDescent="0.25">
      <c r="B108"/>
      <c r="C108"/>
      <c r="D108"/>
      <c r="E108"/>
      <c r="F108"/>
      <c r="G108"/>
      <c r="I108"/>
      <c r="J108"/>
      <c r="K108"/>
      <c r="L108"/>
      <c r="M108"/>
    </row>
    <row r="109" spans="2:13" ht="12.75" customHeight="1" x14ac:dyDescent="0.25">
      <c r="B109"/>
      <c r="C109"/>
      <c r="D109"/>
      <c r="E109"/>
      <c r="F109"/>
      <c r="G109"/>
      <c r="I109"/>
      <c r="J109"/>
      <c r="K109"/>
      <c r="L109"/>
      <c r="M109"/>
    </row>
    <row r="110" spans="2:13" ht="12.75" customHeight="1" x14ac:dyDescent="0.25">
      <c r="B110"/>
      <c r="C110"/>
      <c r="D110"/>
      <c r="E110"/>
      <c r="F110"/>
      <c r="G110"/>
      <c r="I110"/>
      <c r="J110"/>
      <c r="K110"/>
      <c r="L110"/>
      <c r="M110"/>
    </row>
    <row r="111" spans="2:13" ht="12.75" customHeight="1" x14ac:dyDescent="0.25">
      <c r="B111"/>
      <c r="C111"/>
      <c r="D111"/>
      <c r="E111"/>
      <c r="F111"/>
      <c r="G111"/>
      <c r="I111"/>
      <c r="J111"/>
      <c r="K111"/>
      <c r="L111"/>
      <c r="M111"/>
    </row>
    <row r="112" spans="2:13" ht="12.75" customHeight="1" x14ac:dyDescent="0.25">
      <c r="B112"/>
      <c r="C112"/>
      <c r="D112"/>
      <c r="E112"/>
      <c r="F112"/>
      <c r="G112"/>
      <c r="I112"/>
      <c r="J112"/>
      <c r="K112"/>
      <c r="L112"/>
      <c r="M112"/>
    </row>
    <row r="113" spans="2:13" ht="12.75" customHeight="1" x14ac:dyDescent="0.25">
      <c r="B113"/>
      <c r="C113"/>
      <c r="D113"/>
      <c r="E113"/>
      <c r="F113"/>
      <c r="G113"/>
      <c r="I113"/>
      <c r="J113"/>
      <c r="K113"/>
      <c r="L113"/>
      <c r="M113"/>
    </row>
    <row r="114" spans="2:13" ht="12.75" customHeight="1" x14ac:dyDescent="0.25">
      <c r="B114"/>
      <c r="C114"/>
      <c r="D114"/>
      <c r="E114"/>
      <c r="F114"/>
      <c r="G114"/>
      <c r="I114"/>
      <c r="J114"/>
      <c r="K114"/>
      <c r="L114"/>
      <c r="M114"/>
    </row>
    <row r="115" spans="2:13" ht="12.75" customHeight="1" x14ac:dyDescent="0.25">
      <c r="B115"/>
      <c r="C115"/>
      <c r="D115"/>
      <c r="E115"/>
      <c r="F115"/>
      <c r="G115"/>
      <c r="L115"/>
    </row>
    <row r="116" spans="2:13" ht="12.75" customHeight="1" x14ac:dyDescent="0.25">
      <c r="B116"/>
      <c r="C116"/>
      <c r="D116"/>
      <c r="E116"/>
      <c r="F116"/>
      <c r="G116"/>
      <c r="L116"/>
    </row>
    <row r="117" spans="2:13" ht="12.75" customHeight="1" x14ac:dyDescent="0.25">
      <c r="B117"/>
      <c r="C117"/>
      <c r="D117"/>
      <c r="E117"/>
      <c r="F117"/>
      <c r="G117"/>
      <c r="I117"/>
      <c r="J117"/>
      <c r="K117"/>
      <c r="L117"/>
    </row>
    <row r="118" spans="2:13" ht="12.75" customHeight="1" x14ac:dyDescent="0.25">
      <c r="B118"/>
      <c r="C118"/>
      <c r="D118"/>
      <c r="E118"/>
      <c r="F118"/>
      <c r="G118"/>
      <c r="I118"/>
      <c r="J118"/>
      <c r="K118"/>
      <c r="L118"/>
    </row>
    <row r="119" spans="2:13" ht="12.75" customHeight="1" x14ac:dyDescent="0.25">
      <c r="B119"/>
      <c r="C119"/>
      <c r="D119"/>
      <c r="E119"/>
      <c r="F119"/>
      <c r="G119"/>
      <c r="I119"/>
      <c r="J119"/>
      <c r="K119"/>
      <c r="L119"/>
    </row>
    <row r="120" spans="2:13" ht="12.75" customHeight="1" x14ac:dyDescent="0.25">
      <c r="B120"/>
      <c r="C120"/>
      <c r="D120"/>
      <c r="E120"/>
      <c r="F120"/>
      <c r="G120"/>
      <c r="I120"/>
      <c r="J120"/>
      <c r="K120"/>
      <c r="L120"/>
    </row>
    <row r="121" spans="2:13" ht="12.75" customHeight="1" x14ac:dyDescent="0.25">
      <c r="B121"/>
      <c r="C121"/>
      <c r="D121"/>
      <c r="E121"/>
      <c r="F121"/>
      <c r="G121"/>
      <c r="I121"/>
      <c r="J121"/>
      <c r="K121"/>
      <c r="L121"/>
    </row>
    <row r="122" spans="2:13" ht="12.75" customHeight="1" x14ac:dyDescent="0.25">
      <c r="B122" s="50"/>
      <c r="C122" s="50"/>
      <c r="D122" s="50"/>
      <c r="E122" s="50"/>
      <c r="F122" s="50"/>
      <c r="G122" s="50"/>
      <c r="H122" s="50"/>
      <c r="I122"/>
      <c r="J122" s="62"/>
      <c r="K122" s="62"/>
      <c r="L122" s="62"/>
    </row>
    <row r="123" spans="2:13" ht="12.75" customHeight="1" x14ac:dyDescent="0.25">
      <c r="B123" s="52" t="str">
        <f>"Finans Norge / Skadeforsikringsstatistikk"</f>
        <v>Finans Norge / Skadeforsikringsstatistikk</v>
      </c>
      <c r="H123" s="187">
        <v>2</v>
      </c>
      <c r="I123"/>
      <c r="J123" s="62"/>
      <c r="K123" s="62"/>
      <c r="L123" s="62"/>
    </row>
    <row r="124" spans="2:13" ht="12.75" customHeight="1" x14ac:dyDescent="0.25">
      <c r="B124" s="52" t="str">
        <f>"Skadestatistikk for landbasert forsikring 1. kvartal 2026"</f>
        <v>Skadestatistikk for landbasert forsikring 1. kvartal 2026</v>
      </c>
      <c r="H124" s="188"/>
      <c r="I124"/>
      <c r="J124"/>
      <c r="K124"/>
      <c r="L124"/>
    </row>
    <row r="125" spans="2:13" ht="12.75" customHeight="1" x14ac:dyDescent="0.25">
      <c r="B125" s="71"/>
      <c r="C125"/>
      <c r="D125"/>
      <c r="E125"/>
      <c r="F125"/>
      <c r="G125"/>
      <c r="I125"/>
      <c r="J125"/>
      <c r="K125"/>
      <c r="L125"/>
    </row>
    <row r="126" spans="2:13" ht="12.75" customHeight="1" x14ac:dyDescent="0.25">
      <c r="B126"/>
      <c r="C126"/>
      <c r="D126"/>
      <c r="E126"/>
      <c r="F126"/>
      <c r="G126"/>
      <c r="I126"/>
      <c r="J126"/>
      <c r="K126"/>
      <c r="L126"/>
    </row>
    <row r="127" spans="2:13" ht="12.75" customHeight="1" x14ac:dyDescent="0.25">
      <c r="B127"/>
      <c r="C127"/>
      <c r="D127"/>
      <c r="E127"/>
      <c r="F127"/>
      <c r="G127"/>
      <c r="L127"/>
    </row>
    <row r="128" spans="2:13" ht="12.75" customHeight="1" x14ac:dyDescent="0.25">
      <c r="B128"/>
      <c r="C128"/>
      <c r="D128"/>
      <c r="E128"/>
      <c r="F128"/>
      <c r="G128"/>
      <c r="L128"/>
    </row>
    <row r="129" spans="2:12" ht="12.75" customHeight="1" x14ac:dyDescent="0.25">
      <c r="B129"/>
      <c r="C129"/>
      <c r="D129"/>
      <c r="E129"/>
      <c r="F129"/>
      <c r="G129"/>
      <c r="I129" s="61"/>
      <c r="J129"/>
      <c r="K129"/>
      <c r="L129"/>
    </row>
    <row r="130" spans="2:12" ht="12.75" customHeight="1" x14ac:dyDescent="0.25">
      <c r="B130"/>
      <c r="C130"/>
      <c r="D130"/>
      <c r="E130"/>
      <c r="F130"/>
      <c r="G130"/>
      <c r="I130"/>
      <c r="J130"/>
      <c r="K130"/>
      <c r="L130"/>
    </row>
    <row r="131" spans="2:12" ht="12.75" customHeight="1" x14ac:dyDescent="0.25">
      <c r="B131"/>
      <c r="C131"/>
      <c r="D131"/>
      <c r="E131"/>
      <c r="F131"/>
      <c r="G131"/>
      <c r="I131"/>
      <c r="J131"/>
      <c r="K131"/>
      <c r="L131"/>
    </row>
    <row r="132" spans="2:12" ht="12.75" customHeight="1" x14ac:dyDescent="0.25">
      <c r="B132"/>
      <c r="C132"/>
      <c r="D132"/>
      <c r="E132"/>
      <c r="F132"/>
      <c r="G132"/>
      <c r="I132"/>
      <c r="J132"/>
      <c r="K132" s="62"/>
      <c r="L132" s="62"/>
    </row>
    <row r="133" spans="2:12" ht="12.75" customHeight="1" x14ac:dyDescent="0.25">
      <c r="B133"/>
      <c r="C133"/>
      <c r="D133"/>
      <c r="E133"/>
      <c r="F133"/>
      <c r="G133"/>
      <c r="I133"/>
      <c r="J133"/>
      <c r="K133" s="62"/>
      <c r="L133" s="62"/>
    </row>
    <row r="134" spans="2:12" ht="12.75" customHeight="1" x14ac:dyDescent="0.25">
      <c r="B134"/>
      <c r="C134"/>
      <c r="D134"/>
      <c r="E134"/>
      <c r="F134"/>
      <c r="G134"/>
      <c r="I134"/>
      <c r="J134"/>
      <c r="K134" s="62"/>
      <c r="L134" s="62"/>
    </row>
    <row r="135" spans="2:12" ht="12.75" customHeight="1" x14ac:dyDescent="0.25">
      <c r="B135"/>
      <c r="C135"/>
      <c r="D135"/>
      <c r="E135"/>
      <c r="F135"/>
      <c r="G135"/>
      <c r="I135"/>
      <c r="J135"/>
      <c r="K135"/>
      <c r="L135"/>
    </row>
    <row r="136" spans="2:12" ht="12.75" customHeight="1" x14ac:dyDescent="0.25">
      <c r="B136"/>
      <c r="C136"/>
      <c r="D136"/>
      <c r="E136"/>
      <c r="F136"/>
      <c r="G136"/>
      <c r="I136"/>
      <c r="J136"/>
      <c r="K136"/>
      <c r="L136"/>
    </row>
    <row r="137" spans="2:12" ht="12.75" customHeight="1" x14ac:dyDescent="0.25">
      <c r="B137"/>
      <c r="C137"/>
      <c r="D137"/>
      <c r="E137"/>
      <c r="F137"/>
      <c r="G137"/>
      <c r="I137"/>
      <c r="J137"/>
      <c r="K137"/>
      <c r="L137"/>
    </row>
    <row r="138" spans="2:12" ht="12.75" customHeight="1" x14ac:dyDescent="0.25">
      <c r="B138"/>
      <c r="C138"/>
      <c r="D138"/>
      <c r="E138"/>
      <c r="F138"/>
      <c r="G138"/>
    </row>
    <row r="139" spans="2:12" ht="12.75" customHeight="1" x14ac:dyDescent="0.25">
      <c r="B139"/>
      <c r="C139"/>
      <c r="D139"/>
      <c r="E139"/>
      <c r="F139"/>
      <c r="G139"/>
    </row>
    <row r="140" spans="2:12" ht="12.75" customHeight="1" x14ac:dyDescent="0.25">
      <c r="B140"/>
      <c r="C140"/>
      <c r="D140"/>
      <c r="E140"/>
      <c r="F140"/>
      <c r="G140"/>
      <c r="I140" s="61"/>
      <c r="J140"/>
      <c r="K140"/>
      <c r="L140"/>
    </row>
    <row r="141" spans="2:12" ht="12.75" customHeight="1" x14ac:dyDescent="0.25">
      <c r="B141"/>
      <c r="C141"/>
      <c r="D141"/>
      <c r="E141"/>
      <c r="F141"/>
      <c r="G141"/>
      <c r="I141"/>
      <c r="J141"/>
      <c r="K141"/>
      <c r="L141"/>
    </row>
    <row r="142" spans="2:12" ht="12.75" customHeight="1" x14ac:dyDescent="0.25">
      <c r="B142"/>
      <c r="C142"/>
      <c r="D142"/>
      <c r="E142"/>
      <c r="F142"/>
      <c r="G142"/>
      <c r="I142"/>
      <c r="J142"/>
      <c r="K142"/>
      <c r="L142"/>
    </row>
    <row r="143" spans="2:12" ht="12.75" customHeight="1" x14ac:dyDescent="0.25">
      <c r="B143"/>
      <c r="C143"/>
      <c r="D143"/>
      <c r="E143"/>
      <c r="F143"/>
      <c r="G143"/>
      <c r="I143"/>
      <c r="J143"/>
      <c r="K143" s="62"/>
      <c r="L143" s="62"/>
    </row>
    <row r="144" spans="2:12" ht="12.75" customHeight="1" x14ac:dyDescent="0.25">
      <c r="B144"/>
      <c r="C144"/>
      <c r="D144"/>
      <c r="E144"/>
      <c r="F144"/>
      <c r="G144"/>
      <c r="I144"/>
      <c r="J144"/>
      <c r="K144" s="62"/>
      <c r="L144" s="62"/>
    </row>
    <row r="145" spans="2:12" ht="12.75" customHeight="1" x14ac:dyDescent="0.25">
      <c r="B145"/>
      <c r="C145"/>
      <c r="D145"/>
      <c r="E145"/>
      <c r="F145"/>
      <c r="G145"/>
      <c r="I145"/>
      <c r="J145"/>
      <c r="K145" s="62"/>
      <c r="L145" s="62"/>
    </row>
    <row r="146" spans="2:12" ht="12.75" customHeight="1" x14ac:dyDescent="0.25">
      <c r="B146"/>
      <c r="C146"/>
      <c r="D146"/>
      <c r="E146"/>
      <c r="F146"/>
      <c r="G146"/>
      <c r="I146"/>
      <c r="J146"/>
      <c r="K146"/>
      <c r="L146"/>
    </row>
    <row r="147" spans="2:12" ht="12.75" customHeight="1" x14ac:dyDescent="0.25">
      <c r="B147"/>
      <c r="C147"/>
      <c r="D147"/>
      <c r="E147"/>
      <c r="F147"/>
      <c r="G147"/>
      <c r="H147"/>
      <c r="I147"/>
      <c r="J147"/>
      <c r="K147"/>
      <c r="L147"/>
    </row>
    <row r="148" spans="2:12" ht="12.75" customHeight="1" x14ac:dyDescent="0.25">
      <c r="B148"/>
      <c r="C148"/>
      <c r="D148"/>
      <c r="E148"/>
      <c r="F148"/>
      <c r="G148"/>
      <c r="H148"/>
      <c r="I148"/>
      <c r="J148"/>
      <c r="K148"/>
      <c r="L148"/>
    </row>
    <row r="149" spans="2:12" ht="12.75" customHeight="1" x14ac:dyDescent="0.25">
      <c r="B149"/>
      <c r="C149"/>
      <c r="D149"/>
      <c r="E149"/>
      <c r="F149"/>
      <c r="G149"/>
      <c r="H149"/>
      <c r="I149"/>
      <c r="J149" s="62"/>
      <c r="K149" s="62"/>
    </row>
    <row r="150" spans="2:12" ht="12.75" customHeight="1" x14ac:dyDescent="0.25">
      <c r="B150"/>
      <c r="C150" s="62"/>
      <c r="D150" s="62"/>
      <c r="E150"/>
      <c r="F150"/>
      <c r="G150"/>
      <c r="H150"/>
      <c r="I150"/>
      <c r="J150" s="62"/>
      <c r="K150" s="62"/>
    </row>
    <row r="151" spans="2:12" ht="12.75" customHeight="1" x14ac:dyDescent="0.25">
      <c r="B151"/>
      <c r="C151"/>
      <c r="D151"/>
      <c r="E151"/>
      <c r="G151"/>
      <c r="H151"/>
      <c r="I151"/>
      <c r="J151"/>
      <c r="K151"/>
    </row>
    <row r="152" spans="2:12" ht="12.75" customHeight="1" x14ac:dyDescent="0.25">
      <c r="B152"/>
      <c r="C152"/>
      <c r="D152"/>
      <c r="E152"/>
      <c r="G152"/>
      <c r="H152"/>
      <c r="I152"/>
      <c r="J152"/>
      <c r="K152"/>
    </row>
    <row r="153" spans="2:12" ht="12.75" customHeight="1" x14ac:dyDescent="0.25">
      <c r="B153"/>
      <c r="C153"/>
      <c r="D153"/>
      <c r="E153"/>
      <c r="G153"/>
      <c r="H153"/>
      <c r="I153"/>
      <c r="J153"/>
      <c r="K153"/>
    </row>
    <row r="154" spans="2:12" ht="12.75" customHeight="1" x14ac:dyDescent="0.25">
      <c r="B154"/>
      <c r="C154" s="62"/>
      <c r="D154" s="62"/>
      <c r="E154"/>
      <c r="G154"/>
      <c r="H154"/>
      <c r="I154"/>
      <c r="J154"/>
      <c r="K154"/>
    </row>
    <row r="155" spans="2:12" ht="12.75" customHeight="1" x14ac:dyDescent="0.25">
      <c r="B155"/>
      <c r="C155" s="62"/>
      <c r="D155" s="62"/>
      <c r="E155"/>
      <c r="G155"/>
      <c r="H155"/>
      <c r="I155"/>
      <c r="J155"/>
      <c r="K155"/>
    </row>
    <row r="156" spans="2:12" ht="12.75" customHeight="1" x14ac:dyDescent="0.25">
      <c r="B156"/>
      <c r="C156" s="62"/>
      <c r="D156" s="62"/>
      <c r="E156"/>
      <c r="G156"/>
    </row>
    <row r="157" spans="2:12" ht="12.75" customHeight="1" x14ac:dyDescent="0.25">
      <c r="B157"/>
      <c r="C157"/>
      <c r="D157"/>
      <c r="E157"/>
      <c r="G157"/>
    </row>
    <row r="158" spans="2:12" ht="12.75" customHeight="1" x14ac:dyDescent="0.25">
      <c r="B158"/>
      <c r="C158" s="62"/>
      <c r="D158" s="62"/>
      <c r="E158"/>
      <c r="G158"/>
    </row>
    <row r="159" spans="2:12" ht="12.75" customHeight="1" x14ac:dyDescent="0.25">
      <c r="B159"/>
      <c r="C159" s="62"/>
      <c r="D159" s="62"/>
      <c r="E159"/>
      <c r="G159"/>
    </row>
    <row r="160" spans="2:12" ht="12.75" customHeight="1" x14ac:dyDescent="0.25">
      <c r="B160"/>
      <c r="C160" s="62"/>
      <c r="D160" s="62"/>
      <c r="E160"/>
      <c r="G160"/>
    </row>
    <row r="161" spans="2:7" ht="12.75" customHeight="1" x14ac:dyDescent="0.25">
      <c r="B161"/>
      <c r="C161"/>
      <c r="D161"/>
      <c r="E161"/>
      <c r="G161"/>
    </row>
    <row r="162" spans="2:7" ht="12.75" customHeight="1" x14ac:dyDescent="0.25">
      <c r="B162"/>
      <c r="C162" s="62"/>
      <c r="D162" s="62"/>
      <c r="E162"/>
      <c r="G162"/>
    </row>
    <row r="163" spans="2:7" ht="12.75" customHeight="1" x14ac:dyDescent="0.25">
      <c r="B163"/>
      <c r="C163" s="62"/>
      <c r="D163" s="62"/>
      <c r="E163"/>
      <c r="G163"/>
    </row>
  </sheetData>
  <mergeCells count="2">
    <mergeCell ref="H61:H62"/>
    <mergeCell ref="H123:H124"/>
  </mergeCells>
  <phoneticPr fontId="0" type="noConversion"/>
  <hyperlinks>
    <hyperlink ref="A8" location="Tab1!A2" display="Tab1" xr:uid="{00000000-0004-0000-0100-000000000000}"/>
    <hyperlink ref="A11" location="Tab2!A2" display="Tab2" xr:uid="{00000000-0004-0000-0100-000001000000}"/>
    <hyperlink ref="A23" location="Tab3!A2" display="Tab3" xr:uid="{00000000-0004-0000-0100-000002000000}"/>
    <hyperlink ref="A24" location="Tab4!A2" display="Tab4" xr:uid="{00000000-0004-0000-0100-000003000000}"/>
    <hyperlink ref="A26" location="Tab5!A2" display="Tab5" xr:uid="{00000000-0004-0000-0100-000004000000}"/>
    <hyperlink ref="A28" location="Tab6!A2" display="Tab6" xr:uid="{00000000-0004-0000-0100-000005000000}"/>
    <hyperlink ref="A31" location="Tab7!A2" display="Tab7" xr:uid="{00000000-0004-0000-0100-000006000000}"/>
    <hyperlink ref="A33" location="Tab8!A2" display="Tab8" xr:uid="{00000000-0004-0000-0100-000007000000}"/>
    <hyperlink ref="A35" location="Tab9!A2" display="Tab9" xr:uid="{00000000-0004-0000-0100-000008000000}"/>
    <hyperlink ref="A37" location="Tab10!A2" display="Tab10" xr:uid="{00000000-0004-0000-0100-000009000000}"/>
    <hyperlink ref="A40" location="Tab11!A2" display="Tab11" xr:uid="{00000000-0004-0000-0100-00000A000000}"/>
    <hyperlink ref="A43" location="'Tab12'!A2" display="Tab12" xr:uid="{00000000-0004-0000-0100-00000B000000}"/>
    <hyperlink ref="A45" location="'Tab13'!A2" display="Tab13" xr:uid="{00000000-0004-0000-0100-00000C000000}"/>
    <hyperlink ref="A73" location="'Tab18'!A2" display="Tab18" xr:uid="{00000000-0004-0000-0100-00000D000000}"/>
    <hyperlink ref="A75" location="'Tab19'!A2" display="Tab19" xr:uid="{00000000-0004-0000-0100-00000E000000}"/>
    <hyperlink ref="A77" location="'Tab20'!A2" display="Tab20" xr:uid="{00000000-0004-0000-0100-00000F000000}"/>
    <hyperlink ref="A47" location="'Tab14'!A2" display="Tab14" xr:uid="{00000000-0004-0000-0100-000010000000}"/>
    <hyperlink ref="A80" location="'Tab21'!A2" display="Tab21" xr:uid="{00000000-0004-0000-0100-000011000000}"/>
    <hyperlink ref="A66" location="'Tab15'!A2" display="Tab15" xr:uid="{00000000-0004-0000-0100-000012000000}"/>
    <hyperlink ref="A68" location="'Tab16'!A2" display="Tab16" xr:uid="{00000000-0004-0000-0100-000013000000}"/>
    <hyperlink ref="A70" location="'Tab17'!A2" display="Tab17" xr:uid="{00000000-0004-0000-0100-000014000000}"/>
  </hyperlinks>
  <pageMargins left="0.78740157480314965" right="0.78740157480314965" top="0.98425196850393704" bottom="0.19685039370078741" header="3.937007874015748E-2" footer="3.937007874015748E-2"/>
  <pageSetup paperSize="9" scale="93" fitToWidth="0" fitToHeight="0" orientation="portrait" horizontalDpi="300" verticalDpi="300" r:id="rId1"/>
  <headerFooter alignWithMargins="0"/>
  <rowBreaks count="1" manualBreakCount="1">
    <brk id="62"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154</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61</v>
      </c>
      <c r="B7" s="19" t="s">
        <v>3</v>
      </c>
      <c r="C7" s="20">
        <v>421846.37179487181</v>
      </c>
      <c r="D7" s="20">
        <v>409226</v>
      </c>
      <c r="E7" s="72">
        <v>443412.6985073433</v>
      </c>
      <c r="F7" s="22" t="s">
        <v>240</v>
      </c>
      <c r="G7" s="23">
        <v>5.1123651059771049</v>
      </c>
      <c r="H7" s="24">
        <v>8.3539898509242647</v>
      </c>
    </row>
    <row r="8" spans="1:8" x14ac:dyDescent="0.25">
      <c r="A8" s="193"/>
      <c r="B8" s="25" t="s">
        <v>241</v>
      </c>
      <c r="C8" s="26">
        <v>92765.108974358969</v>
      </c>
      <c r="D8" s="26">
        <v>100721</v>
      </c>
      <c r="E8" s="26">
        <v>104963</v>
      </c>
      <c r="F8" s="27"/>
      <c r="G8" s="28">
        <v>13.149222978881653</v>
      </c>
      <c r="H8" s="29">
        <v>4.2116341180091581</v>
      </c>
    </row>
    <row r="9" spans="1:8" x14ac:dyDescent="0.25">
      <c r="A9" s="30" t="s">
        <v>62</v>
      </c>
      <c r="B9" s="31" t="s">
        <v>3</v>
      </c>
      <c r="C9" s="20">
        <v>128892.77083333333</v>
      </c>
      <c r="D9" s="20">
        <v>123887</v>
      </c>
      <c r="E9" s="21">
        <v>122062.10178412663</v>
      </c>
      <c r="F9" s="22" t="s">
        <v>240</v>
      </c>
      <c r="G9" s="32">
        <v>-5.2994974078408177</v>
      </c>
      <c r="H9" s="33">
        <v>-1.4730344716341222</v>
      </c>
    </row>
    <row r="10" spans="1:8" x14ac:dyDescent="0.25">
      <c r="A10" s="34"/>
      <c r="B10" s="25" t="s">
        <v>241</v>
      </c>
      <c r="C10" s="26">
        <v>25858.435416666667</v>
      </c>
      <c r="D10" s="26">
        <v>30545</v>
      </c>
      <c r="E10" s="26">
        <v>27961</v>
      </c>
      <c r="F10" s="27"/>
      <c r="G10" s="35">
        <v>8.131058780061224</v>
      </c>
      <c r="H10" s="29">
        <v>-8.4596496971681177</v>
      </c>
    </row>
    <row r="11" spans="1:8" x14ac:dyDescent="0.25">
      <c r="A11" s="30" t="s">
        <v>47</v>
      </c>
      <c r="B11" s="31" t="s">
        <v>3</v>
      </c>
      <c r="C11" s="20">
        <v>18325.961805555555</v>
      </c>
      <c r="D11" s="20">
        <v>15407</v>
      </c>
      <c r="E11" s="21">
        <v>12929.090376272035</v>
      </c>
      <c r="F11" s="22" t="s">
        <v>240</v>
      </c>
      <c r="G11" s="37">
        <v>-29.449321604759902</v>
      </c>
      <c r="H11" s="33">
        <v>-16.083011772103362</v>
      </c>
    </row>
    <row r="12" spans="1:8" x14ac:dyDescent="0.25">
      <c r="A12" s="34"/>
      <c r="B12" s="25" t="s">
        <v>241</v>
      </c>
      <c r="C12" s="26">
        <v>4438.9059027777776</v>
      </c>
      <c r="D12" s="26">
        <v>4564</v>
      </c>
      <c r="E12" s="26">
        <v>3565</v>
      </c>
      <c r="F12" s="27"/>
      <c r="G12" s="28">
        <v>-19.68741671750476</v>
      </c>
      <c r="H12" s="29">
        <v>-21.888694127957933</v>
      </c>
    </row>
    <row r="13" spans="1:8" x14ac:dyDescent="0.25">
      <c r="A13" s="30" t="s">
        <v>48</v>
      </c>
      <c r="B13" s="31" t="s">
        <v>3</v>
      </c>
      <c r="C13" s="20">
        <v>135396.95833333331</v>
      </c>
      <c r="D13" s="20">
        <v>131876</v>
      </c>
      <c r="E13" s="21">
        <v>135184.27666623014</v>
      </c>
      <c r="F13" s="22" t="s">
        <v>240</v>
      </c>
      <c r="G13" s="23">
        <v>-0.15708009228654873</v>
      </c>
      <c r="H13" s="24">
        <v>2.5086267904926842</v>
      </c>
    </row>
    <row r="14" spans="1:8" x14ac:dyDescent="0.25">
      <c r="A14" s="34"/>
      <c r="B14" s="25" t="s">
        <v>241</v>
      </c>
      <c r="C14" s="26">
        <v>31276.479166666668</v>
      </c>
      <c r="D14" s="26">
        <v>36145</v>
      </c>
      <c r="E14" s="26">
        <v>34883</v>
      </c>
      <c r="F14" s="27"/>
      <c r="G14" s="23">
        <v>11.531095984668994</v>
      </c>
      <c r="H14" s="24">
        <v>-3.4914925992530073</v>
      </c>
    </row>
    <row r="15" spans="1:8" x14ac:dyDescent="0.25">
      <c r="A15" s="30" t="s">
        <v>49</v>
      </c>
      <c r="B15" s="31" t="s">
        <v>3</v>
      </c>
      <c r="C15" s="20">
        <v>122254.46249999999</v>
      </c>
      <c r="D15" s="20">
        <v>120255</v>
      </c>
      <c r="E15" s="21">
        <v>137383.68862704924</v>
      </c>
      <c r="F15" s="22" t="s">
        <v>240</v>
      </c>
      <c r="G15" s="37">
        <v>12.375193361182426</v>
      </c>
      <c r="H15" s="33">
        <v>14.243639455365042</v>
      </c>
    </row>
    <row r="16" spans="1:8" x14ac:dyDescent="0.25">
      <c r="A16" s="34"/>
      <c r="B16" s="25" t="s">
        <v>241</v>
      </c>
      <c r="C16" s="26">
        <v>26652.061249999999</v>
      </c>
      <c r="D16" s="26">
        <v>29584</v>
      </c>
      <c r="E16" s="26">
        <v>32410</v>
      </c>
      <c r="F16" s="27"/>
      <c r="G16" s="28">
        <v>21.604102947197006</v>
      </c>
      <c r="H16" s="29">
        <v>9.5524607896160063</v>
      </c>
    </row>
    <row r="17" spans="1:8" x14ac:dyDescent="0.25">
      <c r="A17" s="30" t="s">
        <v>50</v>
      </c>
      <c r="B17" s="31" t="s">
        <v>3</v>
      </c>
      <c r="C17" s="20">
        <v>87837.154166666674</v>
      </c>
      <c r="D17" s="20">
        <v>80609</v>
      </c>
      <c r="E17" s="21">
        <v>97184.515172917425</v>
      </c>
      <c r="F17" s="22" t="s">
        <v>240</v>
      </c>
      <c r="G17" s="37">
        <v>10.641693819581846</v>
      </c>
      <c r="H17" s="33">
        <v>20.562859200483103</v>
      </c>
    </row>
    <row r="18" spans="1:8" ht="13.8" thickBot="1" x14ac:dyDescent="0.3">
      <c r="A18" s="54"/>
      <c r="B18" s="41" t="s">
        <v>241</v>
      </c>
      <c r="C18" s="42">
        <v>20404.687083333334</v>
      </c>
      <c r="D18" s="42">
        <v>18784</v>
      </c>
      <c r="E18" s="42">
        <v>22623</v>
      </c>
      <c r="F18" s="43"/>
      <c r="G18" s="55">
        <v>10.871585080462197</v>
      </c>
      <c r="H18" s="45">
        <v>20.437606473594542</v>
      </c>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71</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61</v>
      </c>
      <c r="B35" s="19" t="s">
        <v>3</v>
      </c>
      <c r="C35" s="73">
        <v>3054.4851067037553</v>
      </c>
      <c r="D35" s="73">
        <v>3035.518875579382</v>
      </c>
      <c r="E35" s="74">
        <v>2848.1501595001373</v>
      </c>
      <c r="F35" s="22" t="s">
        <v>240</v>
      </c>
      <c r="G35" s="23">
        <v>-6.7551466121334016</v>
      </c>
      <c r="H35" s="24">
        <v>-6.1725432704971155</v>
      </c>
    </row>
    <row r="36" spans="1:8" ht="12.75" customHeight="1" x14ac:dyDescent="0.25">
      <c r="A36" s="193"/>
      <c r="B36" s="25" t="s">
        <v>241</v>
      </c>
      <c r="C36" s="75">
        <v>758.09987079489167</v>
      </c>
      <c r="D36" s="75">
        <v>1073.8690519940794</v>
      </c>
      <c r="E36" s="75">
        <v>882.45801561744167</v>
      </c>
      <c r="F36" s="27"/>
      <c r="G36" s="28">
        <v>16.403926397211549</v>
      </c>
      <c r="H36" s="29">
        <v>-17.82442989871106</v>
      </c>
    </row>
    <row r="37" spans="1:8" x14ac:dyDescent="0.25">
      <c r="A37" s="30" t="s">
        <v>62</v>
      </c>
      <c r="B37" s="31" t="s">
        <v>3</v>
      </c>
      <c r="C37" s="73">
        <v>424.03223253123201</v>
      </c>
      <c r="D37" s="73">
        <v>389.09084660546046</v>
      </c>
      <c r="E37" s="76">
        <v>402.72117503942292</v>
      </c>
      <c r="F37" s="22" t="s">
        <v>240</v>
      </c>
      <c r="G37" s="32">
        <v>-5.0258107419320766</v>
      </c>
      <c r="H37" s="33">
        <v>3.5031223563538845</v>
      </c>
    </row>
    <row r="38" spans="1:8" x14ac:dyDescent="0.25">
      <c r="A38" s="34"/>
      <c r="B38" s="25" t="s">
        <v>241</v>
      </c>
      <c r="C38" s="75">
        <v>92.597263360615727</v>
      </c>
      <c r="D38" s="75">
        <v>99.241797524879416</v>
      </c>
      <c r="E38" s="75">
        <v>97.271050882878001</v>
      </c>
      <c r="F38" s="27"/>
      <c r="G38" s="35">
        <v>5.0474359096990042</v>
      </c>
      <c r="H38" s="29">
        <v>-1.9858030498765942</v>
      </c>
    </row>
    <row r="39" spans="1:8" x14ac:dyDescent="0.25">
      <c r="A39" s="30" t="s">
        <v>47</v>
      </c>
      <c r="B39" s="31" t="s">
        <v>3</v>
      </c>
      <c r="C39" s="73">
        <v>206.04228404043215</v>
      </c>
      <c r="D39" s="73">
        <v>213.46460676057316</v>
      </c>
      <c r="E39" s="76">
        <v>102.88391187207233</v>
      </c>
      <c r="F39" s="22" t="s">
        <v>240</v>
      </c>
      <c r="G39" s="37">
        <v>-50.066602905701053</v>
      </c>
      <c r="H39" s="33">
        <v>-51.802824162101352</v>
      </c>
    </row>
    <row r="40" spans="1:8" x14ac:dyDescent="0.25">
      <c r="A40" s="34"/>
      <c r="B40" s="25" t="s">
        <v>241</v>
      </c>
      <c r="C40" s="75">
        <v>82.316820876557657</v>
      </c>
      <c r="D40" s="75">
        <v>322.58743905730296</v>
      </c>
      <c r="E40" s="75">
        <v>80.661789214239263</v>
      </c>
      <c r="F40" s="27"/>
      <c r="G40" s="28">
        <v>-2.0105631445610328</v>
      </c>
      <c r="H40" s="29">
        <v>-74.995371967998153</v>
      </c>
    </row>
    <row r="41" spans="1:8" x14ac:dyDescent="0.25">
      <c r="A41" s="30" t="s">
        <v>48</v>
      </c>
      <c r="B41" s="31" t="s">
        <v>3</v>
      </c>
      <c r="C41" s="73">
        <v>1507.0853213675819</v>
      </c>
      <c r="D41" s="73">
        <v>1469.9623180288779</v>
      </c>
      <c r="E41" s="76">
        <v>1465.3776665310504</v>
      </c>
      <c r="F41" s="22" t="s">
        <v>240</v>
      </c>
      <c r="G41" s="23">
        <v>-2.7674381964442745</v>
      </c>
      <c r="H41" s="24">
        <v>-0.3118890492359867</v>
      </c>
    </row>
    <row r="42" spans="1:8" x14ac:dyDescent="0.25">
      <c r="A42" s="34"/>
      <c r="B42" s="25" t="s">
        <v>241</v>
      </c>
      <c r="C42" s="75">
        <v>367.64590783626778</v>
      </c>
      <c r="D42" s="75">
        <v>424.38026094226456</v>
      </c>
      <c r="E42" s="75">
        <v>398.67508961728726</v>
      </c>
      <c r="F42" s="27"/>
      <c r="G42" s="23">
        <v>8.4399638673085349</v>
      </c>
      <c r="H42" s="24">
        <v>-6.0571081387959254</v>
      </c>
    </row>
    <row r="43" spans="1:8" x14ac:dyDescent="0.25">
      <c r="A43" s="30" t="s">
        <v>49</v>
      </c>
      <c r="B43" s="31" t="s">
        <v>3</v>
      </c>
      <c r="C43" s="73">
        <v>650.83849495620552</v>
      </c>
      <c r="D43" s="73">
        <v>690.49471591780696</v>
      </c>
      <c r="E43" s="76">
        <v>893.74838876282263</v>
      </c>
      <c r="F43" s="22" t="s">
        <v>240</v>
      </c>
      <c r="G43" s="37">
        <v>37.322607019881673</v>
      </c>
      <c r="H43" s="33">
        <v>29.435949060790506</v>
      </c>
    </row>
    <row r="44" spans="1:8" x14ac:dyDescent="0.25">
      <c r="A44" s="34"/>
      <c r="B44" s="25" t="s">
        <v>241</v>
      </c>
      <c r="C44" s="75">
        <v>150.69214091824193</v>
      </c>
      <c r="D44" s="75">
        <v>167.97530095521415</v>
      </c>
      <c r="E44" s="75">
        <v>213.80895625759635</v>
      </c>
      <c r="F44" s="27"/>
      <c r="G44" s="28">
        <v>41.884609877298431</v>
      </c>
      <c r="H44" s="29">
        <v>27.285949209046194</v>
      </c>
    </row>
    <row r="45" spans="1:8" x14ac:dyDescent="0.25">
      <c r="A45" s="30" t="s">
        <v>50</v>
      </c>
      <c r="B45" s="31" t="s">
        <v>3</v>
      </c>
      <c r="C45" s="73">
        <v>266.48677380830321</v>
      </c>
      <c r="D45" s="73">
        <v>272.50638826666307</v>
      </c>
      <c r="E45" s="76">
        <v>406.2395903576068</v>
      </c>
      <c r="F45" s="22" t="s">
        <v>240</v>
      </c>
      <c r="G45" s="37">
        <v>52.442683947171986</v>
      </c>
      <c r="H45" s="33">
        <v>49.075253957011142</v>
      </c>
    </row>
    <row r="46" spans="1:8" ht="13.8" thickBot="1" x14ac:dyDescent="0.3">
      <c r="A46" s="54"/>
      <c r="B46" s="41" t="s">
        <v>241</v>
      </c>
      <c r="C46" s="79">
        <v>64.84773780320846</v>
      </c>
      <c r="D46" s="79">
        <v>59.684253514418309</v>
      </c>
      <c r="E46" s="79">
        <v>92.04112964544089</v>
      </c>
      <c r="F46" s="43"/>
      <c r="G46" s="55">
        <v>41.934218160015718</v>
      </c>
      <c r="H46" s="45">
        <v>54.213421842003811</v>
      </c>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24</v>
      </c>
    </row>
    <row r="62" spans="1:8" ht="12.75" customHeight="1" x14ac:dyDescent="0.25">
      <c r="A62" s="52" t="str">
        <f>+Innhold!$B$124</f>
        <v>Skadestatistikk for landbasert forsikring 1. kvartal 2026</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73" display="Tilbake til innholdsfortegnelsen" xr:uid="{00000000-0004-0000-13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155</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51</v>
      </c>
      <c r="B7" s="19" t="s">
        <v>3</v>
      </c>
      <c r="C7" s="20">
        <v>13376.02493765586</v>
      </c>
      <c r="D7" s="20">
        <v>12919</v>
      </c>
      <c r="E7" s="72">
        <v>9236.4507085106306</v>
      </c>
      <c r="F7" s="22" t="s">
        <v>240</v>
      </c>
      <c r="G7" s="23">
        <v>-30.947716144664184</v>
      </c>
      <c r="H7" s="24">
        <v>-28.504909756864848</v>
      </c>
    </row>
    <row r="8" spans="1:8" x14ac:dyDescent="0.25">
      <c r="A8" s="193"/>
      <c r="B8" s="25" t="s">
        <v>241</v>
      </c>
      <c r="C8" s="26">
        <v>2296.269950124688</v>
      </c>
      <c r="D8" s="26">
        <v>1460</v>
      </c>
      <c r="E8" s="26">
        <v>1178</v>
      </c>
      <c r="F8" s="27"/>
      <c r="G8" s="28">
        <v>-48.699411411274426</v>
      </c>
      <c r="H8" s="29">
        <v>-19.31506849315069</v>
      </c>
    </row>
    <row r="9" spans="1:8" x14ac:dyDescent="0.25">
      <c r="A9" s="30" t="s">
        <v>12</v>
      </c>
      <c r="B9" s="31" t="s">
        <v>3</v>
      </c>
      <c r="C9" s="20">
        <v>226.60749999999999</v>
      </c>
      <c r="D9" s="20">
        <v>228</v>
      </c>
      <c r="E9" s="21">
        <v>218.82810596405193</v>
      </c>
      <c r="F9" s="22" t="s">
        <v>240</v>
      </c>
      <c r="G9" s="32">
        <v>-3.4329817132919516</v>
      </c>
      <c r="H9" s="33">
        <v>-4.0227605420824801</v>
      </c>
    </row>
    <row r="10" spans="1:8" x14ac:dyDescent="0.25">
      <c r="A10" s="34"/>
      <c r="B10" s="25" t="s">
        <v>241</v>
      </c>
      <c r="C10" s="26">
        <v>18.732624999999999</v>
      </c>
      <c r="D10" s="26">
        <v>22</v>
      </c>
      <c r="E10" s="26">
        <v>20</v>
      </c>
      <c r="F10" s="27"/>
      <c r="G10" s="35">
        <v>6.7656027919205144</v>
      </c>
      <c r="H10" s="29">
        <v>-9.0909090909090935</v>
      </c>
    </row>
    <row r="11" spans="1:8" x14ac:dyDescent="0.25">
      <c r="A11" s="30" t="s">
        <v>18</v>
      </c>
      <c r="B11" s="31" t="s">
        <v>3</v>
      </c>
      <c r="C11" s="20">
        <v>331.04300000000001</v>
      </c>
      <c r="D11" s="20">
        <v>268</v>
      </c>
      <c r="E11" s="21">
        <v>156.29130428413742</v>
      </c>
      <c r="F11" s="22" t="s">
        <v>240</v>
      </c>
      <c r="G11" s="37">
        <v>-52.788216550678484</v>
      </c>
      <c r="H11" s="33">
        <v>-41.682349147709921</v>
      </c>
    </row>
    <row r="12" spans="1:8" x14ac:dyDescent="0.25">
      <c r="A12" s="34"/>
      <c r="B12" s="25" t="s">
        <v>241</v>
      </c>
      <c r="C12" s="26">
        <v>29.293050000000001</v>
      </c>
      <c r="D12" s="26">
        <v>59</v>
      </c>
      <c r="E12" s="26">
        <v>23</v>
      </c>
      <c r="F12" s="27"/>
      <c r="G12" s="28">
        <v>-21.483082164540733</v>
      </c>
      <c r="H12" s="29">
        <v>-61.016949152542374</v>
      </c>
    </row>
    <row r="13" spans="1:8" x14ac:dyDescent="0.25">
      <c r="A13" s="30" t="s">
        <v>63</v>
      </c>
      <c r="B13" s="31" t="s">
        <v>3</v>
      </c>
      <c r="C13" s="20">
        <v>1919.7781249999998</v>
      </c>
      <c r="D13" s="20">
        <v>1463</v>
      </c>
      <c r="E13" s="21">
        <v>1119.9720018745857</v>
      </c>
      <c r="F13" s="22" t="s">
        <v>240</v>
      </c>
      <c r="G13" s="23">
        <v>-41.661383297896172</v>
      </c>
      <c r="H13" s="24">
        <v>-23.446889824020118</v>
      </c>
    </row>
    <row r="14" spans="1:8" x14ac:dyDescent="0.25">
      <c r="A14" s="34"/>
      <c r="B14" s="25" t="s">
        <v>241</v>
      </c>
      <c r="C14" s="26">
        <v>287.74734375000003</v>
      </c>
      <c r="D14" s="26">
        <v>195</v>
      </c>
      <c r="E14" s="26">
        <v>155</v>
      </c>
      <c r="F14" s="27"/>
      <c r="G14" s="23">
        <v>-46.133299449441054</v>
      </c>
      <c r="H14" s="24">
        <v>-20.512820512820511</v>
      </c>
    </row>
    <row r="15" spans="1:8" x14ac:dyDescent="0.25">
      <c r="A15" s="30" t="s">
        <v>52</v>
      </c>
      <c r="B15" s="31" t="s">
        <v>3</v>
      </c>
      <c r="C15" s="20">
        <v>7211.6312500000004</v>
      </c>
      <c r="D15" s="20">
        <v>7073</v>
      </c>
      <c r="E15" s="21">
        <v>5221.1074935067327</v>
      </c>
      <c r="F15" s="22" t="s">
        <v>240</v>
      </c>
      <c r="G15" s="37">
        <v>-27.601574283117543</v>
      </c>
      <c r="H15" s="33">
        <v>-26.182560532917677</v>
      </c>
    </row>
    <row r="16" spans="1:8" x14ac:dyDescent="0.25">
      <c r="A16" s="34"/>
      <c r="B16" s="25" t="s">
        <v>241</v>
      </c>
      <c r="C16" s="26">
        <v>1276.8209374999999</v>
      </c>
      <c r="D16" s="26">
        <v>756</v>
      </c>
      <c r="E16" s="26">
        <v>643</v>
      </c>
      <c r="F16" s="27"/>
      <c r="G16" s="28">
        <v>-49.640550126082182</v>
      </c>
      <c r="H16" s="29">
        <v>-14.947089947089935</v>
      </c>
    </row>
    <row r="17" spans="1:8" x14ac:dyDescent="0.25">
      <c r="A17" s="30" t="s">
        <v>50</v>
      </c>
      <c r="B17" s="31" t="s">
        <v>3</v>
      </c>
      <c r="C17" s="20">
        <v>5132.0374999999995</v>
      </c>
      <c r="D17" s="20">
        <v>5012</v>
      </c>
      <c r="E17" s="21">
        <v>3645.4075889737878</v>
      </c>
      <c r="F17" s="22" t="s">
        <v>240</v>
      </c>
      <c r="G17" s="37">
        <v>-28.967635388989493</v>
      </c>
      <c r="H17" s="33">
        <v>-27.266408839309904</v>
      </c>
    </row>
    <row r="18" spans="1:8" ht="13.8" thickBot="1" x14ac:dyDescent="0.3">
      <c r="A18" s="54"/>
      <c r="B18" s="41" t="s">
        <v>241</v>
      </c>
      <c r="C18" s="42">
        <v>828.66312500000004</v>
      </c>
      <c r="D18" s="42">
        <v>521</v>
      </c>
      <c r="E18" s="42">
        <v>430</v>
      </c>
      <c r="F18" s="43"/>
      <c r="G18" s="55">
        <v>-48.109190933287884</v>
      </c>
      <c r="H18" s="45">
        <v>-17.466410748560463</v>
      </c>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70</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51</v>
      </c>
      <c r="B35" s="19" t="s">
        <v>3</v>
      </c>
      <c r="C35" s="73">
        <v>793.12534751089777</v>
      </c>
      <c r="D35" s="73">
        <v>824.54774139460801</v>
      </c>
      <c r="E35" s="74">
        <v>554.91572967460445</v>
      </c>
      <c r="F35" s="22" t="s">
        <v>240</v>
      </c>
      <c r="G35" s="23">
        <v>-30.03429641782067</v>
      </c>
      <c r="H35" s="24">
        <v>-32.700594299604589</v>
      </c>
    </row>
    <row r="36" spans="1:8" ht="12.75" customHeight="1" x14ac:dyDescent="0.25">
      <c r="A36" s="193"/>
      <c r="B36" s="25" t="s">
        <v>241</v>
      </c>
      <c r="C36" s="75">
        <v>152.26295510110907</v>
      </c>
      <c r="D36" s="75">
        <v>107.72347648564264</v>
      </c>
      <c r="E36" s="75">
        <v>81.137846847769055</v>
      </c>
      <c r="F36" s="27"/>
      <c r="G36" s="28">
        <v>-46.712024081044476</v>
      </c>
      <c r="H36" s="29">
        <v>-24.679513236297112</v>
      </c>
    </row>
    <row r="37" spans="1:8" x14ac:dyDescent="0.25">
      <c r="A37" s="30" t="s">
        <v>12</v>
      </c>
      <c r="B37" s="31" t="s">
        <v>3</v>
      </c>
      <c r="C37" s="73">
        <v>6.3047023627080909</v>
      </c>
      <c r="D37" s="73">
        <v>7.5106929612486768</v>
      </c>
      <c r="E37" s="76">
        <v>4.9982350416898207</v>
      </c>
      <c r="F37" s="22" t="s">
        <v>240</v>
      </c>
      <c r="G37" s="32">
        <v>-20.722109401166037</v>
      </c>
      <c r="H37" s="33">
        <v>-33.451745831201592</v>
      </c>
    </row>
    <row r="38" spans="1:8" x14ac:dyDescent="0.25">
      <c r="A38" s="34"/>
      <c r="B38" s="25" t="s">
        <v>241</v>
      </c>
      <c r="C38" s="75">
        <v>0.79299180072326469</v>
      </c>
      <c r="D38" s="75">
        <v>1.0399189483937381</v>
      </c>
      <c r="E38" s="75">
        <v>0.66954718538558833</v>
      </c>
      <c r="F38" s="27"/>
      <c r="G38" s="35">
        <v>-15.566947252807168</v>
      </c>
      <c r="H38" s="29">
        <v>-35.615445182552648</v>
      </c>
    </row>
    <row r="39" spans="1:8" x14ac:dyDescent="0.25">
      <c r="A39" s="30" t="s">
        <v>18</v>
      </c>
      <c r="B39" s="31" t="s">
        <v>3</v>
      </c>
      <c r="C39" s="73">
        <v>51.813549965461789</v>
      </c>
      <c r="D39" s="73">
        <v>57.531394054061963</v>
      </c>
      <c r="E39" s="76">
        <v>30.104874581054027</v>
      </c>
      <c r="F39" s="22" t="s">
        <v>240</v>
      </c>
      <c r="G39" s="37">
        <v>-41.897680044850183</v>
      </c>
      <c r="H39" s="33">
        <v>-47.672266462438529</v>
      </c>
    </row>
    <row r="40" spans="1:8" x14ac:dyDescent="0.25">
      <c r="A40" s="34"/>
      <c r="B40" s="25" t="s">
        <v>241</v>
      </c>
      <c r="C40" s="75">
        <v>10.604099332685179</v>
      </c>
      <c r="D40" s="75">
        <v>9.4540222950678618</v>
      </c>
      <c r="E40" s="75">
        <v>5.2948848289137027</v>
      </c>
      <c r="F40" s="27"/>
      <c r="G40" s="28">
        <v>-50.0675666759062</v>
      </c>
      <c r="H40" s="29">
        <v>-43.99331137947464</v>
      </c>
    </row>
    <row r="41" spans="1:8" x14ac:dyDescent="0.25">
      <c r="A41" s="30" t="s">
        <v>63</v>
      </c>
      <c r="B41" s="31" t="s">
        <v>3</v>
      </c>
      <c r="C41" s="73">
        <v>145.53911429526454</v>
      </c>
      <c r="D41" s="73">
        <v>117.75170121683789</v>
      </c>
      <c r="E41" s="76">
        <v>92.462633117662151</v>
      </c>
      <c r="F41" s="22" t="s">
        <v>240</v>
      </c>
      <c r="G41" s="23">
        <v>-36.468877411142365</v>
      </c>
      <c r="H41" s="24">
        <v>-21.476605295584079</v>
      </c>
    </row>
    <row r="42" spans="1:8" x14ac:dyDescent="0.25">
      <c r="A42" s="34"/>
      <c r="B42" s="25" t="s">
        <v>241</v>
      </c>
      <c r="C42" s="75">
        <v>17.89180481234861</v>
      </c>
      <c r="D42" s="75">
        <v>17.023731575031967</v>
      </c>
      <c r="E42" s="75">
        <v>12.626774744634483</v>
      </c>
      <c r="F42" s="27"/>
      <c r="G42" s="23">
        <v>-29.427048433259756</v>
      </c>
      <c r="H42" s="24">
        <v>-25.828396148153118</v>
      </c>
    </row>
    <row r="43" spans="1:8" x14ac:dyDescent="0.25">
      <c r="A43" s="30" t="s">
        <v>52</v>
      </c>
      <c r="B43" s="31" t="s">
        <v>3</v>
      </c>
      <c r="C43" s="73">
        <v>408.18300622721068</v>
      </c>
      <c r="D43" s="73">
        <v>417.59161000436302</v>
      </c>
      <c r="E43" s="76">
        <v>283.46904173986979</v>
      </c>
      <c r="F43" s="22" t="s">
        <v>240</v>
      </c>
      <c r="G43" s="37">
        <v>-30.553443574258011</v>
      </c>
      <c r="H43" s="33">
        <v>-32.118118528073865</v>
      </c>
    </row>
    <row r="44" spans="1:8" x14ac:dyDescent="0.25">
      <c r="A44" s="34"/>
      <c r="B44" s="25" t="s">
        <v>241</v>
      </c>
      <c r="C44" s="75">
        <v>87.333977219562072</v>
      </c>
      <c r="D44" s="75">
        <v>52.26770490660931</v>
      </c>
      <c r="E44" s="75">
        <v>41.17641941189342</v>
      </c>
      <c r="F44" s="27"/>
      <c r="G44" s="28">
        <v>-52.851775766064335</v>
      </c>
      <c r="H44" s="29">
        <v>-21.220150214235616</v>
      </c>
    </row>
    <row r="45" spans="1:8" x14ac:dyDescent="0.25">
      <c r="A45" s="30" t="s">
        <v>50</v>
      </c>
      <c r="B45" s="31" t="s">
        <v>3</v>
      </c>
      <c r="C45" s="73">
        <v>181.28497466025283</v>
      </c>
      <c r="D45" s="73">
        <v>224.16234315809638</v>
      </c>
      <c r="E45" s="76">
        <v>155.68250736102075</v>
      </c>
      <c r="F45" s="22" t="s">
        <v>240</v>
      </c>
      <c r="G45" s="37">
        <v>-14.122774017655786</v>
      </c>
      <c r="H45" s="33">
        <v>-30.549214837917006</v>
      </c>
    </row>
    <row r="46" spans="1:8" ht="13.8" thickBot="1" x14ac:dyDescent="0.3">
      <c r="A46" s="54"/>
      <c r="B46" s="41" t="s">
        <v>241</v>
      </c>
      <c r="C46" s="79">
        <v>35.640081935789937</v>
      </c>
      <c r="D46" s="79">
        <v>26.736098760539765</v>
      </c>
      <c r="E46" s="79">
        <v>21.370220676941869</v>
      </c>
      <c r="F46" s="43"/>
      <c r="G46" s="55">
        <v>-40.038800372448655</v>
      </c>
      <c r="H46" s="45">
        <v>-20.069787038329906</v>
      </c>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25</v>
      </c>
    </row>
    <row r="62" spans="1:8" ht="12.75" customHeight="1" x14ac:dyDescent="0.25">
      <c r="A62" s="52" t="str">
        <f>+Innhold!$B$124</f>
        <v>Skadestatistikk for landbasert forsikring 1. kvartal 2026</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75" display="Tilbake til innholdsfortegnelsen" xr:uid="{00000000-0004-0000-14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156</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2.75" customHeight="1" x14ac:dyDescent="0.25">
      <c r="A7" s="192" t="s">
        <v>64</v>
      </c>
      <c r="B7" s="19" t="s">
        <v>3</v>
      </c>
      <c r="C7" s="20">
        <v>14653.088</v>
      </c>
      <c r="D7" s="20">
        <v>13404</v>
      </c>
      <c r="E7" s="72">
        <v>13135.443529553031</v>
      </c>
      <c r="F7" s="22" t="s">
        <v>240</v>
      </c>
      <c r="G7" s="23">
        <v>-10.357164786336966</v>
      </c>
      <c r="H7" s="24">
        <v>-2.0035546885032005</v>
      </c>
    </row>
    <row r="8" spans="1:8" ht="12.75" customHeight="1" x14ac:dyDescent="0.25">
      <c r="A8" s="193"/>
      <c r="B8" s="25" t="s">
        <v>241</v>
      </c>
      <c r="C8" s="26">
        <v>3764.605</v>
      </c>
      <c r="D8" s="26">
        <v>3893</v>
      </c>
      <c r="E8" s="26">
        <v>3656</v>
      </c>
      <c r="F8" s="27"/>
      <c r="G8" s="28">
        <v>-2.8848976187408795</v>
      </c>
      <c r="H8" s="29">
        <v>-6.0878499871564316</v>
      </c>
    </row>
    <row r="9" spans="1:8" x14ac:dyDescent="0.25">
      <c r="A9" s="30" t="s">
        <v>53</v>
      </c>
      <c r="B9" s="31" t="s">
        <v>3</v>
      </c>
      <c r="C9" s="20">
        <v>4.2808799999999998</v>
      </c>
      <c r="D9" s="20">
        <v>1</v>
      </c>
      <c r="E9" s="21">
        <v>2</v>
      </c>
      <c r="F9" s="22" t="s">
        <v>240</v>
      </c>
      <c r="G9" s="32">
        <v>-53.280633888359404</v>
      </c>
      <c r="H9" s="33">
        <v>100</v>
      </c>
    </row>
    <row r="10" spans="1:8" x14ac:dyDescent="0.25">
      <c r="A10" s="34"/>
      <c r="B10" s="25" t="s">
        <v>241</v>
      </c>
      <c r="C10" s="26">
        <v>3.07605</v>
      </c>
      <c r="D10" s="26">
        <v>0</v>
      </c>
      <c r="E10" s="26">
        <v>2</v>
      </c>
      <c r="F10" s="27"/>
      <c r="G10" s="35">
        <v>-34.981551015100536</v>
      </c>
      <c r="H10" s="29" t="s">
        <v>242</v>
      </c>
    </row>
    <row r="11" spans="1:8" x14ac:dyDescent="0.25">
      <c r="A11" s="30" t="s">
        <v>54</v>
      </c>
      <c r="B11" s="31" t="s">
        <v>3</v>
      </c>
      <c r="C11" s="20">
        <v>514.40440000000001</v>
      </c>
      <c r="D11" s="20">
        <v>595</v>
      </c>
      <c r="E11" s="21">
        <v>675.65834245006226</v>
      </c>
      <c r="F11" s="22" t="s">
        <v>240</v>
      </c>
      <c r="G11" s="37">
        <v>31.347698901887753</v>
      </c>
      <c r="H11" s="33">
        <v>13.556023941186936</v>
      </c>
    </row>
    <row r="12" spans="1:8" x14ac:dyDescent="0.25">
      <c r="A12" s="34"/>
      <c r="B12" s="25" t="s">
        <v>241</v>
      </c>
      <c r="C12" s="26">
        <v>128.38024999999999</v>
      </c>
      <c r="D12" s="26">
        <v>191</v>
      </c>
      <c r="E12" s="26">
        <v>198</v>
      </c>
      <c r="F12" s="27"/>
      <c r="G12" s="28">
        <v>54.229330446077171</v>
      </c>
      <c r="H12" s="29">
        <v>3.6649214659685896</v>
      </c>
    </row>
    <row r="13" spans="1:8" x14ac:dyDescent="0.25">
      <c r="A13" s="30" t="s">
        <v>66</v>
      </c>
      <c r="B13" s="31" t="s">
        <v>3</v>
      </c>
      <c r="C13" s="20">
        <v>7.5617599999999996</v>
      </c>
      <c r="D13" s="20">
        <v>36</v>
      </c>
      <c r="E13" s="21">
        <v>10.05912026730762</v>
      </c>
      <c r="F13" s="22" t="s">
        <v>240</v>
      </c>
      <c r="G13" s="23">
        <v>33.026177335800412</v>
      </c>
      <c r="H13" s="24">
        <v>-72.057999257478826</v>
      </c>
    </row>
    <row r="14" spans="1:8" x14ac:dyDescent="0.25">
      <c r="A14" s="34"/>
      <c r="B14" s="25" t="s">
        <v>241</v>
      </c>
      <c r="C14" s="26">
        <v>2.1520999999999999</v>
      </c>
      <c r="D14" s="26">
        <v>11</v>
      </c>
      <c r="E14" s="26">
        <v>3</v>
      </c>
      <c r="F14" s="27"/>
      <c r="G14" s="23">
        <v>39.39872682496167</v>
      </c>
      <c r="H14" s="24">
        <v>-72.727272727272734</v>
      </c>
    </row>
    <row r="15" spans="1:8" x14ac:dyDescent="0.25">
      <c r="A15" s="30" t="s">
        <v>55</v>
      </c>
      <c r="B15" s="31" t="s">
        <v>3</v>
      </c>
      <c r="C15" s="20">
        <v>8311.4704000000002</v>
      </c>
      <c r="D15" s="20">
        <v>7491</v>
      </c>
      <c r="E15" s="21">
        <v>7320.7985795535342</v>
      </c>
      <c r="F15" s="22" t="s">
        <v>240</v>
      </c>
      <c r="G15" s="37">
        <v>-11.91933283485514</v>
      </c>
      <c r="H15" s="33">
        <v>-2.2720787671401155</v>
      </c>
    </row>
    <row r="16" spans="1:8" x14ac:dyDescent="0.25">
      <c r="A16" s="34"/>
      <c r="B16" s="25" t="s">
        <v>241</v>
      </c>
      <c r="C16" s="26">
        <v>2069.0839999999998</v>
      </c>
      <c r="D16" s="26">
        <v>2131</v>
      </c>
      <c r="E16" s="26">
        <v>1988</v>
      </c>
      <c r="F16" s="27"/>
      <c r="G16" s="28">
        <v>-3.918835581349029</v>
      </c>
      <c r="H16" s="29">
        <v>-6.7104645706241257</v>
      </c>
    </row>
    <row r="17" spans="1:8" x14ac:dyDescent="0.25">
      <c r="A17" s="30" t="s">
        <v>67</v>
      </c>
      <c r="B17" s="31" t="s">
        <v>3</v>
      </c>
      <c r="C17" s="20">
        <v>2242.4043999999999</v>
      </c>
      <c r="D17" s="20">
        <v>2209</v>
      </c>
      <c r="E17" s="21">
        <v>2322.1650115025805</v>
      </c>
      <c r="F17" s="22" t="s">
        <v>240</v>
      </c>
      <c r="G17" s="37">
        <v>3.5569236085418225</v>
      </c>
      <c r="H17" s="33">
        <v>5.1229068131543869</v>
      </c>
    </row>
    <row r="18" spans="1:8" x14ac:dyDescent="0.25">
      <c r="A18" s="30"/>
      <c r="B18" s="25" t="s">
        <v>241</v>
      </c>
      <c r="C18" s="26">
        <v>533.38024999999993</v>
      </c>
      <c r="D18" s="26">
        <v>617</v>
      </c>
      <c r="E18" s="26">
        <v>613</v>
      </c>
      <c r="F18" s="27"/>
      <c r="G18" s="28">
        <v>14.927389981162605</v>
      </c>
      <c r="H18" s="29">
        <v>-0.64829821717989944</v>
      </c>
    </row>
    <row r="19" spans="1:8" x14ac:dyDescent="0.25">
      <c r="A19" s="38" t="s">
        <v>56</v>
      </c>
      <c r="B19" s="31" t="s">
        <v>3</v>
      </c>
      <c r="C19" s="20">
        <v>4.2808799999999998</v>
      </c>
      <c r="D19" s="20">
        <v>3</v>
      </c>
      <c r="E19" s="21">
        <v>0</v>
      </c>
      <c r="F19" s="22" t="s">
        <v>240</v>
      </c>
      <c r="G19" s="23">
        <v>-100</v>
      </c>
      <c r="H19" s="24">
        <v>-100</v>
      </c>
    </row>
    <row r="20" spans="1:8" x14ac:dyDescent="0.25">
      <c r="A20" s="34"/>
      <c r="B20" s="25" t="s">
        <v>241</v>
      </c>
      <c r="C20" s="26">
        <v>7.6050000000000006E-2</v>
      </c>
      <c r="D20" s="26">
        <v>0</v>
      </c>
      <c r="E20" s="26">
        <v>0</v>
      </c>
      <c r="F20" s="27"/>
      <c r="G20" s="23">
        <v>-100</v>
      </c>
      <c r="H20" s="24" t="s">
        <v>242</v>
      </c>
    </row>
    <row r="21" spans="1:8" x14ac:dyDescent="0.25">
      <c r="A21" s="38" t="s">
        <v>68</v>
      </c>
      <c r="B21" s="31" t="s">
        <v>3</v>
      </c>
      <c r="C21" s="20">
        <v>51.280880000000003</v>
      </c>
      <c r="D21" s="20">
        <v>96</v>
      </c>
      <c r="E21" s="21">
        <v>121.08849419330247</v>
      </c>
      <c r="F21" s="22" t="s">
        <v>240</v>
      </c>
      <c r="G21" s="37">
        <v>136.12795683947402</v>
      </c>
      <c r="H21" s="33">
        <v>26.133848118023394</v>
      </c>
    </row>
    <row r="22" spans="1:8" x14ac:dyDescent="0.25">
      <c r="A22" s="34"/>
      <c r="B22" s="25" t="s">
        <v>241</v>
      </c>
      <c r="C22" s="26">
        <v>12.07605</v>
      </c>
      <c r="D22" s="26">
        <v>22</v>
      </c>
      <c r="E22" s="26">
        <v>28</v>
      </c>
      <c r="F22" s="27"/>
      <c r="G22" s="28">
        <v>131.86389589311074</v>
      </c>
      <c r="H22" s="29">
        <v>27.272727272727266</v>
      </c>
    </row>
    <row r="23" spans="1:8" x14ac:dyDescent="0.25">
      <c r="A23" s="30" t="s">
        <v>69</v>
      </c>
      <c r="B23" s="31" t="s">
        <v>3</v>
      </c>
      <c r="C23" s="20">
        <v>3663.4043999999999</v>
      </c>
      <c r="D23" s="20">
        <v>3174</v>
      </c>
      <c r="E23" s="21">
        <v>3002.5873913361147</v>
      </c>
      <c r="F23" s="22" t="s">
        <v>240</v>
      </c>
      <c r="G23" s="23">
        <v>-18.038330921475264</v>
      </c>
      <c r="H23" s="24">
        <v>-5.4005232723341408</v>
      </c>
    </row>
    <row r="24" spans="1:8" ht="13.8" thickBot="1" x14ac:dyDescent="0.3">
      <c r="A24" s="54"/>
      <c r="B24" s="41" t="s">
        <v>241</v>
      </c>
      <c r="C24" s="42">
        <v>1043.3802500000002</v>
      </c>
      <c r="D24" s="42">
        <v>1004</v>
      </c>
      <c r="E24" s="42">
        <v>916</v>
      </c>
      <c r="F24" s="43"/>
      <c r="G24" s="55">
        <v>-12.208420659678026</v>
      </c>
      <c r="H24" s="45">
        <v>-8.764940239043824</v>
      </c>
    </row>
    <row r="25" spans="1:8" x14ac:dyDescent="0.25">
      <c r="A25" s="6"/>
      <c r="B25" s="6"/>
      <c r="C25" s="59"/>
      <c r="D25" s="59"/>
      <c r="E25" s="21"/>
      <c r="F25" s="56"/>
      <c r="G25" s="23"/>
      <c r="H25" s="23"/>
    </row>
    <row r="26" spans="1:8" x14ac:dyDescent="0.25">
      <c r="A26" s="6"/>
      <c r="B26" s="6"/>
      <c r="C26" s="59"/>
      <c r="D26" s="59"/>
      <c r="E26" s="21"/>
      <c r="F26" s="56"/>
      <c r="G26" s="23"/>
      <c r="H26" s="23"/>
    </row>
    <row r="27" spans="1:8" x14ac:dyDescent="0.25">
      <c r="A27" s="6"/>
      <c r="B27" s="6"/>
      <c r="C27" s="59"/>
      <c r="D27" s="59"/>
      <c r="E27" s="21"/>
      <c r="F27" s="56"/>
      <c r="G27" s="23"/>
      <c r="H27" s="23"/>
    </row>
    <row r="28" spans="1:8" x14ac:dyDescent="0.25">
      <c r="A28" s="6"/>
      <c r="B28" s="6"/>
      <c r="C28" s="59"/>
      <c r="D28" s="59"/>
      <c r="E28" s="21"/>
      <c r="F28" s="56"/>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65</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64</v>
      </c>
      <c r="B35" s="19" t="s">
        <v>3</v>
      </c>
      <c r="C35" s="73">
        <v>1967.7894804639338</v>
      </c>
      <c r="D35" s="73">
        <v>1850.8176091240341</v>
      </c>
      <c r="E35" s="74">
        <v>2010.1285902112627</v>
      </c>
      <c r="F35" s="22" t="s">
        <v>240</v>
      </c>
      <c r="G35" s="23">
        <v>2.1516076881022315</v>
      </c>
      <c r="H35" s="24">
        <v>8.6076002466082002</v>
      </c>
    </row>
    <row r="36" spans="1:8" ht="12.75" customHeight="1" x14ac:dyDescent="0.25">
      <c r="A36" s="193"/>
      <c r="B36" s="25" t="s">
        <v>241</v>
      </c>
      <c r="C36" s="75">
        <v>456.87793273317737</v>
      </c>
      <c r="D36" s="75">
        <v>489.83176875388563</v>
      </c>
      <c r="E36" s="75">
        <v>508.29332965245044</v>
      </c>
      <c r="F36" s="27"/>
      <c r="G36" s="28">
        <v>11.253639809585707</v>
      </c>
      <c r="H36" s="29">
        <v>3.7689594828711108</v>
      </c>
    </row>
    <row r="37" spans="1:8" x14ac:dyDescent="0.25">
      <c r="A37" s="30" t="s">
        <v>53</v>
      </c>
      <c r="B37" s="31" t="s">
        <v>3</v>
      </c>
      <c r="C37" s="73">
        <v>0.20454295303126943</v>
      </c>
      <c r="D37" s="73">
        <v>0.13824592104940592</v>
      </c>
      <c r="E37" s="76">
        <v>0.14630014908332251</v>
      </c>
      <c r="F37" s="22" t="s">
        <v>240</v>
      </c>
      <c r="G37" s="32">
        <v>-28.474607941659599</v>
      </c>
      <c r="H37" s="33">
        <v>5.8260149542048225</v>
      </c>
    </row>
    <row r="38" spans="1:8" x14ac:dyDescent="0.25">
      <c r="A38" s="34"/>
      <c r="B38" s="25" t="s">
        <v>241</v>
      </c>
      <c r="C38" s="75">
        <v>0.25560393891749889</v>
      </c>
      <c r="D38" s="75">
        <v>0.10127005977617463</v>
      </c>
      <c r="E38" s="75">
        <v>0.12431761722594435</v>
      </c>
      <c r="F38" s="27"/>
      <c r="G38" s="35">
        <v>-51.363184091591691</v>
      </c>
      <c r="H38" s="29">
        <v>22.758510758963737</v>
      </c>
    </row>
    <row r="39" spans="1:8" x14ac:dyDescent="0.25">
      <c r="A39" s="30" t="s">
        <v>54</v>
      </c>
      <c r="B39" s="31" t="s">
        <v>3</v>
      </c>
      <c r="C39" s="73">
        <v>60.467686159925613</v>
      </c>
      <c r="D39" s="73">
        <v>102.78323917991193</v>
      </c>
      <c r="E39" s="76">
        <v>161.3223649314331</v>
      </c>
      <c r="F39" s="22" t="s">
        <v>240</v>
      </c>
      <c r="G39" s="37">
        <v>166.79103365186802</v>
      </c>
      <c r="H39" s="33">
        <v>56.953960800023253</v>
      </c>
    </row>
    <row r="40" spans="1:8" x14ac:dyDescent="0.25">
      <c r="A40" s="34"/>
      <c r="B40" s="25" t="s">
        <v>241</v>
      </c>
      <c r="C40" s="75">
        <v>14.710765617828415</v>
      </c>
      <c r="D40" s="75">
        <v>16.685680173750239</v>
      </c>
      <c r="E40" s="75">
        <v>29.455638783761287</v>
      </c>
      <c r="F40" s="27"/>
      <c r="G40" s="28">
        <v>100.23185433709259</v>
      </c>
      <c r="H40" s="29">
        <v>76.532442651637496</v>
      </c>
    </row>
    <row r="41" spans="1:8" x14ac:dyDescent="0.25">
      <c r="A41" s="30" t="s">
        <v>66</v>
      </c>
      <c r="B41" s="31" t="s">
        <v>3</v>
      </c>
      <c r="C41" s="73">
        <v>1.359369392205364</v>
      </c>
      <c r="D41" s="73">
        <v>3.0928670159649156</v>
      </c>
      <c r="E41" s="76">
        <v>0.67689309048248114</v>
      </c>
      <c r="F41" s="22" t="s">
        <v>240</v>
      </c>
      <c r="G41" s="23">
        <v>-50.205360341067554</v>
      </c>
      <c r="H41" s="24">
        <v>-78.114381026133344</v>
      </c>
    </row>
    <row r="42" spans="1:8" x14ac:dyDescent="0.25">
      <c r="A42" s="34"/>
      <c r="B42" s="25" t="s">
        <v>241</v>
      </c>
      <c r="C42" s="75">
        <v>1.8934461288843647</v>
      </c>
      <c r="D42" s="75">
        <v>1.5084720224904267</v>
      </c>
      <c r="E42" s="75">
        <v>0.42142549947694607</v>
      </c>
      <c r="F42" s="27"/>
      <c r="G42" s="23">
        <v>-77.742936910211768</v>
      </c>
      <c r="H42" s="24">
        <v>-72.062756670740924</v>
      </c>
    </row>
    <row r="43" spans="1:8" x14ac:dyDescent="0.25">
      <c r="A43" s="30" t="s">
        <v>55</v>
      </c>
      <c r="B43" s="31" t="s">
        <v>3</v>
      </c>
      <c r="C43" s="73">
        <v>942.05772540875614</v>
      </c>
      <c r="D43" s="73">
        <v>923.95854599798372</v>
      </c>
      <c r="E43" s="76">
        <v>822.27682181304237</v>
      </c>
      <c r="F43" s="22" t="s">
        <v>240</v>
      </c>
      <c r="G43" s="37">
        <v>-12.714815702375475</v>
      </c>
      <c r="H43" s="33">
        <v>-11.005009329191623</v>
      </c>
    </row>
    <row r="44" spans="1:8" x14ac:dyDescent="0.25">
      <c r="A44" s="34"/>
      <c r="B44" s="25" t="s">
        <v>241</v>
      </c>
      <c r="C44" s="75">
        <v>239.17271796948845</v>
      </c>
      <c r="D44" s="75">
        <v>244.01162340775025</v>
      </c>
      <c r="E44" s="75">
        <v>214.28548901267538</v>
      </c>
      <c r="F44" s="27"/>
      <c r="G44" s="28">
        <v>-10.405546739652777</v>
      </c>
      <c r="H44" s="29">
        <v>-12.182261639807905</v>
      </c>
    </row>
    <row r="45" spans="1:8" x14ac:dyDescent="0.25">
      <c r="A45" s="30" t="s">
        <v>67</v>
      </c>
      <c r="B45" s="31" t="s">
        <v>3</v>
      </c>
      <c r="C45" s="73">
        <v>626.15863656344334</v>
      </c>
      <c r="D45" s="73">
        <v>580.36925540335494</v>
      </c>
      <c r="E45" s="76">
        <v>725.60805612784395</v>
      </c>
      <c r="F45" s="22" t="s">
        <v>240</v>
      </c>
      <c r="G45" s="37">
        <v>15.882463924830702</v>
      </c>
      <c r="H45" s="33">
        <v>25.025240288365808</v>
      </c>
    </row>
    <row r="46" spans="1:8" x14ac:dyDescent="0.25">
      <c r="A46" s="30"/>
      <c r="B46" s="25" t="s">
        <v>241</v>
      </c>
      <c r="C46" s="75">
        <v>134.15389706736806</v>
      </c>
      <c r="D46" s="75">
        <v>162.39089094483415</v>
      </c>
      <c r="E46" s="75">
        <v>184.23819718325058</v>
      </c>
      <c r="F46" s="27"/>
      <c r="G46" s="28">
        <v>37.333466422322175</v>
      </c>
      <c r="H46" s="29">
        <v>13.453529389058019</v>
      </c>
    </row>
    <row r="47" spans="1:8" x14ac:dyDescent="0.25">
      <c r="A47" s="38" t="s">
        <v>56</v>
      </c>
      <c r="B47" s="31" t="s">
        <v>3</v>
      </c>
      <c r="C47" s="73">
        <v>13.330759200800607</v>
      </c>
      <c r="D47" s="73">
        <v>4.4469515512290911</v>
      </c>
      <c r="E47" s="76">
        <v>5.7930749923601823</v>
      </c>
      <c r="F47" s="22" t="s">
        <v>240</v>
      </c>
      <c r="G47" s="23">
        <v>-56.543547857257323</v>
      </c>
      <c r="H47" s="24">
        <v>30.270701752058358</v>
      </c>
    </row>
    <row r="48" spans="1:8" x14ac:dyDescent="0.25">
      <c r="A48" s="34"/>
      <c r="B48" s="25" t="s">
        <v>241</v>
      </c>
      <c r="C48" s="75">
        <v>1.2713000454452226</v>
      </c>
      <c r="D48" s="75">
        <v>1.7849700080253224</v>
      </c>
      <c r="E48" s="75">
        <v>1.1235171266984405</v>
      </c>
      <c r="F48" s="27"/>
      <c r="G48" s="23">
        <v>-11.624550732634248</v>
      </c>
      <c r="H48" s="24">
        <v>-37.056806464699889</v>
      </c>
    </row>
    <row r="49" spans="1:8" x14ac:dyDescent="0.25">
      <c r="A49" s="38" t="s">
        <v>68</v>
      </c>
      <c r="B49" s="31" t="s">
        <v>3</v>
      </c>
      <c r="C49" s="73">
        <v>0.98166588819986678</v>
      </c>
      <c r="D49" s="73">
        <v>6.9910866122739721</v>
      </c>
      <c r="E49" s="76">
        <v>7.7352562198715216</v>
      </c>
      <c r="F49" s="22" t="s">
        <v>240</v>
      </c>
      <c r="G49" s="37">
        <v>687.97239599066381</v>
      </c>
      <c r="H49" s="33">
        <v>10.644548535431397</v>
      </c>
    </row>
    <row r="50" spans="1:8" x14ac:dyDescent="0.25">
      <c r="A50" s="34"/>
      <c r="B50" s="25" t="s">
        <v>241</v>
      </c>
      <c r="C50" s="75">
        <v>0.60906516355436124</v>
      </c>
      <c r="D50" s="75">
        <v>2.3454512692814999</v>
      </c>
      <c r="E50" s="75">
        <v>3.0642127662246641</v>
      </c>
      <c r="F50" s="27"/>
      <c r="G50" s="28">
        <v>403.10097335770092</v>
      </c>
      <c r="H50" s="29">
        <v>30.644912830073338</v>
      </c>
    </row>
    <row r="51" spans="1:8" x14ac:dyDescent="0.25">
      <c r="A51" s="30" t="s">
        <v>69</v>
      </c>
      <c r="B51" s="31" t="s">
        <v>3</v>
      </c>
      <c r="C51" s="73">
        <v>323.2290948975716</v>
      </c>
      <c r="D51" s="73">
        <v>229.0374174422661</v>
      </c>
      <c r="E51" s="76">
        <v>316.57079471071341</v>
      </c>
      <c r="F51" s="22" t="s">
        <v>240</v>
      </c>
      <c r="G51" s="23">
        <v>-2.0599321942129478</v>
      </c>
      <c r="H51" s="24">
        <v>38.217937595507522</v>
      </c>
    </row>
    <row r="52" spans="1:8" ht="13.8" thickBot="1" x14ac:dyDescent="0.3">
      <c r="A52" s="54"/>
      <c r="B52" s="41" t="s">
        <v>241</v>
      </c>
      <c r="C52" s="79">
        <v>64.811136801691035</v>
      </c>
      <c r="D52" s="79">
        <v>60.445410867977557</v>
      </c>
      <c r="E52" s="79">
        <v>75.580531663137307</v>
      </c>
      <c r="F52" s="43"/>
      <c r="G52" s="55">
        <v>16.616580718833006</v>
      </c>
      <c r="H52" s="45">
        <v>25.039321559443579</v>
      </c>
    </row>
    <row r="53" spans="1:8" x14ac:dyDescent="0.25">
      <c r="A53" s="60"/>
      <c r="B53" s="57"/>
      <c r="C53" s="21"/>
      <c r="D53" s="21"/>
      <c r="E53" s="21"/>
      <c r="F53" s="58"/>
      <c r="G53" s="23"/>
      <c r="H53" s="23"/>
    </row>
    <row r="54" spans="1:8" x14ac:dyDescent="0.25">
      <c r="A54" s="60"/>
      <c r="B54" s="57"/>
      <c r="C54" s="21"/>
      <c r="D54" s="21"/>
      <c r="E54" s="21"/>
      <c r="F54" s="58"/>
      <c r="G54" s="23"/>
      <c r="H54" s="23"/>
    </row>
    <row r="55" spans="1:8" x14ac:dyDescent="0.25">
      <c r="A55" s="60"/>
      <c r="B55" s="57"/>
      <c r="C55" s="21"/>
      <c r="D55" s="21"/>
      <c r="E55" s="21"/>
      <c r="F55" s="58"/>
      <c r="G55" s="23"/>
      <c r="H55" s="23"/>
    </row>
    <row r="56" spans="1:8" x14ac:dyDescent="0.25">
      <c r="A56" s="60"/>
      <c r="B56" s="57"/>
      <c r="C56" s="21"/>
      <c r="D56" s="21"/>
      <c r="E56" s="21"/>
      <c r="F56" s="58"/>
      <c r="G56" s="23"/>
      <c r="H56" s="23"/>
    </row>
    <row r="57" spans="1:8" x14ac:dyDescent="0.25">
      <c r="A57" s="60"/>
      <c r="B57" s="57"/>
      <c r="C57" s="21"/>
      <c r="D57" s="21"/>
      <c r="E57" s="21"/>
      <c r="F57" s="58"/>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26</v>
      </c>
    </row>
    <row r="62" spans="1:8" ht="12.75" customHeight="1" x14ac:dyDescent="0.25">
      <c r="A62" s="52" t="str">
        <f>+Innhold!$B$124</f>
        <v>Skadestatistikk for landbasert forsikring 1. kvartal 2026</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77" display="Tilbake til innholdsfortegnelsen" xr:uid="{00000000-0004-0000-15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38"/>
  <sheetViews>
    <sheetView showGridLines="0" showRowColHeaders="0" zoomScaleNormal="100" workbookViewId="0"/>
  </sheetViews>
  <sheetFormatPr baseColWidth="10" defaultColWidth="11.44140625" defaultRowHeight="13.2" x14ac:dyDescent="0.25"/>
  <cols>
    <col min="1" max="1" width="27.21875" style="1" customWidth="1"/>
    <col min="2" max="4" width="10.5546875" style="1" customWidth="1"/>
    <col min="5" max="6" width="7.5546875" style="1" customWidth="1"/>
    <col min="7" max="7" width="8.21875" style="1" customWidth="1"/>
    <col min="8" max="16384" width="11.44140625" style="1"/>
  </cols>
  <sheetData>
    <row r="1" spans="1:7" ht="5.25" customHeight="1" x14ac:dyDescent="0.25"/>
    <row r="2" spans="1:7" x14ac:dyDescent="0.25">
      <c r="A2" s="85" t="s">
        <v>0</v>
      </c>
      <c r="B2" s="2"/>
      <c r="C2" s="2"/>
      <c r="D2" s="2"/>
      <c r="E2" s="2"/>
      <c r="F2" s="2"/>
    </row>
    <row r="3" spans="1:7" ht="6" customHeight="1" x14ac:dyDescent="0.25">
      <c r="A3" s="2"/>
      <c r="B3" s="2"/>
      <c r="C3" s="2"/>
      <c r="D3" s="2"/>
      <c r="E3" s="2"/>
      <c r="F3" s="2"/>
    </row>
    <row r="4" spans="1:7" ht="15.75" customHeight="1" x14ac:dyDescent="0.3">
      <c r="A4" s="81" t="s">
        <v>109</v>
      </c>
      <c r="B4" s="67"/>
      <c r="C4" s="67"/>
      <c r="D4" s="67"/>
      <c r="E4" s="67"/>
      <c r="F4" s="67"/>
      <c r="G4" s="67"/>
    </row>
    <row r="5" spans="1:7" ht="15.75" customHeight="1" x14ac:dyDescent="0.3">
      <c r="A5" s="68"/>
      <c r="B5" s="67"/>
      <c r="C5" s="67"/>
      <c r="D5" s="67"/>
      <c r="E5" s="67"/>
      <c r="F5" s="67"/>
      <c r="G5" s="67"/>
    </row>
    <row r="6" spans="1:7" ht="15.75" customHeight="1" x14ac:dyDescent="0.3">
      <c r="A6" s="66"/>
      <c r="B6" s="66"/>
      <c r="C6" s="66"/>
      <c r="D6" s="66"/>
      <c r="E6" s="66"/>
      <c r="F6" s="66"/>
      <c r="G6" s="66"/>
    </row>
    <row r="7" spans="1:7" ht="15.75" customHeight="1" x14ac:dyDescent="0.3">
      <c r="A7" s="66"/>
      <c r="B7" s="66"/>
      <c r="C7" s="66"/>
      <c r="D7" s="66"/>
      <c r="E7" s="66"/>
      <c r="F7" s="66"/>
      <c r="G7" s="66"/>
    </row>
    <row r="8" spans="1:7" ht="15.75" customHeight="1" x14ac:dyDescent="0.3">
      <c r="A8" s="66"/>
      <c r="B8" s="66"/>
      <c r="C8" s="66"/>
      <c r="D8" s="66"/>
      <c r="E8" s="66"/>
      <c r="F8" s="66"/>
      <c r="G8" s="66"/>
    </row>
    <row r="9" spans="1:7" ht="15.75" customHeight="1" x14ac:dyDescent="0.3">
      <c r="A9" s="66"/>
      <c r="B9" s="66"/>
      <c r="C9" s="66"/>
      <c r="D9" s="66"/>
      <c r="E9" s="66"/>
      <c r="F9" s="66"/>
      <c r="G9" s="66"/>
    </row>
    <row r="10" spans="1:7" ht="15.75" customHeight="1" x14ac:dyDescent="0.3">
      <c r="A10" s="66"/>
      <c r="B10" s="66"/>
      <c r="C10" s="66"/>
      <c r="D10" s="66"/>
      <c r="E10" s="66"/>
      <c r="F10" s="66"/>
      <c r="G10" s="66"/>
    </row>
    <row r="11" spans="1:7" ht="15.75" customHeight="1" x14ac:dyDescent="0.3">
      <c r="A11" s="66"/>
      <c r="B11" s="66"/>
      <c r="C11" s="66"/>
      <c r="D11" s="66"/>
      <c r="E11" s="66"/>
      <c r="F11" s="66"/>
      <c r="G11" s="66"/>
    </row>
    <row r="12" spans="1:7" ht="15.75" customHeight="1" x14ac:dyDescent="0.3">
      <c r="A12" s="66"/>
      <c r="B12" s="66"/>
      <c r="C12" s="66"/>
      <c r="D12" s="66"/>
      <c r="E12" s="66"/>
      <c r="F12" s="66"/>
      <c r="G12" s="66"/>
    </row>
    <row r="13" spans="1:7" ht="15.75" customHeight="1" x14ac:dyDescent="0.3">
      <c r="A13" s="66"/>
      <c r="B13" s="66"/>
      <c r="C13" s="66"/>
      <c r="D13" s="66"/>
      <c r="E13" s="66"/>
      <c r="F13" s="66"/>
      <c r="G13" s="66"/>
    </row>
    <row r="14" spans="1:7" ht="15.75" customHeight="1" x14ac:dyDescent="0.3">
      <c r="A14" s="66"/>
      <c r="B14" s="66"/>
      <c r="C14" s="66"/>
      <c r="D14" s="66"/>
      <c r="E14" s="66"/>
      <c r="F14" s="66"/>
      <c r="G14" s="66"/>
    </row>
    <row r="15" spans="1:7" ht="15.75" customHeight="1" x14ac:dyDescent="0.3">
      <c r="A15" s="66"/>
      <c r="B15" s="66"/>
      <c r="C15" s="66"/>
      <c r="D15" s="66"/>
      <c r="E15" s="66"/>
      <c r="F15" s="66"/>
      <c r="G15" s="66"/>
    </row>
    <row r="16" spans="1:7" ht="15.75" customHeight="1" x14ac:dyDescent="0.3">
      <c r="A16" s="66"/>
      <c r="B16" s="66"/>
      <c r="C16" s="66"/>
      <c r="D16" s="66"/>
      <c r="E16" s="66"/>
      <c r="F16" s="66"/>
      <c r="G16" s="66"/>
    </row>
    <row r="17" spans="1:13" ht="15.75" customHeight="1" x14ac:dyDescent="0.3">
      <c r="A17" s="66"/>
      <c r="B17" s="66"/>
      <c r="C17" s="66"/>
      <c r="D17" s="66"/>
      <c r="E17" s="66"/>
      <c r="F17" s="66"/>
      <c r="G17" s="66"/>
    </row>
    <row r="18" spans="1:13" ht="15.75" customHeight="1" x14ac:dyDescent="0.3">
      <c r="A18" s="66"/>
      <c r="B18" s="66"/>
      <c r="C18" s="66"/>
      <c r="D18" s="66"/>
      <c r="E18" s="66"/>
      <c r="F18" s="66"/>
      <c r="G18" s="66"/>
    </row>
    <row r="19" spans="1:13" ht="15.75" customHeight="1" x14ac:dyDescent="0.3">
      <c r="A19" s="66"/>
      <c r="B19" s="66"/>
      <c r="C19" s="66"/>
      <c r="D19" s="66"/>
      <c r="E19" s="66"/>
      <c r="F19" s="66"/>
      <c r="G19" s="66"/>
    </row>
    <row r="20" spans="1:13" ht="15.75" customHeight="1" x14ac:dyDescent="0.3">
      <c r="A20" s="66"/>
      <c r="B20" s="66"/>
      <c r="C20" s="66"/>
      <c r="D20" s="66"/>
      <c r="E20" s="66"/>
      <c r="F20" s="66"/>
      <c r="G20" s="66"/>
    </row>
    <row r="21" spans="1:13" ht="15.75" customHeight="1" x14ac:dyDescent="0.3">
      <c r="A21" s="66"/>
      <c r="B21" s="66"/>
      <c r="C21" s="66"/>
      <c r="D21" s="66"/>
      <c r="E21" s="66"/>
      <c r="F21" s="66"/>
      <c r="G21" s="66"/>
    </row>
    <row r="22" spans="1:13" ht="15.75" customHeight="1" x14ac:dyDescent="0.3">
      <c r="A22" s="66"/>
      <c r="B22" s="66"/>
      <c r="C22" s="66"/>
      <c r="D22" s="66"/>
      <c r="E22" s="66"/>
      <c r="F22" s="66"/>
      <c r="G22" s="66"/>
    </row>
    <row r="23" spans="1:13" ht="15.75" customHeight="1" x14ac:dyDescent="0.3">
      <c r="A23" s="66"/>
      <c r="B23" s="66"/>
      <c r="C23" s="66"/>
      <c r="D23" s="66"/>
      <c r="E23" s="66"/>
      <c r="F23" s="66"/>
      <c r="G23" s="66"/>
    </row>
    <row r="24" spans="1:13" ht="15.75" customHeight="1" x14ac:dyDescent="0.3">
      <c r="A24" s="66"/>
      <c r="B24" s="66"/>
      <c r="C24" s="66"/>
      <c r="D24" s="66"/>
      <c r="E24" s="66"/>
      <c r="F24" s="66"/>
      <c r="G24" s="66"/>
    </row>
    <row r="25" spans="1:13" ht="15.75" customHeight="1" x14ac:dyDescent="0.3">
      <c r="A25" s="66"/>
      <c r="B25" s="66"/>
      <c r="C25" s="66"/>
      <c r="D25" s="66"/>
      <c r="E25" s="66"/>
      <c r="F25" s="66"/>
      <c r="G25" s="66"/>
    </row>
    <row r="26" spans="1:13" ht="15.75" customHeight="1" x14ac:dyDescent="0.3">
      <c r="A26" s="66"/>
      <c r="B26" s="66"/>
      <c r="C26" s="66"/>
      <c r="D26" s="66"/>
      <c r="E26" s="66"/>
      <c r="F26" s="66"/>
      <c r="G26" s="66"/>
    </row>
    <row r="27" spans="1:13" ht="15.75" customHeight="1" x14ac:dyDescent="0.3">
      <c r="A27" s="66"/>
      <c r="B27" s="66"/>
      <c r="C27" s="66"/>
      <c r="D27" s="66"/>
      <c r="E27" s="66"/>
      <c r="F27" s="66"/>
      <c r="G27" s="66"/>
      <c r="M27" s="70"/>
    </row>
    <row r="28" spans="1:13" ht="15.75" customHeight="1" x14ac:dyDescent="0.3">
      <c r="A28" s="66"/>
      <c r="B28" s="66"/>
      <c r="C28" s="66"/>
      <c r="D28" s="66"/>
      <c r="E28" s="66"/>
      <c r="F28" s="66"/>
      <c r="G28" s="66"/>
      <c r="M28" s="70"/>
    </row>
    <row r="29" spans="1:13" ht="15.75" customHeight="1" x14ac:dyDescent="0.3">
      <c r="A29" s="66"/>
      <c r="B29" s="66"/>
      <c r="C29" s="66"/>
      <c r="D29" s="66"/>
      <c r="E29" s="66"/>
      <c r="F29" s="66"/>
      <c r="G29" s="66"/>
      <c r="M29" s="70"/>
    </row>
    <row r="30" spans="1:13" ht="15.75" customHeight="1" x14ac:dyDescent="0.3">
      <c r="A30" s="66"/>
      <c r="B30" s="66"/>
      <c r="C30" s="66"/>
      <c r="D30" s="66"/>
      <c r="E30" s="66"/>
      <c r="F30" s="66"/>
      <c r="G30" s="66"/>
      <c r="M30" s="70"/>
    </row>
    <row r="31" spans="1:13" ht="15.75" customHeight="1" x14ac:dyDescent="0.3">
      <c r="A31" s="66"/>
      <c r="B31" s="66"/>
      <c r="C31" s="66"/>
      <c r="D31" s="66"/>
      <c r="E31" s="66"/>
      <c r="F31" s="66"/>
      <c r="G31" s="66"/>
      <c r="M31" s="70"/>
    </row>
    <row r="32" spans="1:13" ht="15.75" customHeight="1" x14ac:dyDescent="0.3">
      <c r="A32" s="66"/>
      <c r="B32" s="66"/>
      <c r="C32" s="66"/>
      <c r="D32" s="66"/>
      <c r="E32" s="66"/>
      <c r="F32" s="66"/>
      <c r="G32" s="66"/>
      <c r="M32" s="70"/>
    </row>
    <row r="33" spans="1:13" ht="15.75" customHeight="1" x14ac:dyDescent="0.3">
      <c r="A33" s="66"/>
      <c r="B33" s="66"/>
      <c r="C33" s="66"/>
      <c r="D33" s="66"/>
      <c r="E33" s="66"/>
      <c r="F33" s="66"/>
      <c r="G33" s="66"/>
      <c r="M33" s="70"/>
    </row>
    <row r="34" spans="1:13" ht="15.75" customHeight="1" x14ac:dyDescent="0.3">
      <c r="A34" s="66"/>
      <c r="B34" s="66"/>
      <c r="C34" s="66"/>
      <c r="D34" s="66"/>
      <c r="E34" s="66"/>
      <c r="F34" s="66"/>
      <c r="G34" s="66"/>
      <c r="M34" s="70"/>
    </row>
    <row r="35" spans="1:13" ht="15.75" customHeight="1" x14ac:dyDescent="0.3">
      <c r="A35" s="66"/>
      <c r="B35" s="66"/>
      <c r="C35" s="66"/>
      <c r="D35" s="66"/>
      <c r="E35" s="66"/>
      <c r="F35" s="66"/>
      <c r="G35" s="66"/>
      <c r="M35" s="70"/>
    </row>
    <row r="36" spans="1:13" ht="15.75" customHeight="1" x14ac:dyDescent="0.3">
      <c r="A36" s="66"/>
      <c r="B36" s="66"/>
      <c r="C36" s="66"/>
      <c r="D36" s="66"/>
      <c r="E36" s="66"/>
      <c r="F36" s="66"/>
      <c r="G36" s="66"/>
      <c r="M36" s="70"/>
    </row>
    <row r="37" spans="1:13" ht="15.75" customHeight="1" x14ac:dyDescent="0.3">
      <c r="A37" s="66"/>
      <c r="B37" s="66"/>
      <c r="C37" s="66"/>
      <c r="D37" s="66"/>
      <c r="E37" s="66"/>
      <c r="F37" s="66"/>
      <c r="G37" s="66"/>
      <c r="M37" s="70"/>
    </row>
    <row r="38" spans="1:13" ht="15.75" customHeight="1" x14ac:dyDescent="0.3">
      <c r="A38" s="66"/>
      <c r="B38" s="66"/>
      <c r="C38" s="66"/>
      <c r="D38" s="66"/>
      <c r="E38" s="66"/>
      <c r="F38" s="66"/>
      <c r="G38" s="66"/>
      <c r="M38" s="70"/>
    </row>
    <row r="39" spans="1:13" ht="15.75" customHeight="1" x14ac:dyDescent="0.3">
      <c r="A39" s="66"/>
      <c r="B39" s="66"/>
      <c r="C39" s="66"/>
      <c r="D39" s="66"/>
      <c r="E39" s="66"/>
      <c r="F39" s="66"/>
      <c r="G39" s="66"/>
      <c r="M39" s="70"/>
    </row>
    <row r="40" spans="1:13" ht="15.75" customHeight="1" x14ac:dyDescent="0.3">
      <c r="A40" s="66"/>
      <c r="B40" s="66"/>
      <c r="C40" s="66"/>
      <c r="D40" s="66"/>
      <c r="E40" s="66"/>
      <c r="F40" s="66"/>
      <c r="G40" s="66"/>
      <c r="M40" s="70"/>
    </row>
    <row r="41" spans="1:13" ht="15.75" customHeight="1" x14ac:dyDescent="0.3">
      <c r="A41" s="66"/>
      <c r="B41" s="66"/>
      <c r="C41" s="66"/>
      <c r="D41" s="66"/>
      <c r="E41" s="66"/>
      <c r="F41" s="66"/>
      <c r="G41" s="66"/>
      <c r="M41" s="70"/>
    </row>
    <row r="42" spans="1:13" ht="15.75" customHeight="1" x14ac:dyDescent="0.3">
      <c r="A42" s="66"/>
      <c r="B42" s="66"/>
      <c r="C42" s="66"/>
      <c r="D42" s="66"/>
      <c r="E42" s="66"/>
      <c r="F42" s="66"/>
      <c r="G42" s="66"/>
      <c r="M42" s="70"/>
    </row>
    <row r="43" spans="1:13" ht="15.75" customHeight="1" x14ac:dyDescent="0.3">
      <c r="A43" s="66"/>
      <c r="B43" s="66"/>
      <c r="C43" s="66"/>
      <c r="D43" s="66"/>
      <c r="E43" s="66"/>
      <c r="F43" s="66"/>
      <c r="G43" s="66"/>
      <c r="M43" s="70"/>
    </row>
    <row r="44" spans="1:13" ht="15.75" customHeight="1" x14ac:dyDescent="0.3">
      <c r="A44" s="66"/>
      <c r="B44" s="66"/>
      <c r="C44" s="66"/>
      <c r="D44" s="66"/>
      <c r="E44" s="66"/>
      <c r="F44" s="66"/>
      <c r="G44" s="66"/>
      <c r="M44" s="70"/>
    </row>
    <row r="45" spans="1:13" ht="15.75" customHeight="1" x14ac:dyDescent="0.3">
      <c r="A45" s="66"/>
      <c r="B45" s="66"/>
      <c r="C45" s="66"/>
      <c r="D45" s="66"/>
      <c r="E45" s="66"/>
      <c r="F45" s="66"/>
      <c r="G45" s="66"/>
      <c r="M45" s="70"/>
    </row>
    <row r="46" spans="1:13" ht="15.75" customHeight="1" x14ac:dyDescent="0.3">
      <c r="A46" s="66"/>
      <c r="B46" s="66"/>
      <c r="C46" s="66"/>
      <c r="D46" s="66"/>
      <c r="E46" s="66"/>
      <c r="F46" s="66"/>
      <c r="G46" s="66"/>
      <c r="M46" s="70"/>
    </row>
    <row r="47" spans="1:13" ht="15.75" customHeight="1" x14ac:dyDescent="0.3">
      <c r="A47" s="66"/>
      <c r="B47" s="66"/>
      <c r="C47" s="66"/>
      <c r="D47" s="66"/>
      <c r="E47" s="66"/>
      <c r="F47" s="66"/>
      <c r="G47" s="66"/>
      <c r="M47" s="70"/>
    </row>
    <row r="48" spans="1:13" ht="15.75" customHeight="1" x14ac:dyDescent="0.3">
      <c r="A48" s="66"/>
      <c r="B48" s="66"/>
      <c r="C48" s="66"/>
      <c r="D48" s="66"/>
      <c r="E48" s="66"/>
      <c r="F48" s="66"/>
      <c r="G48" s="66"/>
      <c r="M48" s="70"/>
    </row>
    <row r="49" spans="1:14" ht="15.75" customHeight="1" x14ac:dyDescent="0.3">
      <c r="A49" s="66"/>
      <c r="B49" s="66"/>
      <c r="C49" s="66"/>
      <c r="D49" s="66"/>
      <c r="E49" s="88"/>
      <c r="F49" s="66"/>
      <c r="G49" s="66"/>
      <c r="M49" s="70"/>
    </row>
    <row r="50" spans="1:14" ht="15.75" customHeight="1" x14ac:dyDescent="0.3">
      <c r="A50" s="66"/>
      <c r="B50" s="66"/>
      <c r="C50" s="66"/>
      <c r="D50" s="66"/>
      <c r="E50" s="66"/>
      <c r="F50" s="66"/>
      <c r="G50" s="66"/>
      <c r="M50" s="70"/>
    </row>
    <row r="51" spans="1:14" ht="12.75" customHeight="1" x14ac:dyDescent="0.25">
      <c r="A51" s="50"/>
      <c r="B51" s="50"/>
      <c r="C51" s="50"/>
      <c r="D51" s="50"/>
      <c r="E51" s="50"/>
      <c r="F51" s="50"/>
      <c r="G51" s="50"/>
      <c r="H51" s="50"/>
      <c r="I51" s="50"/>
      <c r="J51" s="50"/>
      <c r="K51" s="50"/>
      <c r="L51" s="50"/>
      <c r="M51" s="50"/>
      <c r="N51" s="50"/>
    </row>
    <row r="52" spans="1:14" ht="12.75" customHeight="1" x14ac:dyDescent="0.25">
      <c r="A52" s="52" t="str">
        <f>+Innhold!B123</f>
        <v>Finans Norge / Skadeforsikringsstatistikk</v>
      </c>
      <c r="G52" s="187">
        <v>27</v>
      </c>
      <c r="H52" s="52" t="str">
        <f>+Innhold!B123</f>
        <v>Finans Norge / Skadeforsikringsstatistikk</v>
      </c>
      <c r="N52" s="187">
        <v>28</v>
      </c>
    </row>
    <row r="53" spans="1:14" ht="12.75" customHeight="1" x14ac:dyDescent="0.25">
      <c r="A53" s="52" t="str">
        <f>+Innhold!B124</f>
        <v>Skadestatistikk for landbasert forsikring 1. kvartal 2026</v>
      </c>
      <c r="G53" s="188"/>
      <c r="H53" s="52" t="str">
        <f>+Innhold!B124</f>
        <v>Skadestatistikk for landbasert forsikring 1. kvartal 2026</v>
      </c>
      <c r="N53" s="188"/>
    </row>
    <row r="54" spans="1:14" ht="15.75" customHeight="1" x14ac:dyDescent="0.25"/>
    <row r="55" spans="1:14" ht="15.75" customHeight="1" x14ac:dyDescent="0.25"/>
    <row r="56" spans="1:14" ht="15.75" customHeight="1" x14ac:dyDescent="0.25"/>
    <row r="57" spans="1:14" ht="15.75" customHeight="1" x14ac:dyDescent="0.25"/>
    <row r="58" spans="1:14" ht="15.75" customHeight="1" x14ac:dyDescent="0.25"/>
    <row r="59" spans="1:14" ht="15.75" customHeight="1" x14ac:dyDescent="0.25"/>
    <row r="60" spans="1:14" ht="15.75" customHeight="1" x14ac:dyDescent="0.25">
      <c r="J60"/>
      <c r="K60"/>
      <c r="L60"/>
    </row>
    <row r="61" spans="1:14" ht="15.75" customHeight="1" x14ac:dyDescent="0.25">
      <c r="J61" s="64"/>
      <c r="K61" s="65"/>
      <c r="L61" s="65"/>
    </row>
    <row r="62" spans="1:14" ht="15.75" customHeight="1" x14ac:dyDescent="0.25">
      <c r="J62" s="63"/>
      <c r="K62"/>
      <c r="L62"/>
    </row>
    <row r="63" spans="1:14" ht="15.75" customHeight="1" x14ac:dyDescent="0.25">
      <c r="J63" s="62"/>
      <c r="K63" s="62"/>
      <c r="L63" s="62"/>
    </row>
    <row r="64" spans="1:14" ht="15.75" customHeight="1" x14ac:dyDescent="0.25">
      <c r="J64" s="62"/>
      <c r="K64" s="62"/>
      <c r="L64" s="62"/>
    </row>
    <row r="65" spans="1:12" ht="15.75" customHeight="1" x14ac:dyDescent="0.25">
      <c r="J65" s="62"/>
      <c r="K65" s="62"/>
      <c r="L65" s="62"/>
    </row>
    <row r="66" spans="1:12" ht="15.75" customHeight="1" x14ac:dyDescent="0.25">
      <c r="J66" s="62"/>
      <c r="K66" s="62"/>
      <c r="L66" s="62"/>
    </row>
    <row r="67" spans="1:12" ht="15.75" customHeight="1" x14ac:dyDescent="0.25">
      <c r="J67" s="62"/>
      <c r="K67" s="62"/>
      <c r="L67" s="62"/>
    </row>
    <row r="68" spans="1:12" ht="15.75" customHeight="1" x14ac:dyDescent="0.25">
      <c r="J68" s="62"/>
      <c r="K68" s="62"/>
      <c r="L68" s="62"/>
    </row>
    <row r="69" spans="1:12" ht="15.75" customHeight="1" x14ac:dyDescent="0.25">
      <c r="J69" s="62"/>
      <c r="K69" s="62"/>
      <c r="L69" s="62"/>
    </row>
    <row r="70" spans="1:12" ht="15.75" customHeight="1" x14ac:dyDescent="0.25">
      <c r="J70"/>
      <c r="K70"/>
      <c r="L70"/>
    </row>
    <row r="71" spans="1:12" x14ac:dyDescent="0.25">
      <c r="J71"/>
      <c r="K71"/>
      <c r="L71"/>
    </row>
    <row r="72" spans="1:12" x14ac:dyDescent="0.25">
      <c r="J72"/>
      <c r="K72"/>
      <c r="L72"/>
    </row>
    <row r="73" spans="1:12" x14ac:dyDescent="0.25">
      <c r="A73"/>
      <c r="B73"/>
      <c r="C73"/>
      <c r="D73"/>
      <c r="E73"/>
      <c r="F73"/>
      <c r="H73"/>
      <c r="I73"/>
      <c r="J73"/>
      <c r="K73"/>
      <c r="L73"/>
    </row>
    <row r="74" spans="1:12" x14ac:dyDescent="0.25">
      <c r="A74"/>
      <c r="B74"/>
      <c r="C74"/>
      <c r="D74"/>
      <c r="E74"/>
      <c r="F74"/>
      <c r="H74"/>
      <c r="I74"/>
      <c r="J74"/>
      <c r="K74"/>
      <c r="L74"/>
    </row>
    <row r="75" spans="1:12" x14ac:dyDescent="0.25">
      <c r="A75"/>
      <c r="B75"/>
      <c r="C75"/>
      <c r="D75"/>
      <c r="E75"/>
      <c r="F75"/>
      <c r="H75"/>
      <c r="I75"/>
      <c r="J75"/>
      <c r="K75"/>
      <c r="L75"/>
    </row>
    <row r="76" spans="1:12" x14ac:dyDescent="0.25">
      <c r="A76"/>
      <c r="B76"/>
      <c r="C76"/>
      <c r="D76"/>
      <c r="E76"/>
      <c r="F76"/>
      <c r="H76"/>
      <c r="I76"/>
      <c r="J76"/>
      <c r="K76"/>
      <c r="L76"/>
    </row>
    <row r="77" spans="1:12" x14ac:dyDescent="0.25">
      <c r="A77"/>
      <c r="B77"/>
      <c r="C77"/>
      <c r="D77"/>
      <c r="E77"/>
      <c r="F77"/>
      <c r="H77"/>
      <c r="I77"/>
      <c r="J77"/>
      <c r="K77"/>
      <c r="L77"/>
    </row>
    <row r="78" spans="1:12" x14ac:dyDescent="0.25">
      <c r="A78"/>
      <c r="B78"/>
      <c r="C78"/>
      <c r="D78"/>
      <c r="E78"/>
      <c r="F78"/>
      <c r="H78"/>
      <c r="I78"/>
      <c r="J78"/>
      <c r="K78"/>
      <c r="L78"/>
    </row>
    <row r="79" spans="1:12" x14ac:dyDescent="0.25">
      <c r="A79"/>
      <c r="B79"/>
      <c r="C79"/>
      <c r="D79"/>
      <c r="E79"/>
      <c r="F79"/>
      <c r="H79"/>
      <c r="I79"/>
      <c r="J79"/>
      <c r="K79"/>
      <c r="L79"/>
    </row>
    <row r="80" spans="1:12" x14ac:dyDescent="0.25">
      <c r="A80"/>
      <c r="B80"/>
      <c r="C80"/>
      <c r="D80"/>
      <c r="E80"/>
      <c r="F80"/>
      <c r="H80"/>
      <c r="I80"/>
      <c r="J80"/>
      <c r="K80"/>
      <c r="L80"/>
    </row>
    <row r="81" spans="1:12" x14ac:dyDescent="0.25">
      <c r="A81"/>
      <c r="B81"/>
      <c r="C81"/>
      <c r="D81"/>
      <c r="E81"/>
      <c r="F81"/>
      <c r="H81"/>
      <c r="I81"/>
      <c r="J81"/>
      <c r="K81"/>
      <c r="L81"/>
    </row>
    <row r="82" spans="1:12" x14ac:dyDescent="0.25">
      <c r="A82"/>
      <c r="B82"/>
      <c r="C82"/>
      <c r="D82"/>
      <c r="E82"/>
      <c r="F82"/>
      <c r="H82"/>
      <c r="I82"/>
      <c r="J82"/>
      <c r="K82"/>
      <c r="L82"/>
    </row>
    <row r="83" spans="1:12" x14ac:dyDescent="0.25">
      <c r="A83"/>
      <c r="B83"/>
      <c r="C83"/>
      <c r="D83"/>
      <c r="E83"/>
      <c r="F83"/>
      <c r="H83"/>
      <c r="I83"/>
      <c r="J83"/>
      <c r="K83"/>
      <c r="L83"/>
    </row>
    <row r="84" spans="1:12" x14ac:dyDescent="0.25">
      <c r="A84"/>
      <c r="B84"/>
      <c r="C84"/>
      <c r="D84"/>
      <c r="E84"/>
      <c r="F84"/>
      <c r="H84"/>
      <c r="I84"/>
      <c r="J84"/>
      <c r="K84"/>
      <c r="L84"/>
    </row>
    <row r="85" spans="1:12" x14ac:dyDescent="0.25">
      <c r="A85"/>
      <c r="B85"/>
      <c r="C85"/>
      <c r="D85"/>
      <c r="E85"/>
      <c r="F85"/>
      <c r="H85"/>
      <c r="I85"/>
      <c r="J85"/>
      <c r="K85"/>
      <c r="L85"/>
    </row>
    <row r="86" spans="1:12" x14ac:dyDescent="0.25">
      <c r="A86"/>
      <c r="B86"/>
      <c r="C86"/>
      <c r="D86"/>
      <c r="E86"/>
      <c r="F86"/>
      <c r="H86"/>
      <c r="I86"/>
      <c r="J86"/>
      <c r="K86"/>
      <c r="L86"/>
    </row>
    <row r="87" spans="1:12" x14ac:dyDescent="0.25">
      <c r="A87"/>
      <c r="B87"/>
      <c r="C87"/>
      <c r="D87"/>
      <c r="E87"/>
      <c r="F87"/>
      <c r="H87"/>
      <c r="I87"/>
      <c r="J87"/>
      <c r="K87"/>
      <c r="L87"/>
    </row>
    <row r="88" spans="1:12" x14ac:dyDescent="0.25">
      <c r="A88"/>
      <c r="B88"/>
      <c r="C88"/>
      <c r="D88"/>
      <c r="E88"/>
      <c r="F88"/>
      <c r="H88"/>
      <c r="I88"/>
      <c r="J88"/>
      <c r="K88"/>
      <c r="L88"/>
    </row>
    <row r="89" spans="1:12" x14ac:dyDescent="0.25">
      <c r="A89"/>
      <c r="B89"/>
      <c r="C89"/>
      <c r="D89"/>
      <c r="E89"/>
      <c r="F89"/>
      <c r="H89"/>
      <c r="I89"/>
      <c r="J89"/>
      <c r="K89"/>
      <c r="L89"/>
    </row>
    <row r="90" spans="1:12" x14ac:dyDescent="0.25">
      <c r="A90"/>
      <c r="B90"/>
      <c r="C90"/>
      <c r="D90"/>
      <c r="E90"/>
      <c r="F90"/>
      <c r="H90"/>
      <c r="I90"/>
      <c r="J90"/>
      <c r="K90"/>
      <c r="L90"/>
    </row>
    <row r="91" spans="1:12" x14ac:dyDescent="0.25">
      <c r="A91"/>
      <c r="B91"/>
      <c r="C91"/>
      <c r="D91"/>
      <c r="E91"/>
      <c r="F91"/>
      <c r="H91"/>
      <c r="I91"/>
      <c r="J91"/>
      <c r="K91"/>
      <c r="L91"/>
    </row>
    <row r="92" spans="1:12" x14ac:dyDescent="0.25">
      <c r="A92"/>
      <c r="B92"/>
      <c r="C92"/>
      <c r="D92"/>
      <c r="E92"/>
      <c r="F92"/>
      <c r="H92"/>
      <c r="I92"/>
      <c r="J92"/>
      <c r="K92"/>
      <c r="L92"/>
    </row>
    <row r="93" spans="1:12" x14ac:dyDescent="0.25">
      <c r="A93"/>
      <c r="B93"/>
      <c r="C93"/>
      <c r="D93"/>
      <c r="E93"/>
      <c r="F93"/>
      <c r="H93"/>
      <c r="I93"/>
      <c r="J93"/>
      <c r="K93"/>
      <c r="L93"/>
    </row>
    <row r="94" spans="1:12" x14ac:dyDescent="0.25">
      <c r="A94"/>
      <c r="B94"/>
      <c r="C94"/>
      <c r="D94"/>
      <c r="E94"/>
      <c r="F94"/>
      <c r="H94"/>
      <c r="I94"/>
      <c r="J94"/>
      <c r="K94"/>
      <c r="L94"/>
    </row>
    <row r="95" spans="1:12" x14ac:dyDescent="0.25">
      <c r="A95"/>
      <c r="B95"/>
      <c r="C95"/>
      <c r="D95"/>
      <c r="E95"/>
      <c r="F95"/>
      <c r="H95"/>
      <c r="I95"/>
      <c r="J95"/>
      <c r="K95"/>
      <c r="L95"/>
    </row>
    <row r="96" spans="1:12" x14ac:dyDescent="0.25">
      <c r="A96"/>
      <c r="B96"/>
      <c r="C96"/>
      <c r="D96"/>
      <c r="E96"/>
      <c r="F96"/>
      <c r="H96"/>
      <c r="I96"/>
      <c r="J96"/>
      <c r="K96"/>
      <c r="L96"/>
    </row>
    <row r="97" spans="1:12" x14ac:dyDescent="0.25">
      <c r="A97"/>
      <c r="B97"/>
      <c r="C97"/>
      <c r="D97"/>
      <c r="E97"/>
      <c r="F97"/>
      <c r="H97"/>
      <c r="I97"/>
      <c r="J97"/>
      <c r="K97"/>
      <c r="L97"/>
    </row>
    <row r="98" spans="1:12" x14ac:dyDescent="0.25">
      <c r="A98"/>
      <c r="B98"/>
      <c r="C98"/>
      <c r="D98"/>
      <c r="E98"/>
      <c r="F98"/>
      <c r="H98"/>
      <c r="I98"/>
      <c r="J98"/>
      <c r="K98"/>
      <c r="L98"/>
    </row>
    <row r="99" spans="1:12" x14ac:dyDescent="0.25">
      <c r="A99"/>
      <c r="B99"/>
      <c r="C99"/>
      <c r="D99"/>
      <c r="E99"/>
      <c r="F99"/>
      <c r="K99"/>
    </row>
    <row r="100" spans="1:12" x14ac:dyDescent="0.25">
      <c r="A100"/>
      <c r="B100"/>
      <c r="C100"/>
      <c r="D100"/>
      <c r="E100"/>
      <c r="F100"/>
      <c r="K100"/>
    </row>
    <row r="101" spans="1:12" x14ac:dyDescent="0.25">
      <c r="A101"/>
      <c r="B101"/>
      <c r="C101"/>
      <c r="D101"/>
      <c r="E101"/>
      <c r="F101"/>
      <c r="H101" s="61"/>
      <c r="I101"/>
      <c r="J101"/>
      <c r="K101"/>
    </row>
    <row r="102" spans="1:12" x14ac:dyDescent="0.25">
      <c r="A102"/>
      <c r="B102"/>
      <c r="C102"/>
      <c r="D102"/>
      <c r="E102"/>
      <c r="F102"/>
      <c r="H102"/>
      <c r="I102"/>
      <c r="J102"/>
      <c r="K102"/>
    </row>
    <row r="103" spans="1:12" x14ac:dyDescent="0.25">
      <c r="A103"/>
      <c r="B103"/>
      <c r="C103"/>
      <c r="D103"/>
      <c r="E103"/>
      <c r="F103"/>
      <c r="H103"/>
      <c r="I103"/>
      <c r="J103"/>
      <c r="K103"/>
    </row>
    <row r="104" spans="1:12" x14ac:dyDescent="0.25">
      <c r="A104"/>
      <c r="B104"/>
      <c r="C104"/>
      <c r="D104"/>
      <c r="E104"/>
      <c r="F104"/>
      <c r="H104"/>
      <c r="I104"/>
      <c r="J104"/>
      <c r="K104"/>
    </row>
    <row r="105" spans="1:12" x14ac:dyDescent="0.25">
      <c r="A105"/>
      <c r="B105"/>
      <c r="C105"/>
      <c r="D105"/>
      <c r="E105"/>
      <c r="F105"/>
      <c r="H105"/>
      <c r="I105" s="62"/>
      <c r="J105" s="62"/>
      <c r="K105" s="62"/>
    </row>
    <row r="106" spans="1:12" x14ac:dyDescent="0.25">
      <c r="A106"/>
      <c r="B106"/>
      <c r="C106"/>
      <c r="D106"/>
      <c r="E106"/>
      <c r="F106"/>
      <c r="H106"/>
      <c r="I106" s="62"/>
      <c r="J106" s="62"/>
      <c r="K106" s="62"/>
    </row>
    <row r="107" spans="1:12" x14ac:dyDescent="0.25">
      <c r="D107"/>
      <c r="E107"/>
      <c r="F107"/>
      <c r="H107"/>
      <c r="I107" s="62"/>
      <c r="J107" s="62"/>
      <c r="K107" s="62"/>
    </row>
    <row r="108" spans="1:12" x14ac:dyDescent="0.25">
      <c r="D108"/>
      <c r="E108"/>
      <c r="F108"/>
      <c r="H108"/>
      <c r="I108"/>
      <c r="J108"/>
      <c r="K108"/>
    </row>
    <row r="109" spans="1:12" x14ac:dyDescent="0.25">
      <c r="A109" s="71"/>
      <c r="B109"/>
      <c r="C109"/>
      <c r="D109"/>
      <c r="E109"/>
      <c r="F109"/>
      <c r="H109"/>
      <c r="I109"/>
      <c r="J109"/>
      <c r="K109"/>
    </row>
    <row r="110" spans="1:12" x14ac:dyDescent="0.25">
      <c r="A110"/>
      <c r="B110"/>
      <c r="C110"/>
      <c r="D110"/>
      <c r="E110"/>
      <c r="F110"/>
      <c r="H110"/>
      <c r="I110"/>
      <c r="J110"/>
      <c r="K110"/>
    </row>
    <row r="111" spans="1:12" x14ac:dyDescent="0.25">
      <c r="A111"/>
      <c r="B111"/>
      <c r="C111"/>
      <c r="D111"/>
      <c r="E111"/>
      <c r="F111"/>
      <c r="H111"/>
      <c r="I111"/>
      <c r="J111"/>
      <c r="K111"/>
    </row>
    <row r="112" spans="1:12" x14ac:dyDescent="0.25">
      <c r="A112"/>
      <c r="B112"/>
      <c r="C112"/>
      <c r="D112"/>
      <c r="E112"/>
      <c r="F112"/>
      <c r="H112"/>
      <c r="I112"/>
      <c r="J112"/>
      <c r="K112"/>
    </row>
    <row r="113" spans="1:11" x14ac:dyDescent="0.25">
      <c r="A113"/>
      <c r="B113"/>
      <c r="C113"/>
      <c r="D113"/>
      <c r="E113"/>
      <c r="F113"/>
    </row>
    <row r="114" spans="1:11" x14ac:dyDescent="0.25">
      <c r="A114"/>
      <c r="B114"/>
      <c r="C114"/>
      <c r="D114"/>
      <c r="E114"/>
      <c r="F114"/>
    </row>
    <row r="115" spans="1:11" x14ac:dyDescent="0.25">
      <c r="A115"/>
      <c r="B115"/>
      <c r="C115"/>
      <c r="D115"/>
      <c r="E115"/>
      <c r="F115"/>
      <c r="H115" s="61"/>
      <c r="I115"/>
      <c r="J115"/>
      <c r="K115"/>
    </row>
    <row r="116" spans="1:11" x14ac:dyDescent="0.25">
      <c r="A116"/>
      <c r="B116"/>
      <c r="C116"/>
      <c r="D116"/>
      <c r="E116"/>
      <c r="F116"/>
      <c r="H116"/>
      <c r="I116"/>
      <c r="J116"/>
      <c r="K116"/>
    </row>
    <row r="117" spans="1:11" x14ac:dyDescent="0.25">
      <c r="A117"/>
      <c r="B117"/>
      <c r="C117"/>
      <c r="D117"/>
      <c r="E117"/>
      <c r="F117"/>
      <c r="H117"/>
      <c r="I117"/>
      <c r="J117"/>
      <c r="K117"/>
    </row>
    <row r="118" spans="1:11" x14ac:dyDescent="0.25">
      <c r="A118"/>
      <c r="B118"/>
      <c r="C118"/>
      <c r="D118"/>
      <c r="E118"/>
      <c r="F118"/>
      <c r="H118"/>
      <c r="I118"/>
      <c r="J118" s="62"/>
      <c r="K118" s="62"/>
    </row>
    <row r="119" spans="1:11" x14ac:dyDescent="0.25">
      <c r="A119"/>
      <c r="B119"/>
      <c r="C119"/>
      <c r="D119"/>
      <c r="E119"/>
      <c r="F119"/>
      <c r="H119"/>
      <c r="I119"/>
      <c r="J119" s="62"/>
      <c r="K119" s="62"/>
    </row>
    <row r="120" spans="1:11" x14ac:dyDescent="0.25">
      <c r="A120"/>
      <c r="B120"/>
      <c r="C120"/>
      <c r="D120"/>
      <c r="E120"/>
      <c r="F120"/>
      <c r="H120"/>
      <c r="I120"/>
      <c r="J120" s="62"/>
      <c r="K120" s="62"/>
    </row>
    <row r="121" spans="1:11" x14ac:dyDescent="0.25">
      <c r="A121"/>
      <c r="B121"/>
      <c r="C121"/>
      <c r="D121"/>
      <c r="E121"/>
      <c r="F121"/>
      <c r="H121"/>
      <c r="I121"/>
      <c r="J121"/>
      <c r="K121"/>
    </row>
    <row r="122" spans="1:11" x14ac:dyDescent="0.25">
      <c r="A122"/>
      <c r="B122"/>
      <c r="C122"/>
      <c r="D122"/>
      <c r="E122"/>
      <c r="F122"/>
      <c r="G122"/>
      <c r="H122"/>
      <c r="I122"/>
      <c r="J122"/>
      <c r="K122"/>
    </row>
    <row r="123" spans="1:11" x14ac:dyDescent="0.25">
      <c r="A123"/>
      <c r="B123"/>
      <c r="C123"/>
      <c r="D123"/>
      <c r="E123"/>
      <c r="F123"/>
      <c r="G123"/>
      <c r="H123"/>
      <c r="I123"/>
      <c r="J123"/>
      <c r="K123"/>
    </row>
    <row r="124" spans="1:11" x14ac:dyDescent="0.25">
      <c r="A124"/>
      <c r="B124"/>
      <c r="C124"/>
      <c r="D124"/>
      <c r="E124"/>
      <c r="F124"/>
      <c r="G124"/>
      <c r="H124"/>
      <c r="I124" s="62"/>
      <c r="J124" s="62"/>
    </row>
    <row r="125" spans="1:11" x14ac:dyDescent="0.25">
      <c r="A125"/>
      <c r="B125" s="62"/>
      <c r="C125" s="62"/>
      <c r="D125"/>
      <c r="E125"/>
      <c r="F125"/>
      <c r="G125"/>
      <c r="H125"/>
      <c r="I125" s="62"/>
      <c r="J125" s="62"/>
    </row>
    <row r="126" spans="1:11" x14ac:dyDescent="0.25">
      <c r="A126"/>
      <c r="B126"/>
      <c r="C126"/>
      <c r="D126"/>
      <c r="F126"/>
      <c r="G126"/>
      <c r="H126"/>
      <c r="I126"/>
      <c r="J126"/>
    </row>
    <row r="127" spans="1:11" x14ac:dyDescent="0.25">
      <c r="A127"/>
      <c r="B127"/>
      <c r="C127"/>
      <c r="D127"/>
      <c r="F127"/>
      <c r="G127"/>
      <c r="H127"/>
      <c r="I127"/>
      <c r="J127"/>
    </row>
    <row r="128" spans="1:11" x14ac:dyDescent="0.25">
      <c r="A128"/>
      <c r="B128"/>
      <c r="C128"/>
      <c r="D128"/>
      <c r="F128"/>
      <c r="G128"/>
      <c r="H128"/>
      <c r="I128"/>
      <c r="J128"/>
    </row>
    <row r="129" spans="1:10" x14ac:dyDescent="0.25">
      <c r="A129"/>
      <c r="B129" s="62"/>
      <c r="C129" s="62"/>
      <c r="D129"/>
      <c r="F129"/>
      <c r="G129"/>
      <c r="H129"/>
      <c r="I129"/>
      <c r="J129"/>
    </row>
    <row r="130" spans="1:10" x14ac:dyDescent="0.25">
      <c r="A130"/>
      <c r="B130" s="62"/>
      <c r="C130" s="62"/>
      <c r="D130"/>
      <c r="F130"/>
      <c r="G130"/>
      <c r="H130"/>
      <c r="I130"/>
      <c r="J130"/>
    </row>
    <row r="131" spans="1:10" x14ac:dyDescent="0.25">
      <c r="A131"/>
      <c r="B131" s="62"/>
      <c r="C131" s="62"/>
      <c r="D131"/>
      <c r="F131"/>
    </row>
    <row r="132" spans="1:10" x14ac:dyDescent="0.25">
      <c r="A132"/>
      <c r="B132"/>
      <c r="C132"/>
      <c r="D132"/>
      <c r="F132"/>
    </row>
    <row r="133" spans="1:10" x14ac:dyDescent="0.25">
      <c r="A133"/>
      <c r="B133" s="62"/>
      <c r="C133" s="62"/>
      <c r="D133"/>
      <c r="F133"/>
    </row>
    <row r="134" spans="1:10" x14ac:dyDescent="0.25">
      <c r="A134"/>
      <c r="B134" s="62"/>
      <c r="C134" s="62"/>
      <c r="D134"/>
      <c r="F134"/>
    </row>
    <row r="135" spans="1:10" x14ac:dyDescent="0.25">
      <c r="A135"/>
      <c r="B135" s="62"/>
      <c r="C135" s="62"/>
      <c r="D135"/>
      <c r="F135"/>
    </row>
    <row r="136" spans="1:10" x14ac:dyDescent="0.25">
      <c r="A136"/>
      <c r="B136"/>
      <c r="C136"/>
      <c r="D136"/>
      <c r="F136"/>
    </row>
    <row r="137" spans="1:10" x14ac:dyDescent="0.25">
      <c r="A137"/>
      <c r="B137" s="62"/>
      <c r="C137" s="62"/>
      <c r="D137"/>
      <c r="F137"/>
    </row>
    <row r="138" spans="1:10" x14ac:dyDescent="0.25">
      <c r="A138"/>
      <c r="B138" s="62"/>
      <c r="C138" s="62"/>
      <c r="D138"/>
      <c r="F138"/>
    </row>
  </sheetData>
  <mergeCells count="2">
    <mergeCell ref="N52:N53"/>
    <mergeCell ref="G52:G53"/>
  </mergeCells>
  <phoneticPr fontId="0" type="noConversion"/>
  <hyperlinks>
    <hyperlink ref="A2" location="Innhold!A80" display="Tilbake til innholdsfortegnelsen" xr:uid="{00000000-0004-0000-1600-000000000000}"/>
  </hyperlinks>
  <pageMargins left="0.78740157480314965" right="0.70866141732283472" top="0.78740157480314965" bottom="0.19685039370078741" header="3.937007874015748E-2" footer="3.937007874015748E-2"/>
  <pageSetup paperSize="9" scale="98"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7"/>
  <sheetViews>
    <sheetView showGridLines="0" showRowColHeaders="0" tabSelected="1" topLeftCell="A2" zoomScaleNormal="100" workbookViewId="0">
      <selection activeCell="J16" sqref="J16"/>
    </sheetView>
  </sheetViews>
  <sheetFormatPr baseColWidth="10" defaultColWidth="11.44140625" defaultRowHeight="15.6" customHeight="1" x14ac:dyDescent="0.25"/>
  <cols>
    <col min="1" max="1" width="27.109375" style="1" customWidth="1"/>
    <col min="2" max="4" width="10.5546875" style="1" customWidth="1"/>
    <col min="5" max="7" width="7.5546875" style="1" customWidth="1"/>
    <col min="8" max="16384" width="11.44140625" style="1"/>
  </cols>
  <sheetData>
    <row r="1" spans="1:7" ht="6" customHeight="1" x14ac:dyDescent="0.25"/>
    <row r="2" spans="1:7" ht="15.6" customHeight="1" x14ac:dyDescent="0.25">
      <c r="A2" s="85" t="s">
        <v>0</v>
      </c>
      <c r="B2" s="2"/>
      <c r="C2" s="2"/>
      <c r="D2" s="2"/>
      <c r="E2" s="2"/>
      <c r="F2" s="2"/>
    </row>
    <row r="3" spans="1:7" ht="6" customHeight="1" x14ac:dyDescent="0.25"/>
    <row r="4" spans="1:7" ht="15.6" customHeight="1" x14ac:dyDescent="0.25">
      <c r="A4" s="2"/>
      <c r="B4" s="2"/>
      <c r="C4" s="2"/>
      <c r="D4" s="2"/>
      <c r="E4" s="2"/>
      <c r="F4" s="2"/>
    </row>
    <row r="5" spans="1:7" ht="15.6" customHeight="1" x14ac:dyDescent="0.3">
      <c r="A5" s="81"/>
      <c r="B5" s="67"/>
      <c r="C5" s="67"/>
      <c r="D5" s="67"/>
      <c r="E5" s="67"/>
      <c r="F5" s="67"/>
      <c r="G5" s="67"/>
    </row>
    <row r="6" spans="1:7" ht="15.6" customHeight="1" x14ac:dyDescent="0.3">
      <c r="A6" s="81"/>
      <c r="B6" s="67"/>
      <c r="C6" s="67"/>
      <c r="D6" s="67"/>
      <c r="E6" s="67"/>
      <c r="F6" s="67"/>
      <c r="G6" s="67"/>
    </row>
    <row r="7" spans="1:7" ht="15.6" customHeight="1" x14ac:dyDescent="0.3">
      <c r="A7" s="66"/>
      <c r="B7" s="66"/>
      <c r="C7" s="66"/>
      <c r="D7" s="66"/>
      <c r="E7" s="66"/>
      <c r="F7" s="66"/>
      <c r="G7" s="66"/>
    </row>
    <row r="8" spans="1:7" ht="15.6" customHeight="1" x14ac:dyDescent="0.3">
      <c r="A8" s="66"/>
      <c r="B8" s="66"/>
      <c r="C8" s="66"/>
      <c r="D8" s="66"/>
      <c r="E8" s="66"/>
      <c r="F8" s="66"/>
      <c r="G8" s="66"/>
    </row>
    <row r="9" spans="1:7" ht="15.6" customHeight="1" x14ac:dyDescent="0.3">
      <c r="A9" s="66"/>
      <c r="B9" s="66"/>
      <c r="C9" s="66"/>
      <c r="D9" s="66"/>
      <c r="E9" s="66"/>
      <c r="F9" s="66"/>
      <c r="G9" s="66"/>
    </row>
    <row r="10" spans="1:7" ht="15.6" customHeight="1" x14ac:dyDescent="0.3">
      <c r="A10" s="66"/>
      <c r="B10" s="66"/>
      <c r="C10" s="66"/>
      <c r="D10" s="66"/>
      <c r="E10" s="66"/>
      <c r="F10" s="66"/>
      <c r="G10" s="66"/>
    </row>
    <row r="11" spans="1:7" ht="15.6" customHeight="1" x14ac:dyDescent="0.3">
      <c r="A11" s="66"/>
      <c r="B11" s="66"/>
      <c r="C11" s="66"/>
      <c r="D11" s="66"/>
      <c r="E11" s="66"/>
      <c r="F11" s="66"/>
      <c r="G11" s="66"/>
    </row>
    <row r="12" spans="1:7" ht="15.6" customHeight="1" x14ac:dyDescent="0.3">
      <c r="A12" s="66"/>
      <c r="B12" s="66"/>
      <c r="C12" s="66"/>
      <c r="D12" s="66"/>
      <c r="E12" s="66"/>
      <c r="F12" s="66"/>
      <c r="G12" s="66"/>
    </row>
    <row r="13" spans="1:7" ht="15.6" customHeight="1" x14ac:dyDescent="0.3">
      <c r="A13" s="66"/>
      <c r="B13" s="66"/>
      <c r="C13" s="66"/>
      <c r="D13" s="66"/>
      <c r="E13" s="66"/>
      <c r="F13" s="66"/>
      <c r="G13" s="66"/>
    </row>
    <row r="14" spans="1:7" ht="15.6" customHeight="1" x14ac:dyDescent="0.3">
      <c r="A14" s="66"/>
      <c r="B14" s="66"/>
      <c r="C14" s="66"/>
      <c r="D14" s="66"/>
      <c r="E14" s="66"/>
      <c r="F14" s="66"/>
      <c r="G14" s="66"/>
    </row>
    <row r="15" spans="1:7" ht="15.6" customHeight="1" x14ac:dyDescent="0.3">
      <c r="A15" s="66"/>
      <c r="B15" s="66"/>
      <c r="C15" s="66"/>
      <c r="D15" s="66"/>
      <c r="E15" s="66"/>
      <c r="F15" s="66"/>
      <c r="G15" s="66"/>
    </row>
    <row r="16" spans="1:7" ht="15.6" customHeight="1" x14ac:dyDescent="0.3">
      <c r="A16" s="66"/>
      <c r="B16" s="66"/>
      <c r="C16" s="66"/>
      <c r="D16" s="66"/>
      <c r="E16" s="66"/>
      <c r="F16" s="66"/>
      <c r="G16" s="66"/>
    </row>
    <row r="17" spans="1:13" ht="15.6" customHeight="1" x14ac:dyDescent="0.3">
      <c r="A17" s="66"/>
      <c r="B17" s="66"/>
      <c r="C17" s="66"/>
      <c r="D17" s="66"/>
      <c r="E17" s="66"/>
      <c r="F17" s="66"/>
      <c r="G17" s="66"/>
    </row>
    <row r="18" spans="1:13" ht="15.6" customHeight="1" x14ac:dyDescent="0.3">
      <c r="A18" s="66"/>
      <c r="B18" s="66"/>
      <c r="C18" s="66"/>
      <c r="D18" s="66"/>
      <c r="E18" s="66"/>
      <c r="F18" s="66"/>
      <c r="G18" s="66"/>
    </row>
    <row r="19" spans="1:13" ht="15.6" customHeight="1" x14ac:dyDescent="0.3">
      <c r="A19" s="66"/>
      <c r="B19" s="66"/>
      <c r="C19" s="66"/>
      <c r="D19" s="66"/>
      <c r="E19" s="66"/>
      <c r="F19" s="66"/>
      <c r="G19" s="66"/>
    </row>
    <row r="20" spans="1:13" ht="15.6" customHeight="1" x14ac:dyDescent="0.3">
      <c r="A20" s="66"/>
      <c r="B20" s="66"/>
      <c r="C20" s="66"/>
      <c r="D20" s="66"/>
      <c r="E20" s="66"/>
      <c r="F20" s="66"/>
      <c r="G20" s="66"/>
    </row>
    <row r="21" spans="1:13" ht="15.6" customHeight="1" x14ac:dyDescent="0.3">
      <c r="A21" s="66"/>
      <c r="B21" s="66"/>
      <c r="C21" s="66"/>
      <c r="D21" s="66"/>
      <c r="E21" s="66"/>
      <c r="F21" s="66"/>
      <c r="G21" s="66"/>
    </row>
    <row r="22" spans="1:13" ht="15.6" customHeight="1" x14ac:dyDescent="0.3">
      <c r="A22" s="66"/>
      <c r="B22" s="66"/>
      <c r="C22" s="66"/>
      <c r="D22" s="66"/>
      <c r="E22" s="66"/>
      <c r="F22" s="66"/>
      <c r="G22" s="66"/>
    </row>
    <row r="23" spans="1:13" ht="15.6" customHeight="1" x14ac:dyDescent="0.3">
      <c r="A23" s="66"/>
      <c r="B23" s="66"/>
      <c r="C23" s="66"/>
      <c r="D23" s="66"/>
      <c r="E23" s="66"/>
      <c r="F23" s="66"/>
      <c r="G23" s="66"/>
    </row>
    <row r="24" spans="1:13" ht="15.6" customHeight="1" x14ac:dyDescent="0.3">
      <c r="A24" s="66"/>
      <c r="B24" s="66"/>
      <c r="C24" s="66"/>
      <c r="D24" s="66"/>
      <c r="E24" s="66"/>
      <c r="F24" s="66"/>
      <c r="G24" s="66"/>
    </row>
    <row r="25" spans="1:13" ht="15.6" customHeight="1" x14ac:dyDescent="0.3">
      <c r="A25" s="66"/>
      <c r="B25" s="66"/>
      <c r="C25" s="66"/>
      <c r="D25" s="66"/>
      <c r="E25" s="66"/>
      <c r="F25" s="66"/>
      <c r="G25" s="66"/>
    </row>
    <row r="26" spans="1:13" ht="15.6" customHeight="1" x14ac:dyDescent="0.3">
      <c r="A26" s="66"/>
      <c r="B26" s="66"/>
      <c r="C26" s="66"/>
      <c r="D26" s="66"/>
      <c r="E26" s="66"/>
      <c r="F26" s="66"/>
      <c r="G26" s="66"/>
    </row>
    <row r="27" spans="1:13" ht="15.6" customHeight="1" x14ac:dyDescent="0.3">
      <c r="A27" s="66"/>
      <c r="B27" s="66"/>
      <c r="C27" s="66"/>
      <c r="D27" s="66"/>
      <c r="E27" s="66"/>
      <c r="F27" s="66"/>
      <c r="G27" s="66"/>
    </row>
    <row r="28" spans="1:13" ht="15.6" customHeight="1" x14ac:dyDescent="0.3">
      <c r="A28" s="66"/>
      <c r="B28" s="66"/>
      <c r="C28" s="66"/>
      <c r="D28" s="66"/>
      <c r="E28" s="66"/>
      <c r="F28" s="66"/>
      <c r="G28" s="66"/>
      <c r="M28" s="70"/>
    </row>
    <row r="29" spans="1:13" ht="15.6" customHeight="1" x14ac:dyDescent="0.3">
      <c r="A29" s="66"/>
      <c r="B29" s="66"/>
      <c r="C29" s="66"/>
      <c r="D29" s="66"/>
      <c r="E29" s="66"/>
      <c r="F29" s="66"/>
      <c r="G29" s="66"/>
      <c r="M29" s="70"/>
    </row>
    <row r="30" spans="1:13" ht="15.6" customHeight="1" x14ac:dyDescent="0.3">
      <c r="A30" s="66"/>
      <c r="B30" s="66"/>
      <c r="C30" s="66"/>
      <c r="D30" s="66"/>
      <c r="E30" s="66"/>
      <c r="F30" s="66"/>
      <c r="G30" s="66"/>
      <c r="M30" s="70"/>
    </row>
    <row r="31" spans="1:13" ht="15.6" customHeight="1" x14ac:dyDescent="0.3">
      <c r="A31" s="66"/>
      <c r="B31" s="66"/>
      <c r="C31" s="66"/>
      <c r="D31" s="66"/>
      <c r="E31" s="66"/>
      <c r="F31" s="66"/>
      <c r="G31" s="66"/>
      <c r="M31" s="70"/>
    </row>
    <row r="32" spans="1:13" ht="15.6" customHeight="1" x14ac:dyDescent="0.3">
      <c r="A32" s="66"/>
      <c r="B32" s="66"/>
      <c r="C32" s="66"/>
      <c r="D32" s="66"/>
      <c r="E32" s="66"/>
      <c r="F32" s="66"/>
      <c r="G32" s="66"/>
      <c r="M32" s="70"/>
    </row>
    <row r="33" spans="1:13" ht="15.6" customHeight="1" x14ac:dyDescent="0.3">
      <c r="A33" s="66"/>
      <c r="B33" s="66"/>
      <c r="C33" s="66"/>
      <c r="D33" s="66"/>
      <c r="E33" s="66"/>
      <c r="F33" s="66"/>
      <c r="G33" s="66"/>
      <c r="M33" s="70"/>
    </row>
    <row r="34" spans="1:13" ht="15.6" customHeight="1" x14ac:dyDescent="0.3">
      <c r="A34" s="66"/>
      <c r="B34" s="66"/>
      <c r="C34" s="66"/>
      <c r="D34" s="66"/>
      <c r="E34" s="66"/>
      <c r="F34" s="66"/>
      <c r="G34" s="66"/>
      <c r="M34" s="70"/>
    </row>
    <row r="35" spans="1:13" ht="15.6" customHeight="1" x14ac:dyDescent="0.3">
      <c r="A35" s="66"/>
      <c r="B35" s="66"/>
      <c r="C35" s="66"/>
      <c r="D35" s="66"/>
      <c r="E35" s="66"/>
      <c r="F35" s="66"/>
      <c r="G35" s="66"/>
      <c r="M35" s="70"/>
    </row>
    <row r="36" spans="1:13" ht="15.6" customHeight="1" x14ac:dyDescent="0.3">
      <c r="A36" s="66"/>
      <c r="B36" s="66"/>
      <c r="C36" s="66"/>
      <c r="D36" s="66"/>
      <c r="E36" s="66"/>
      <c r="F36" s="66"/>
      <c r="G36" s="66"/>
      <c r="M36" s="70"/>
    </row>
    <row r="37" spans="1:13" ht="15.6" customHeight="1" x14ac:dyDescent="0.3">
      <c r="A37" s="66"/>
      <c r="B37" s="66"/>
      <c r="C37" s="66"/>
      <c r="D37" s="66"/>
      <c r="E37" s="66"/>
      <c r="F37" s="66"/>
      <c r="G37" s="66"/>
      <c r="M37" s="70"/>
    </row>
    <row r="38" spans="1:13" ht="15.6" customHeight="1" x14ac:dyDescent="0.3">
      <c r="A38" s="66"/>
      <c r="B38" s="66"/>
      <c r="C38" s="66"/>
      <c r="D38" s="66"/>
      <c r="E38" s="66"/>
      <c r="F38" s="66"/>
      <c r="G38" s="66"/>
      <c r="M38" s="70"/>
    </row>
    <row r="39" spans="1:13" ht="15.6" customHeight="1" x14ac:dyDescent="0.3">
      <c r="A39" s="66"/>
      <c r="B39" s="66"/>
      <c r="C39" s="66"/>
      <c r="D39" s="66"/>
      <c r="E39" s="66"/>
      <c r="F39" s="66"/>
      <c r="G39" s="66"/>
      <c r="M39" s="70"/>
    </row>
    <row r="40" spans="1:13" ht="15.6" customHeight="1" x14ac:dyDescent="0.3">
      <c r="A40" s="66"/>
      <c r="B40" s="66"/>
      <c r="C40" s="66"/>
      <c r="D40" s="66"/>
      <c r="E40" s="66"/>
      <c r="F40" s="66"/>
      <c r="G40" s="66"/>
      <c r="M40" s="70"/>
    </row>
    <row r="41" spans="1:13" ht="15.6" customHeight="1" x14ac:dyDescent="0.3">
      <c r="A41" s="66"/>
      <c r="B41" s="66"/>
      <c r="C41" s="66"/>
      <c r="D41" s="66"/>
      <c r="E41" s="66"/>
      <c r="F41" s="66"/>
      <c r="G41" s="66"/>
      <c r="M41" s="70"/>
    </row>
    <row r="42" spans="1:13" ht="15.6" customHeight="1" x14ac:dyDescent="0.3">
      <c r="A42" s="66"/>
      <c r="B42" s="66"/>
      <c r="C42" s="66"/>
      <c r="D42" s="66"/>
      <c r="E42" s="66"/>
      <c r="F42" s="66"/>
      <c r="G42" s="66"/>
      <c r="M42" s="70"/>
    </row>
    <row r="43" spans="1:13" ht="15.6" customHeight="1" x14ac:dyDescent="0.3">
      <c r="A43" s="66"/>
      <c r="B43" s="66"/>
      <c r="C43" s="66"/>
      <c r="D43" s="66"/>
      <c r="E43" s="66"/>
      <c r="F43" s="66"/>
      <c r="G43" s="66"/>
      <c r="M43" s="70"/>
    </row>
    <row r="44" spans="1:13" ht="15.6" customHeight="1" x14ac:dyDescent="0.3">
      <c r="A44" s="66"/>
      <c r="B44" s="66"/>
      <c r="C44" s="66"/>
      <c r="D44" s="66"/>
      <c r="E44" s="66"/>
      <c r="F44" s="66"/>
      <c r="G44" s="66"/>
      <c r="M44" s="70"/>
    </row>
    <row r="45" spans="1:13" ht="15.6" customHeight="1" x14ac:dyDescent="0.3">
      <c r="A45" s="66"/>
      <c r="B45" s="66"/>
      <c r="C45" s="66"/>
      <c r="D45" s="66"/>
      <c r="E45" s="66"/>
      <c r="F45" s="66"/>
      <c r="G45" s="66"/>
      <c r="M45" s="70"/>
    </row>
    <row r="46" spans="1:13" ht="15.6" customHeight="1" x14ac:dyDescent="0.3">
      <c r="A46" s="86"/>
      <c r="B46" s="66"/>
      <c r="C46" s="66"/>
      <c r="D46" s="66"/>
      <c r="E46" s="66"/>
      <c r="F46" s="66"/>
      <c r="G46" s="66"/>
      <c r="M46" s="70"/>
    </row>
    <row r="47" spans="1:13" ht="15.6" customHeight="1" x14ac:dyDescent="0.3">
      <c r="A47" s="86"/>
      <c r="B47" s="66"/>
      <c r="C47" s="66"/>
      <c r="D47" s="66"/>
      <c r="E47" s="66"/>
      <c r="F47" s="66"/>
      <c r="G47" s="66"/>
      <c r="M47" s="70"/>
    </row>
    <row r="48" spans="1:13" ht="15.6" customHeight="1" x14ac:dyDescent="0.3">
      <c r="A48" s="47" t="s">
        <v>232</v>
      </c>
      <c r="B48" s="66"/>
      <c r="C48" s="66"/>
      <c r="D48" s="66"/>
      <c r="E48" s="66"/>
      <c r="F48" s="66"/>
      <c r="G48" s="66"/>
      <c r="M48" s="70"/>
    </row>
    <row r="49" spans="1:13" ht="15.6" customHeight="1" x14ac:dyDescent="0.3">
      <c r="A49" s="47" t="s">
        <v>233</v>
      </c>
      <c r="B49" s="66"/>
      <c r="C49" s="66"/>
      <c r="D49" s="66"/>
      <c r="E49" s="66"/>
      <c r="F49" s="66"/>
      <c r="G49" s="66"/>
      <c r="M49" s="70"/>
    </row>
    <row r="50" spans="1:13" ht="15.6" customHeight="1" x14ac:dyDescent="0.25">
      <c r="A50" s="136" t="s">
        <v>234</v>
      </c>
      <c r="B50" s="50"/>
      <c r="C50" s="50"/>
      <c r="D50" s="50"/>
      <c r="E50" s="50"/>
      <c r="F50" s="50"/>
      <c r="G50" s="50"/>
      <c r="H50" s="70"/>
    </row>
    <row r="51" spans="1:13" ht="15.6" customHeight="1" x14ac:dyDescent="0.25">
      <c r="A51" s="52" t="str">
        <f>+[2]Innhold!B123</f>
        <v>Finans Norge / Skadeforsikringsstatistikk</v>
      </c>
      <c r="G51" s="187">
        <v>3</v>
      </c>
      <c r="H51" s="70"/>
    </row>
    <row r="52" spans="1:13" ht="15.6" customHeight="1" x14ac:dyDescent="0.25">
      <c r="A52" s="52" t="str">
        <f>+Innhold!B124</f>
        <v>Skadestatistikk for landbasert forsikring 1. kvartal 2026</v>
      </c>
      <c r="G52" s="188"/>
      <c r="H52" s="70"/>
    </row>
    <row r="53" spans="1:13" ht="15.6" customHeight="1" x14ac:dyDescent="0.25">
      <c r="H53" s="70"/>
    </row>
    <row r="59" spans="1:13" ht="15.6" customHeight="1" x14ac:dyDescent="0.25">
      <c r="J59"/>
      <c r="K59"/>
      <c r="L59"/>
    </row>
    <row r="60" spans="1:13" ht="15.6" customHeight="1" x14ac:dyDescent="0.25">
      <c r="J60" s="64"/>
      <c r="K60" s="65"/>
      <c r="L60" s="65"/>
    </row>
    <row r="61" spans="1:13" ht="15.6" customHeight="1" x14ac:dyDescent="0.25">
      <c r="J61" s="63"/>
      <c r="K61"/>
      <c r="L61"/>
    </row>
    <row r="62" spans="1:13" ht="15.6" customHeight="1" x14ac:dyDescent="0.25">
      <c r="J62" s="62"/>
      <c r="K62" s="62"/>
      <c r="L62" s="62"/>
    </row>
    <row r="63" spans="1:13" ht="15.6" customHeight="1" x14ac:dyDescent="0.25">
      <c r="J63" s="62"/>
      <c r="K63" s="62"/>
      <c r="L63" s="62"/>
    </row>
    <row r="64" spans="1:13" ht="15.6" customHeight="1" x14ac:dyDescent="0.25">
      <c r="J64" s="62"/>
      <c r="K64" s="62"/>
      <c r="L64" s="62"/>
    </row>
    <row r="65" spans="1:12" ht="15.6" customHeight="1" x14ac:dyDescent="0.25">
      <c r="J65" s="62"/>
      <c r="K65" s="62"/>
      <c r="L65" s="62"/>
    </row>
    <row r="66" spans="1:12" ht="15.6" customHeight="1" x14ac:dyDescent="0.25">
      <c r="J66" s="62"/>
      <c r="K66" s="62"/>
      <c r="L66" s="62"/>
    </row>
    <row r="67" spans="1:12" ht="15.6" customHeight="1" x14ac:dyDescent="0.25">
      <c r="J67" s="62"/>
      <c r="K67" s="62"/>
      <c r="L67" s="62"/>
    </row>
    <row r="68" spans="1:12" ht="15.6" customHeight="1" x14ac:dyDescent="0.25">
      <c r="J68" s="62"/>
      <c r="K68" s="62"/>
      <c r="L68" s="62"/>
    </row>
    <row r="69" spans="1:12" ht="15.6" customHeight="1" x14ac:dyDescent="0.25">
      <c r="J69"/>
      <c r="K69"/>
      <c r="L69"/>
    </row>
    <row r="70" spans="1:12" ht="15.6" customHeight="1" x14ac:dyDescent="0.25">
      <c r="J70"/>
      <c r="K70"/>
      <c r="L70"/>
    </row>
    <row r="71" spans="1:12" ht="15.6" customHeight="1" x14ac:dyDescent="0.25">
      <c r="J71"/>
      <c r="K71"/>
      <c r="L71"/>
    </row>
    <row r="72" spans="1:12" ht="15.6" customHeight="1" x14ac:dyDescent="0.25">
      <c r="A72"/>
      <c r="B72"/>
      <c r="C72"/>
      <c r="D72"/>
      <c r="E72"/>
      <c r="F72"/>
      <c r="H72"/>
      <c r="I72"/>
      <c r="J72"/>
      <c r="K72"/>
      <c r="L72"/>
    </row>
    <row r="73" spans="1:12" ht="15.6" customHeight="1" x14ac:dyDescent="0.25">
      <c r="A73"/>
      <c r="B73"/>
      <c r="C73"/>
      <c r="D73"/>
      <c r="E73"/>
      <c r="F73"/>
      <c r="H73"/>
      <c r="I73"/>
      <c r="J73"/>
      <c r="K73"/>
      <c r="L73"/>
    </row>
    <row r="74" spans="1:12" ht="15.6" customHeight="1" x14ac:dyDescent="0.25">
      <c r="A74"/>
      <c r="B74"/>
      <c r="C74"/>
      <c r="D74"/>
      <c r="E74"/>
      <c r="F74"/>
      <c r="H74"/>
      <c r="I74"/>
      <c r="J74"/>
      <c r="K74"/>
      <c r="L74"/>
    </row>
    <row r="75" spans="1:12" ht="15.6" customHeight="1" x14ac:dyDescent="0.25">
      <c r="A75"/>
      <c r="B75"/>
      <c r="C75"/>
      <c r="D75"/>
      <c r="E75"/>
      <c r="F75"/>
      <c r="H75"/>
      <c r="I75"/>
      <c r="J75"/>
      <c r="K75"/>
      <c r="L75"/>
    </row>
    <row r="76" spans="1:12" ht="15.6" customHeight="1" x14ac:dyDescent="0.25">
      <c r="A76"/>
      <c r="B76"/>
      <c r="C76"/>
      <c r="D76"/>
      <c r="E76"/>
      <c r="F76"/>
      <c r="H76"/>
      <c r="I76"/>
      <c r="J76"/>
      <c r="K76"/>
      <c r="L76"/>
    </row>
    <row r="77" spans="1:12" ht="15.6" customHeight="1" x14ac:dyDescent="0.25">
      <c r="A77"/>
      <c r="B77"/>
      <c r="C77"/>
      <c r="D77"/>
      <c r="E77"/>
      <c r="F77"/>
      <c r="H77"/>
      <c r="I77"/>
      <c r="J77"/>
      <c r="K77"/>
      <c r="L77"/>
    </row>
    <row r="78" spans="1:12" ht="15.6" customHeight="1" x14ac:dyDescent="0.25">
      <c r="A78"/>
      <c r="B78"/>
      <c r="C78"/>
      <c r="D78"/>
      <c r="E78"/>
      <c r="F78"/>
      <c r="H78"/>
      <c r="I78"/>
      <c r="J78"/>
      <c r="K78"/>
      <c r="L78"/>
    </row>
    <row r="79" spans="1:12" ht="15.6" customHeight="1" x14ac:dyDescent="0.25">
      <c r="A79"/>
      <c r="B79"/>
      <c r="C79"/>
      <c r="D79"/>
      <c r="E79"/>
      <c r="F79"/>
      <c r="H79"/>
      <c r="I79"/>
      <c r="J79"/>
      <c r="K79"/>
      <c r="L79"/>
    </row>
    <row r="80" spans="1:12" ht="15.6" customHeight="1" x14ac:dyDescent="0.25">
      <c r="A80"/>
      <c r="B80"/>
      <c r="C80"/>
      <c r="D80"/>
      <c r="E80"/>
      <c r="F80"/>
      <c r="H80"/>
      <c r="I80"/>
      <c r="J80"/>
      <c r="K80"/>
      <c r="L80"/>
    </row>
    <row r="81" spans="1:12" ht="15.6" customHeight="1" x14ac:dyDescent="0.25">
      <c r="A81"/>
      <c r="B81"/>
      <c r="C81"/>
      <c r="D81"/>
      <c r="E81"/>
      <c r="F81"/>
      <c r="H81"/>
      <c r="I81"/>
      <c r="J81"/>
      <c r="K81"/>
      <c r="L81"/>
    </row>
    <row r="82" spans="1:12" ht="15.6" customHeight="1" x14ac:dyDescent="0.25">
      <c r="A82"/>
      <c r="B82"/>
      <c r="C82"/>
      <c r="D82"/>
      <c r="E82"/>
      <c r="F82"/>
      <c r="H82"/>
      <c r="I82"/>
      <c r="J82"/>
      <c r="K82"/>
      <c r="L82"/>
    </row>
    <row r="83" spans="1:12" ht="15.6" customHeight="1" x14ac:dyDescent="0.25">
      <c r="A83"/>
      <c r="B83"/>
      <c r="C83"/>
      <c r="D83"/>
      <c r="E83"/>
      <c r="F83"/>
      <c r="H83"/>
      <c r="I83"/>
      <c r="J83"/>
      <c r="K83"/>
      <c r="L83"/>
    </row>
    <row r="84" spans="1:12" ht="15.6" customHeight="1" x14ac:dyDescent="0.25">
      <c r="A84"/>
      <c r="B84"/>
      <c r="C84"/>
      <c r="D84"/>
      <c r="E84"/>
      <c r="F84"/>
      <c r="H84"/>
      <c r="I84"/>
      <c r="J84"/>
      <c r="K84"/>
      <c r="L84"/>
    </row>
    <row r="85" spans="1:12" ht="15.6" customHeight="1" x14ac:dyDescent="0.25">
      <c r="A85"/>
      <c r="B85"/>
      <c r="C85"/>
      <c r="D85"/>
      <c r="E85"/>
      <c r="F85"/>
      <c r="H85"/>
      <c r="I85"/>
      <c r="J85"/>
      <c r="K85"/>
      <c r="L85"/>
    </row>
    <row r="86" spans="1:12" ht="15.6" customHeight="1" x14ac:dyDescent="0.25">
      <c r="A86"/>
      <c r="B86"/>
      <c r="C86"/>
      <c r="D86"/>
      <c r="E86"/>
      <c r="F86"/>
      <c r="H86"/>
      <c r="I86"/>
      <c r="J86"/>
      <c r="K86"/>
      <c r="L86"/>
    </row>
    <row r="87" spans="1:12" ht="15.6" customHeight="1" x14ac:dyDescent="0.25">
      <c r="A87"/>
      <c r="B87"/>
      <c r="C87"/>
      <c r="D87"/>
      <c r="E87"/>
      <c r="F87"/>
      <c r="H87"/>
      <c r="I87"/>
      <c r="J87"/>
      <c r="K87"/>
      <c r="L87"/>
    </row>
    <row r="88" spans="1:12" ht="15.6" customHeight="1" x14ac:dyDescent="0.25">
      <c r="A88"/>
      <c r="B88"/>
      <c r="C88"/>
      <c r="D88"/>
      <c r="E88"/>
      <c r="F88"/>
      <c r="H88"/>
      <c r="I88"/>
      <c r="J88"/>
      <c r="K88"/>
      <c r="L88"/>
    </row>
    <row r="89" spans="1:12" ht="15.6" customHeight="1" x14ac:dyDescent="0.25">
      <c r="A89"/>
      <c r="B89"/>
      <c r="C89"/>
      <c r="D89"/>
      <c r="E89"/>
      <c r="F89"/>
      <c r="H89"/>
      <c r="I89"/>
      <c r="J89"/>
      <c r="K89"/>
      <c r="L89"/>
    </row>
    <row r="90" spans="1:12" ht="15.6" customHeight="1" x14ac:dyDescent="0.25">
      <c r="A90"/>
      <c r="B90"/>
      <c r="C90"/>
      <c r="D90"/>
      <c r="E90"/>
      <c r="F90"/>
      <c r="H90"/>
      <c r="I90"/>
      <c r="J90"/>
      <c r="K90"/>
      <c r="L90"/>
    </row>
    <row r="91" spans="1:12" ht="15.6" customHeight="1" x14ac:dyDescent="0.25">
      <c r="A91"/>
      <c r="B91"/>
      <c r="C91"/>
      <c r="D91"/>
      <c r="E91"/>
      <c r="F91"/>
      <c r="H91"/>
      <c r="I91"/>
      <c r="J91"/>
      <c r="K91"/>
      <c r="L91"/>
    </row>
    <row r="92" spans="1:12" ht="15.6" customHeight="1" x14ac:dyDescent="0.25">
      <c r="A92"/>
      <c r="B92"/>
      <c r="C92"/>
      <c r="D92"/>
      <c r="E92"/>
      <c r="F92"/>
      <c r="H92"/>
      <c r="I92"/>
      <c r="J92"/>
      <c r="K92"/>
      <c r="L92"/>
    </row>
    <row r="93" spans="1:12" ht="15.6" customHeight="1" x14ac:dyDescent="0.25">
      <c r="A93"/>
      <c r="B93"/>
      <c r="C93"/>
      <c r="D93"/>
      <c r="E93"/>
      <c r="F93"/>
      <c r="H93"/>
      <c r="I93"/>
      <c r="J93"/>
      <c r="K93"/>
      <c r="L93"/>
    </row>
    <row r="94" spans="1:12" ht="15.6" customHeight="1" x14ac:dyDescent="0.25">
      <c r="A94"/>
      <c r="B94"/>
      <c r="C94"/>
      <c r="D94"/>
      <c r="E94"/>
      <c r="F94"/>
      <c r="H94"/>
      <c r="I94"/>
      <c r="J94"/>
      <c r="K94"/>
      <c r="L94"/>
    </row>
    <row r="95" spans="1:12" ht="15.6" customHeight="1" x14ac:dyDescent="0.25">
      <c r="A95"/>
      <c r="B95"/>
      <c r="C95"/>
      <c r="D95"/>
      <c r="E95"/>
      <c r="F95"/>
      <c r="H95"/>
      <c r="I95"/>
      <c r="J95"/>
      <c r="K95"/>
      <c r="L95"/>
    </row>
    <row r="96" spans="1:12" ht="15.6" customHeight="1" x14ac:dyDescent="0.25">
      <c r="A96"/>
      <c r="B96"/>
      <c r="C96"/>
      <c r="D96"/>
      <c r="E96"/>
      <c r="F96"/>
      <c r="H96"/>
      <c r="I96"/>
      <c r="J96"/>
      <c r="K96"/>
      <c r="L96"/>
    </row>
    <row r="97" spans="1:12" ht="15.6" customHeight="1" x14ac:dyDescent="0.25">
      <c r="A97"/>
      <c r="B97"/>
      <c r="C97"/>
      <c r="D97"/>
      <c r="E97"/>
      <c r="F97"/>
      <c r="H97"/>
      <c r="I97"/>
      <c r="J97"/>
      <c r="K97"/>
      <c r="L97"/>
    </row>
    <row r="98" spans="1:12" ht="15.6" customHeight="1" x14ac:dyDescent="0.25">
      <c r="A98"/>
      <c r="B98"/>
      <c r="C98"/>
      <c r="D98"/>
      <c r="E98"/>
      <c r="F98"/>
      <c r="K98"/>
    </row>
    <row r="99" spans="1:12" ht="15.6" customHeight="1" x14ac:dyDescent="0.25">
      <c r="A99"/>
      <c r="B99"/>
      <c r="C99"/>
      <c r="D99"/>
      <c r="E99"/>
      <c r="F99"/>
      <c r="K99"/>
    </row>
    <row r="100" spans="1:12" ht="15.6" customHeight="1" x14ac:dyDescent="0.25">
      <c r="A100"/>
      <c r="B100"/>
      <c r="C100"/>
      <c r="D100"/>
      <c r="E100"/>
      <c r="F100"/>
      <c r="H100" s="61"/>
      <c r="I100"/>
      <c r="J100"/>
      <c r="K100"/>
    </row>
    <row r="101" spans="1:12" ht="15.6" customHeight="1" x14ac:dyDescent="0.25">
      <c r="A101"/>
      <c r="B101"/>
      <c r="C101"/>
      <c r="D101"/>
      <c r="E101"/>
      <c r="F101"/>
      <c r="H101"/>
      <c r="I101"/>
      <c r="J101"/>
      <c r="K101"/>
    </row>
    <row r="102" spans="1:12" ht="15.6" customHeight="1" x14ac:dyDescent="0.25">
      <c r="A102"/>
      <c r="B102"/>
      <c r="C102"/>
      <c r="D102"/>
      <c r="E102"/>
      <c r="F102"/>
      <c r="H102"/>
      <c r="I102"/>
      <c r="J102"/>
      <c r="K102"/>
    </row>
    <row r="103" spans="1:12" ht="15.6" customHeight="1" x14ac:dyDescent="0.25">
      <c r="A103"/>
      <c r="B103"/>
      <c r="C103"/>
      <c r="D103"/>
      <c r="E103"/>
      <c r="F103"/>
      <c r="H103"/>
      <c r="I103"/>
      <c r="J103"/>
      <c r="K103"/>
    </row>
    <row r="104" spans="1:12" ht="15.6" customHeight="1" x14ac:dyDescent="0.25">
      <c r="A104"/>
      <c r="B104"/>
      <c r="C104"/>
      <c r="D104"/>
      <c r="E104"/>
      <c r="F104"/>
      <c r="H104"/>
      <c r="I104" s="62"/>
      <c r="J104" s="62"/>
      <c r="K104" s="62"/>
    </row>
    <row r="105" spans="1:12" ht="15.6" customHeight="1" x14ac:dyDescent="0.25">
      <c r="A105"/>
      <c r="B105"/>
      <c r="C105"/>
      <c r="D105"/>
      <c r="E105"/>
      <c r="F105"/>
      <c r="H105"/>
      <c r="I105" s="62"/>
      <c r="J105" s="62"/>
      <c r="K105" s="62"/>
    </row>
    <row r="106" spans="1:12" ht="15.6" customHeight="1" x14ac:dyDescent="0.25">
      <c r="D106"/>
      <c r="E106"/>
      <c r="F106"/>
      <c r="H106"/>
      <c r="I106" s="62"/>
      <c r="J106" s="62"/>
      <c r="K106" s="62"/>
    </row>
    <row r="107" spans="1:12" ht="15.6" customHeight="1" x14ac:dyDescent="0.25">
      <c r="D107"/>
      <c r="E107"/>
      <c r="F107"/>
      <c r="H107"/>
      <c r="I107"/>
      <c r="J107"/>
      <c r="K107"/>
    </row>
    <row r="108" spans="1:12" ht="15.6" customHeight="1" x14ac:dyDescent="0.25">
      <c r="A108" s="71"/>
      <c r="B108"/>
      <c r="C108"/>
      <c r="D108"/>
      <c r="E108"/>
      <c r="F108"/>
      <c r="H108"/>
      <c r="I108"/>
      <c r="J108"/>
      <c r="K108"/>
    </row>
    <row r="109" spans="1:12" ht="15.6" customHeight="1" x14ac:dyDescent="0.25">
      <c r="A109"/>
      <c r="B109"/>
      <c r="C109"/>
      <c r="D109"/>
      <c r="E109"/>
      <c r="F109"/>
      <c r="H109"/>
      <c r="I109"/>
      <c r="J109"/>
      <c r="K109"/>
    </row>
    <row r="110" spans="1:12" ht="15.6" customHeight="1" x14ac:dyDescent="0.25">
      <c r="A110"/>
      <c r="B110"/>
      <c r="C110"/>
      <c r="D110"/>
      <c r="E110"/>
      <c r="F110"/>
      <c r="H110"/>
      <c r="I110"/>
      <c r="J110"/>
      <c r="K110"/>
    </row>
    <row r="111" spans="1:12" ht="15.6" customHeight="1" x14ac:dyDescent="0.25">
      <c r="A111"/>
      <c r="B111"/>
      <c r="C111"/>
      <c r="D111"/>
      <c r="E111"/>
      <c r="F111"/>
      <c r="H111"/>
      <c r="I111"/>
      <c r="J111"/>
      <c r="K111"/>
    </row>
    <row r="112" spans="1:12" ht="15.6" customHeight="1" x14ac:dyDescent="0.25">
      <c r="A112"/>
      <c r="B112"/>
      <c r="C112"/>
      <c r="D112"/>
      <c r="E112"/>
      <c r="F112"/>
    </row>
    <row r="113" spans="1:11" ht="15.6" customHeight="1" x14ac:dyDescent="0.25">
      <c r="A113"/>
      <c r="B113"/>
      <c r="C113"/>
      <c r="D113"/>
      <c r="E113"/>
      <c r="F113"/>
    </row>
    <row r="114" spans="1:11" ht="15.6" customHeight="1" x14ac:dyDescent="0.25">
      <c r="A114"/>
      <c r="B114"/>
      <c r="C114"/>
      <c r="D114"/>
      <c r="E114"/>
      <c r="F114"/>
      <c r="H114" s="61"/>
      <c r="I114"/>
      <c r="J114"/>
      <c r="K114"/>
    </row>
    <row r="115" spans="1:11" ht="15.6" customHeight="1" x14ac:dyDescent="0.25">
      <c r="A115"/>
      <c r="B115"/>
      <c r="C115"/>
      <c r="D115"/>
      <c r="E115"/>
      <c r="F115"/>
      <c r="H115"/>
      <c r="I115"/>
      <c r="J115"/>
      <c r="K115"/>
    </row>
    <row r="116" spans="1:11" ht="15.6" customHeight="1" x14ac:dyDescent="0.25">
      <c r="A116"/>
      <c r="B116"/>
      <c r="C116"/>
      <c r="D116"/>
      <c r="E116"/>
      <c r="F116"/>
      <c r="H116"/>
      <c r="I116"/>
      <c r="J116"/>
      <c r="K116"/>
    </row>
    <row r="117" spans="1:11" ht="15.6" customHeight="1" x14ac:dyDescent="0.25">
      <c r="A117"/>
      <c r="B117"/>
      <c r="C117"/>
      <c r="D117"/>
      <c r="E117"/>
      <c r="F117"/>
      <c r="H117"/>
      <c r="I117"/>
      <c r="J117" s="62"/>
      <c r="K117" s="62"/>
    </row>
    <row r="118" spans="1:11" ht="15.6" customHeight="1" x14ac:dyDescent="0.25">
      <c r="A118"/>
      <c r="B118"/>
      <c r="C118"/>
      <c r="D118"/>
      <c r="E118"/>
      <c r="F118"/>
      <c r="H118"/>
      <c r="I118"/>
      <c r="J118" s="62"/>
      <c r="K118" s="62"/>
    </row>
    <row r="119" spans="1:11" ht="15.6" customHeight="1" x14ac:dyDescent="0.25">
      <c r="A119"/>
      <c r="B119"/>
      <c r="C119"/>
      <c r="D119"/>
      <c r="E119"/>
      <c r="F119"/>
      <c r="H119"/>
      <c r="I119"/>
      <c r="J119" s="62"/>
      <c r="K119" s="62"/>
    </row>
    <row r="120" spans="1:11" ht="15.6" customHeight="1" x14ac:dyDescent="0.25">
      <c r="A120"/>
      <c r="B120"/>
      <c r="C120"/>
      <c r="D120"/>
      <c r="E120"/>
      <c r="F120"/>
      <c r="H120"/>
      <c r="I120"/>
      <c r="J120"/>
      <c r="K120"/>
    </row>
    <row r="121" spans="1:11" ht="15.6" customHeight="1" x14ac:dyDescent="0.25">
      <c r="A121"/>
      <c r="B121"/>
      <c r="C121"/>
      <c r="D121"/>
      <c r="E121"/>
      <c r="F121"/>
      <c r="G121"/>
      <c r="H121"/>
      <c r="I121"/>
      <c r="J121"/>
      <c r="K121"/>
    </row>
    <row r="122" spans="1:11" ht="15.6" customHeight="1" x14ac:dyDescent="0.25">
      <c r="A122"/>
      <c r="B122"/>
      <c r="C122"/>
      <c r="D122"/>
      <c r="E122"/>
      <c r="F122"/>
      <c r="G122"/>
      <c r="H122"/>
      <c r="I122"/>
      <c r="J122"/>
      <c r="K122"/>
    </row>
    <row r="123" spans="1:11" ht="15.6" customHeight="1" x14ac:dyDescent="0.25">
      <c r="A123"/>
      <c r="B123"/>
      <c r="C123"/>
      <c r="D123"/>
      <c r="E123"/>
      <c r="F123"/>
      <c r="G123"/>
      <c r="H123"/>
      <c r="I123" s="62"/>
      <c r="J123" s="62"/>
    </row>
    <row r="124" spans="1:11" ht="15.6" customHeight="1" x14ac:dyDescent="0.25">
      <c r="A124"/>
      <c r="B124" s="62"/>
      <c r="C124" s="62"/>
      <c r="D124"/>
      <c r="E124"/>
      <c r="F124"/>
      <c r="G124"/>
      <c r="H124"/>
      <c r="I124" s="62"/>
      <c r="J124" s="62"/>
    </row>
    <row r="125" spans="1:11" ht="15.6" customHeight="1" x14ac:dyDescent="0.25">
      <c r="A125"/>
      <c r="B125"/>
      <c r="C125"/>
      <c r="D125"/>
      <c r="F125"/>
      <c r="G125"/>
      <c r="H125"/>
      <c r="I125"/>
      <c r="J125"/>
    </row>
    <row r="126" spans="1:11" ht="15.6" customHeight="1" x14ac:dyDescent="0.25">
      <c r="A126"/>
      <c r="B126"/>
      <c r="C126"/>
      <c r="D126"/>
      <c r="F126"/>
      <c r="G126"/>
      <c r="H126"/>
      <c r="I126"/>
      <c r="J126"/>
    </row>
    <row r="127" spans="1:11" ht="15.6" customHeight="1" x14ac:dyDescent="0.25">
      <c r="A127"/>
      <c r="B127"/>
      <c r="C127"/>
      <c r="D127"/>
      <c r="F127"/>
      <c r="G127"/>
      <c r="H127"/>
      <c r="I127"/>
      <c r="J127"/>
    </row>
    <row r="128" spans="1:11" ht="15.6" customHeight="1" x14ac:dyDescent="0.25">
      <c r="A128"/>
      <c r="B128" s="62"/>
      <c r="C128" s="62"/>
      <c r="D128"/>
      <c r="F128"/>
      <c r="G128"/>
      <c r="H128"/>
      <c r="I128"/>
      <c r="J128"/>
    </row>
    <row r="129" spans="1:10" ht="15.6" customHeight="1" x14ac:dyDescent="0.25">
      <c r="A129"/>
      <c r="B129" s="62"/>
      <c r="C129" s="62"/>
      <c r="D129"/>
      <c r="F129"/>
      <c r="G129"/>
      <c r="H129"/>
      <c r="I129"/>
      <c r="J129"/>
    </row>
    <row r="130" spans="1:10" ht="15.6" customHeight="1" x14ac:dyDescent="0.25">
      <c r="A130"/>
      <c r="B130" s="62"/>
      <c r="C130" s="62"/>
      <c r="D130"/>
      <c r="F130"/>
    </row>
    <row r="131" spans="1:10" ht="15.6" customHeight="1" x14ac:dyDescent="0.25">
      <c r="A131"/>
      <c r="B131"/>
      <c r="C131"/>
      <c r="D131"/>
      <c r="F131"/>
    </row>
    <row r="132" spans="1:10" ht="15.6" customHeight="1" x14ac:dyDescent="0.25">
      <c r="A132"/>
      <c r="B132" s="62"/>
      <c r="C132" s="62"/>
      <c r="D132"/>
      <c r="F132"/>
    </row>
    <row r="133" spans="1:10" ht="15.6" customHeight="1" x14ac:dyDescent="0.25">
      <c r="A133"/>
      <c r="B133" s="62"/>
      <c r="C133" s="62"/>
      <c r="D133"/>
      <c r="F133"/>
    </row>
    <row r="134" spans="1:10" ht="15.6" customHeight="1" x14ac:dyDescent="0.25">
      <c r="A134"/>
      <c r="B134" s="62"/>
      <c r="C134" s="62"/>
      <c r="D134"/>
      <c r="F134"/>
    </row>
    <row r="135" spans="1:10" ht="15.6" customHeight="1" x14ac:dyDescent="0.25">
      <c r="A135"/>
      <c r="B135"/>
      <c r="C135"/>
      <c r="D135"/>
      <c r="F135"/>
    </row>
    <row r="136" spans="1:10" ht="15.6" customHeight="1" x14ac:dyDescent="0.25">
      <c r="A136"/>
      <c r="B136" s="62"/>
      <c r="C136" s="62"/>
      <c r="D136"/>
      <c r="F136"/>
    </row>
    <row r="137" spans="1:10" ht="15.6" customHeight="1" x14ac:dyDescent="0.25">
      <c r="A137"/>
      <c r="B137" s="62"/>
      <c r="C137" s="62"/>
      <c r="D137"/>
      <c r="F137"/>
    </row>
  </sheetData>
  <mergeCells count="1">
    <mergeCell ref="G51:G52"/>
  </mergeCells>
  <phoneticPr fontId="0" type="noConversion"/>
  <hyperlinks>
    <hyperlink ref="A2" location="Innhold!A8" display="Tilbake til innholdsfortegnelsen" xr:uid="{92C2DA6A-FA43-4C49-89A7-92344B00CF13}"/>
  </hyperlinks>
  <pageMargins left="0.78740157480314965" right="0.59055118110236227" top="0.98425196850393704" bottom="0.19685039370078741" header="3.937007874015748E-2" footer="3.937007874015748E-2"/>
  <pageSetup paperSize="9" scale="94"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7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21" width="11.44140625" style="1" customWidth="1"/>
    <col min="22" max="22" width="15.44140625" style="1" customWidth="1"/>
    <col min="23" max="16384" width="11.44140625" style="1"/>
  </cols>
  <sheetData>
    <row r="1" spans="1:36" ht="5.25" customHeight="1" x14ac:dyDescent="0.25"/>
    <row r="2" spans="1:36" x14ac:dyDescent="0.25">
      <c r="A2" s="134" t="s">
        <v>0</v>
      </c>
      <c r="B2" s="2"/>
      <c r="C2" s="2"/>
      <c r="D2" s="2"/>
      <c r="E2" s="2"/>
      <c r="F2" s="2"/>
      <c r="G2" s="2"/>
    </row>
    <row r="3" spans="1:36" ht="6" customHeight="1" x14ac:dyDescent="0.25">
      <c r="A3" s="135"/>
      <c r="B3" s="2"/>
      <c r="C3" s="2"/>
      <c r="D3" s="2"/>
      <c r="E3" s="2"/>
      <c r="F3" s="2"/>
      <c r="G3" s="2"/>
    </row>
    <row r="4" spans="1:36" ht="12.75" customHeight="1" x14ac:dyDescent="0.25">
      <c r="A4" s="189" t="s">
        <v>90</v>
      </c>
      <c r="B4" s="2"/>
      <c r="C4" s="2"/>
      <c r="D4" s="2"/>
      <c r="E4" s="2"/>
      <c r="F4" s="2"/>
      <c r="G4" s="2"/>
    </row>
    <row r="5" spans="1:36" ht="12.75" customHeight="1" x14ac:dyDescent="0.25">
      <c r="A5" s="189"/>
      <c r="B5" s="2"/>
      <c r="C5" s="2"/>
      <c r="D5" s="2"/>
      <c r="E5" s="2"/>
      <c r="F5" s="2"/>
      <c r="G5" s="2"/>
    </row>
    <row r="6" spans="1:36" ht="15.6" x14ac:dyDescent="0.3">
      <c r="A6" s="4" t="str">
        <f>"Figur 1. Antall meldte skader etter bransjer "&amp;'Tab3'!H63</f>
        <v xml:space="preserve">Figur 1. Antall meldte skader etter bransjer </v>
      </c>
      <c r="B6" s="2"/>
      <c r="C6" s="2"/>
      <c r="D6" s="2"/>
      <c r="E6" s="2"/>
      <c r="F6" s="2"/>
      <c r="G6" s="2"/>
      <c r="I6" s="4" t="str">
        <f>"Figur 3. Anslått erstatning etter bransje, pr. "&amp;'Tab3'!H63</f>
        <v xml:space="preserve">Figur 3. Anslått erstatning etter bransje, pr. </v>
      </c>
      <c r="P6" s="4" t="s">
        <v>182</v>
      </c>
      <c r="W6" s="4" t="str">
        <f>"Figur 7. Antall meldte skader i de Brann-kombinerte bransjer etter skadetype "&amp;'Tab3'!H63</f>
        <v xml:space="preserve">Figur 7. Antall meldte skader i de Brann-kombinerte bransjer etter skadetype </v>
      </c>
      <c r="X6" s="4"/>
      <c r="AD6" s="4" t="str">
        <f>"Figur 9. Brannskader pr. kvartal"</f>
        <v>Figur 9. Brannskader pr. kvartal</v>
      </c>
    </row>
    <row r="7" spans="1:36" ht="15.6" x14ac:dyDescent="0.3">
      <c r="A7" s="135"/>
      <c r="B7" s="2"/>
      <c r="C7" s="2"/>
      <c r="D7" s="2"/>
      <c r="E7" s="2"/>
      <c r="F7" s="2"/>
      <c r="G7" s="2"/>
      <c r="V7" s="81"/>
      <c r="AJ7" s="81"/>
    </row>
    <row r="8" spans="1:36" x14ac:dyDescent="0.25">
      <c r="A8" s="135"/>
      <c r="B8" s="2"/>
      <c r="C8" s="2"/>
      <c r="D8" s="2"/>
      <c r="E8" s="2"/>
      <c r="F8" s="2"/>
      <c r="G8" s="2"/>
    </row>
    <row r="9" spans="1:36" x14ac:dyDescent="0.25">
      <c r="A9" s="135"/>
      <c r="B9" s="2"/>
      <c r="C9" s="2"/>
      <c r="D9" s="2"/>
      <c r="E9" s="2"/>
      <c r="F9" s="2"/>
      <c r="G9" s="2"/>
    </row>
    <row r="10" spans="1:36" x14ac:dyDescent="0.25">
      <c r="A10" s="135"/>
      <c r="B10" s="2"/>
      <c r="C10" s="2"/>
      <c r="D10" s="2"/>
      <c r="E10" s="2"/>
      <c r="F10" s="2"/>
      <c r="G10" s="2"/>
    </row>
    <row r="11" spans="1:36" x14ac:dyDescent="0.25">
      <c r="A11" s="135"/>
      <c r="B11" s="2"/>
      <c r="C11" s="2"/>
      <c r="D11" s="2"/>
      <c r="E11" s="2"/>
      <c r="F11" s="2"/>
      <c r="G11" s="2"/>
    </row>
    <row r="12" spans="1:36" x14ac:dyDescent="0.25">
      <c r="A12" s="135"/>
      <c r="B12" s="2"/>
      <c r="C12" s="2"/>
      <c r="D12" s="2"/>
      <c r="E12" s="2"/>
      <c r="F12" s="2"/>
      <c r="G12" s="2"/>
    </row>
    <row r="13" spans="1:36" x14ac:dyDescent="0.25">
      <c r="A13" s="135"/>
      <c r="B13" s="2"/>
      <c r="C13" s="2"/>
      <c r="D13" s="2"/>
      <c r="E13" s="2"/>
      <c r="F13" s="2"/>
      <c r="G13" s="2"/>
    </row>
    <row r="14" spans="1:36" x14ac:dyDescent="0.25">
      <c r="A14" s="135"/>
      <c r="B14" s="2"/>
      <c r="C14" s="2"/>
      <c r="D14" s="2"/>
      <c r="E14" s="2"/>
      <c r="F14" s="2"/>
      <c r="G14" s="2"/>
    </row>
    <row r="15" spans="1:36" x14ac:dyDescent="0.25">
      <c r="A15" s="135"/>
      <c r="B15" s="2"/>
      <c r="C15" s="2"/>
      <c r="D15" s="2"/>
      <c r="E15" s="2"/>
      <c r="F15" s="2"/>
      <c r="G15" s="2"/>
    </row>
    <row r="16" spans="1:36" x14ac:dyDescent="0.25">
      <c r="A16" s="135"/>
      <c r="B16" s="2"/>
      <c r="C16" s="2"/>
      <c r="D16" s="2"/>
      <c r="E16" s="2"/>
      <c r="F16" s="2"/>
      <c r="G16" s="2"/>
    </row>
    <row r="17" spans="1:30" x14ac:dyDescent="0.25">
      <c r="A17" s="135"/>
      <c r="B17" s="2"/>
      <c r="C17" s="2"/>
      <c r="D17" s="2"/>
      <c r="E17" s="2"/>
      <c r="F17" s="2"/>
      <c r="G17" s="2"/>
    </row>
    <row r="18" spans="1:30" x14ac:dyDescent="0.25">
      <c r="A18" s="135"/>
      <c r="B18" s="2"/>
      <c r="C18" s="2"/>
      <c r="D18" s="2"/>
      <c r="E18" s="2"/>
      <c r="F18" s="2"/>
      <c r="G18" s="2"/>
    </row>
    <row r="19" spans="1:30" x14ac:dyDescent="0.25">
      <c r="A19" s="135"/>
      <c r="B19" s="2"/>
      <c r="C19" s="2"/>
      <c r="D19" s="2"/>
      <c r="E19" s="2"/>
      <c r="F19" s="2"/>
      <c r="G19" s="2"/>
    </row>
    <row r="20" spans="1:30" x14ac:dyDescent="0.25">
      <c r="A20" s="135"/>
      <c r="B20" s="2"/>
      <c r="C20" s="2"/>
      <c r="D20" s="2"/>
      <c r="E20" s="2"/>
      <c r="F20" s="2"/>
      <c r="G20" s="2"/>
    </row>
    <row r="21" spans="1:30" x14ac:dyDescent="0.25">
      <c r="A21" s="135"/>
      <c r="B21" s="2"/>
      <c r="C21" s="2"/>
      <c r="D21" s="2"/>
      <c r="E21" s="2"/>
      <c r="F21" s="2"/>
      <c r="G21" s="2"/>
    </row>
    <row r="22" spans="1:30" x14ac:dyDescent="0.25">
      <c r="A22" s="135"/>
      <c r="B22" s="2"/>
      <c r="C22" s="2"/>
      <c r="D22" s="2"/>
      <c r="E22" s="2"/>
      <c r="F22" s="2"/>
      <c r="G22" s="2"/>
    </row>
    <row r="23" spans="1:30" x14ac:dyDescent="0.25">
      <c r="A23" s="135"/>
      <c r="B23" s="2"/>
      <c r="C23" s="2"/>
      <c r="D23" s="2"/>
      <c r="E23" s="2"/>
      <c r="F23" s="2"/>
      <c r="G23" s="2"/>
    </row>
    <row r="24" spans="1:30" x14ac:dyDescent="0.25">
      <c r="A24" s="135"/>
      <c r="B24" s="2"/>
      <c r="C24" s="2"/>
      <c r="D24" s="2"/>
      <c r="E24" s="2"/>
      <c r="F24" s="2"/>
      <c r="G24" s="2"/>
    </row>
    <row r="25" spans="1:30" x14ac:dyDescent="0.25">
      <c r="A25" s="135"/>
      <c r="B25" s="2"/>
      <c r="C25" s="2"/>
      <c r="D25" s="2"/>
      <c r="E25" s="2"/>
      <c r="F25" s="2"/>
      <c r="G25" s="2"/>
    </row>
    <row r="26" spans="1:30" x14ac:dyDescent="0.25">
      <c r="A26" s="135"/>
      <c r="B26" s="2"/>
      <c r="C26" s="2"/>
      <c r="D26" s="2"/>
      <c r="E26" s="2"/>
      <c r="F26" s="2"/>
      <c r="G26" s="2"/>
    </row>
    <row r="27" spans="1:30" x14ac:dyDescent="0.25">
      <c r="A27" s="135"/>
      <c r="B27" s="2"/>
      <c r="C27" s="2"/>
      <c r="D27" s="2"/>
      <c r="E27" s="2"/>
      <c r="F27" s="2"/>
      <c r="G27" s="2"/>
    </row>
    <row r="28" spans="1:30" x14ac:dyDescent="0.25">
      <c r="A28" s="135"/>
      <c r="B28" s="2"/>
      <c r="C28" s="2"/>
      <c r="D28" s="2"/>
      <c r="E28" s="2"/>
      <c r="F28" s="2"/>
      <c r="G28" s="2"/>
    </row>
    <row r="29" spans="1:30" x14ac:dyDescent="0.25">
      <c r="A29" s="135"/>
      <c r="B29" s="2"/>
      <c r="C29" s="2"/>
      <c r="D29" s="2"/>
      <c r="E29" s="2"/>
      <c r="F29" s="2"/>
      <c r="G29" s="2"/>
    </row>
    <row r="30" spans="1:30" x14ac:dyDescent="0.25">
      <c r="A30" s="135"/>
      <c r="B30" s="2"/>
      <c r="C30" s="2"/>
      <c r="D30" s="2"/>
      <c r="E30" s="2"/>
      <c r="F30" s="2"/>
      <c r="G30" s="2"/>
    </row>
    <row r="31" spans="1:30" x14ac:dyDescent="0.25">
      <c r="A31" s="135"/>
      <c r="B31" s="2"/>
      <c r="C31" s="2"/>
      <c r="D31" s="2"/>
      <c r="E31" s="2"/>
      <c r="F31" s="2"/>
      <c r="G31" s="2"/>
    </row>
    <row r="32" spans="1:30" ht="15.6" x14ac:dyDescent="0.3">
      <c r="A32" s="4" t="str">
        <f>"Figur 2. Antall meldte skader etter bransjer "&amp;'Tab3'!H63</f>
        <v xml:space="preserve">Figur 2. Antall meldte skader etter bransjer </v>
      </c>
      <c r="B32" s="2"/>
      <c r="C32" s="2"/>
      <c r="D32" s="2"/>
      <c r="E32" s="2"/>
      <c r="F32" s="2"/>
      <c r="G32" s="2"/>
      <c r="I32" s="4" t="str">
        <f>"Figur 4. Vannskader pr. kvartal"</f>
        <v>Figur 4. Vannskader pr. kvartal</v>
      </c>
      <c r="P32" s="4" t="str">
        <f>"Figur 6. Anslått erstatning etter skadetype, motorvogn "&amp;'Tab3'!H63&amp;" "&amp;'Tab3'!E6</f>
        <v>Figur 6. Anslått erstatning etter skadetype, motorvogn  2026</v>
      </c>
      <c r="W32" s="4" t="str">
        <f>"Figur 8. Anslått erstatning i de Brann-kombinerte bransjer etter skadetype "&amp;'Tab3'!H63</f>
        <v xml:space="preserve">Figur 8. Anslått erstatning i de Brann-kombinerte bransjer etter skadetype </v>
      </c>
      <c r="AD32" s="4" t="str">
        <f>"Figur 10. Innbrudd, tyverier og ran pr. kvartal"</f>
        <v>Figur 10. Innbrudd, tyverier og ran pr. kvartal</v>
      </c>
    </row>
    <row r="33" spans="1:8" x14ac:dyDescent="0.25">
      <c r="A33" s="135"/>
      <c r="B33" s="2"/>
      <c r="C33" s="2"/>
      <c r="D33" s="2"/>
      <c r="E33" s="2"/>
      <c r="F33" s="2"/>
      <c r="G33" s="2"/>
    </row>
    <row r="34" spans="1:8" x14ac:dyDescent="0.25">
      <c r="A34" s="135"/>
      <c r="B34" s="2"/>
      <c r="C34" s="2"/>
      <c r="D34" s="2"/>
      <c r="E34" s="2"/>
      <c r="F34" s="2"/>
      <c r="G34" s="2"/>
    </row>
    <row r="35" spans="1:8" x14ac:dyDescent="0.25">
      <c r="A35" s="135"/>
      <c r="B35" s="2"/>
      <c r="C35" s="2"/>
      <c r="D35" s="2"/>
      <c r="E35" s="2"/>
      <c r="F35" s="2"/>
      <c r="G35" s="2"/>
    </row>
    <row r="36" spans="1:8" x14ac:dyDescent="0.25">
      <c r="A36" s="135"/>
      <c r="B36" s="2"/>
      <c r="C36" s="2"/>
      <c r="D36" s="2"/>
      <c r="E36" s="2"/>
      <c r="F36" s="2"/>
      <c r="G36" s="2"/>
    </row>
    <row r="37" spans="1:8" x14ac:dyDescent="0.25">
      <c r="A37" s="46"/>
      <c r="B37" s="47"/>
      <c r="C37" s="48"/>
      <c r="D37" s="48"/>
      <c r="E37" s="48"/>
      <c r="F37" s="48"/>
      <c r="G37" s="49"/>
      <c r="H37" s="49"/>
    </row>
    <row r="38" spans="1:8" x14ac:dyDescent="0.25">
      <c r="A38" s="46"/>
      <c r="B38" s="47"/>
      <c r="C38" s="48"/>
      <c r="D38" s="48"/>
      <c r="E38" s="48"/>
      <c r="F38" s="48"/>
      <c r="G38" s="49"/>
      <c r="H38" s="49"/>
    </row>
    <row r="39" spans="1:8" x14ac:dyDescent="0.25">
      <c r="A39" s="46"/>
      <c r="B39" s="47"/>
      <c r="C39" s="48"/>
      <c r="D39" s="48"/>
      <c r="E39" s="48"/>
      <c r="F39" s="48"/>
      <c r="G39" s="49"/>
      <c r="H39" s="49"/>
    </row>
    <row r="40" spans="1:8" x14ac:dyDescent="0.25">
      <c r="A40" s="46"/>
      <c r="B40" s="47"/>
      <c r="C40" s="48"/>
      <c r="D40" s="48"/>
      <c r="E40" s="48"/>
      <c r="F40" s="48"/>
      <c r="G40" s="49"/>
      <c r="H40" s="49"/>
    </row>
    <row r="41" spans="1:8" x14ac:dyDescent="0.25">
      <c r="A41" s="46"/>
      <c r="B41" s="47"/>
      <c r="C41" s="48"/>
      <c r="D41" s="48"/>
      <c r="E41" s="48"/>
      <c r="F41" s="48"/>
      <c r="G41" s="49"/>
      <c r="H41" s="49"/>
    </row>
    <row r="42" spans="1:8" x14ac:dyDescent="0.25">
      <c r="A42" s="46"/>
      <c r="B42" s="47"/>
      <c r="C42" s="48"/>
      <c r="D42" s="48"/>
      <c r="E42" s="48"/>
      <c r="F42" s="48"/>
      <c r="G42" s="49"/>
      <c r="H42" s="49"/>
    </row>
    <row r="43" spans="1:8" x14ac:dyDescent="0.25">
      <c r="A43" s="46"/>
      <c r="B43" s="47"/>
      <c r="C43" s="48"/>
      <c r="D43" s="48"/>
      <c r="E43" s="48"/>
      <c r="F43" s="48"/>
      <c r="G43" s="49"/>
      <c r="H43" s="49"/>
    </row>
    <row r="44" spans="1:8" x14ac:dyDescent="0.25">
      <c r="A44" s="46"/>
      <c r="B44" s="47"/>
      <c r="C44" s="48"/>
      <c r="D44" s="48"/>
      <c r="E44" s="48"/>
      <c r="F44" s="48"/>
      <c r="G44" s="49"/>
      <c r="H44" s="49"/>
    </row>
    <row r="45" spans="1:8" x14ac:dyDescent="0.25">
      <c r="A45" s="46"/>
      <c r="B45" s="47"/>
      <c r="C45" s="48"/>
      <c r="D45" s="48"/>
      <c r="E45" s="48"/>
      <c r="F45" s="48"/>
      <c r="G45" s="49"/>
      <c r="H45" s="49"/>
    </row>
    <row r="46" spans="1:8" x14ac:dyDescent="0.25">
      <c r="A46" s="46"/>
      <c r="B46" s="47"/>
      <c r="C46" s="48"/>
      <c r="D46" s="48"/>
      <c r="E46" s="48"/>
      <c r="F46" s="48"/>
      <c r="G46" s="49"/>
      <c r="H46" s="49"/>
    </row>
    <row r="47" spans="1:8" x14ac:dyDescent="0.25">
      <c r="A47" s="46"/>
      <c r="B47" s="47"/>
      <c r="C47" s="48"/>
      <c r="D47" s="48"/>
      <c r="E47" s="48"/>
      <c r="F47" s="48"/>
      <c r="G47" s="49"/>
      <c r="H47" s="49"/>
    </row>
    <row r="48" spans="1:8" x14ac:dyDescent="0.25">
      <c r="A48" s="46"/>
      <c r="B48" s="47"/>
      <c r="C48" s="48"/>
      <c r="D48" s="48"/>
      <c r="E48" s="48"/>
      <c r="F48" s="48"/>
      <c r="G48" s="49"/>
      <c r="H48" s="49"/>
    </row>
    <row r="49" spans="1:36" x14ac:dyDescent="0.25">
      <c r="A49" s="46"/>
      <c r="B49" s="47"/>
      <c r="C49" s="48"/>
      <c r="D49" s="48"/>
      <c r="E49" s="90"/>
      <c r="F49" s="48"/>
      <c r="G49" s="49"/>
      <c r="H49" s="49"/>
    </row>
    <row r="50" spans="1:36" x14ac:dyDescent="0.25">
      <c r="A50" s="46"/>
      <c r="B50" s="47"/>
      <c r="C50" s="48"/>
      <c r="D50" s="48"/>
      <c r="E50" s="48"/>
      <c r="F50" s="48"/>
      <c r="G50" s="49"/>
      <c r="H50" s="49"/>
    </row>
    <row r="51" spans="1:36" x14ac:dyDescent="0.25">
      <c r="A51" s="46"/>
      <c r="B51" s="47"/>
      <c r="C51" s="48"/>
      <c r="D51" s="48"/>
      <c r="E51" s="48"/>
      <c r="F51" s="48"/>
      <c r="G51" s="49"/>
      <c r="H51" s="49"/>
    </row>
    <row r="52" spans="1:36" x14ac:dyDescent="0.25">
      <c r="A52" s="46"/>
      <c r="B52" s="47"/>
      <c r="C52" s="48"/>
      <c r="D52" s="48"/>
      <c r="E52" s="48"/>
      <c r="F52" s="48"/>
      <c r="G52" s="49"/>
      <c r="H52" s="49"/>
    </row>
    <row r="53" spans="1:36" x14ac:dyDescent="0.25">
      <c r="A53" s="46"/>
      <c r="B53" s="47"/>
      <c r="C53" s="48"/>
      <c r="D53" s="48"/>
      <c r="E53" s="48"/>
      <c r="F53" s="48"/>
      <c r="G53" s="49"/>
      <c r="H53" s="49"/>
    </row>
    <row r="54" spans="1:36" x14ac:dyDescent="0.25">
      <c r="A54" s="46"/>
      <c r="B54" s="47"/>
      <c r="C54" s="48"/>
      <c r="D54" s="48"/>
      <c r="E54" s="48"/>
      <c r="F54" s="48"/>
      <c r="G54" s="49"/>
      <c r="H54" s="49"/>
    </row>
    <row r="55" spans="1:36" x14ac:dyDescent="0.25">
      <c r="A55" s="46"/>
      <c r="B55" s="47"/>
      <c r="C55" s="48"/>
      <c r="D55" s="48"/>
      <c r="E55" s="48"/>
      <c r="F55" s="48"/>
      <c r="G55" s="49"/>
      <c r="H55" s="49"/>
    </row>
    <row r="56" spans="1:36" x14ac:dyDescent="0.25">
      <c r="A56" s="46"/>
      <c r="B56" s="47"/>
      <c r="C56" s="48"/>
      <c r="D56" s="48"/>
      <c r="E56" s="48"/>
      <c r="F56" s="48"/>
      <c r="G56" s="49"/>
      <c r="H56" s="49"/>
    </row>
    <row r="57" spans="1:36" x14ac:dyDescent="0.25">
      <c r="A57" s="46"/>
      <c r="B57" s="47"/>
      <c r="C57" s="48"/>
      <c r="D57" s="48"/>
      <c r="E57" s="48"/>
      <c r="F57" s="48"/>
      <c r="G57" s="49"/>
      <c r="H57" s="49"/>
    </row>
    <row r="58" spans="1:36" x14ac:dyDescent="0.25">
      <c r="A58" s="46"/>
      <c r="B58" s="47"/>
      <c r="C58" s="48"/>
      <c r="D58" s="48"/>
      <c r="E58" s="48"/>
      <c r="F58" s="48"/>
      <c r="G58" s="49"/>
      <c r="H58" s="49"/>
    </row>
    <row r="59" spans="1:36" x14ac:dyDescent="0.25">
      <c r="A59" s="46"/>
      <c r="B59" s="47"/>
      <c r="C59" s="48"/>
      <c r="D59" s="48"/>
      <c r="E59" s="48"/>
      <c r="F59" s="48"/>
      <c r="G59" s="49"/>
      <c r="H59" s="49"/>
    </row>
    <row r="60" spans="1:36" x14ac:dyDescent="0.2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36" x14ac:dyDescent="0.25">
      <c r="A61" s="52" t="str">
        <f>+Innhold!B123</f>
        <v>Finans Norge / Skadeforsikringsstatistikk</v>
      </c>
      <c r="H61" s="187">
        <v>4</v>
      </c>
      <c r="I61" s="52" t="str">
        <f>+Innhold!B123</f>
        <v>Finans Norge / Skadeforsikringsstatistikk</v>
      </c>
      <c r="O61" s="187">
        <v>5</v>
      </c>
      <c r="P61" s="52" t="str">
        <f>+Innhold!B123</f>
        <v>Finans Norge / Skadeforsikringsstatistikk</v>
      </c>
      <c r="V61" s="187">
        <v>6</v>
      </c>
      <c r="W61" s="52" t="str">
        <f>+Innhold!B123</f>
        <v>Finans Norge / Skadeforsikringsstatistikk</v>
      </c>
      <c r="AC61" s="187">
        <v>7</v>
      </c>
      <c r="AD61" s="52" t="str">
        <f>+Innhold!B123</f>
        <v>Finans Norge / Skadeforsikringsstatistikk</v>
      </c>
      <c r="AJ61" s="187">
        <v>8</v>
      </c>
    </row>
    <row r="62" spans="1:36" x14ac:dyDescent="0.25">
      <c r="A62" s="52" t="str">
        <f>+Innhold!B124</f>
        <v>Skadestatistikk for landbasert forsikring 1. kvartal 2026</v>
      </c>
      <c r="H62" s="188"/>
      <c r="I62" s="52" t="str">
        <f>+Innhold!B124</f>
        <v>Skadestatistikk for landbasert forsikring 1. kvartal 2026</v>
      </c>
      <c r="O62" s="188"/>
      <c r="P62" s="52" t="str">
        <f>+Innhold!B124</f>
        <v>Skadestatistikk for landbasert forsikring 1. kvartal 2026</v>
      </c>
      <c r="V62" s="188"/>
      <c r="W62" s="52" t="str">
        <f>+Innhold!B124</f>
        <v>Skadestatistikk for landbasert forsikring 1. kvartal 2026</v>
      </c>
      <c r="AC62" s="188"/>
      <c r="AD62" s="52" t="str">
        <f>+Innhold!B124</f>
        <v>Skadestatistikk for landbasert forsikring 1. kvartal 2026</v>
      </c>
      <c r="AJ62" s="188"/>
    </row>
    <row r="65" spans="1:30" x14ac:dyDescent="0.25">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5"/>
      <c r="AC65" s="155"/>
      <c r="AD65" s="155"/>
    </row>
    <row r="66" spans="1:30" x14ac:dyDescent="0.25">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5"/>
      <c r="AB66" s="155"/>
      <c r="AC66" s="155"/>
      <c r="AD66" s="155"/>
    </row>
    <row r="67" spans="1:30" ht="12.75" customHeight="1" x14ac:dyDescent="0.25">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5"/>
      <c r="AB67" s="155"/>
      <c r="AC67" s="155"/>
      <c r="AD67" s="155"/>
    </row>
    <row r="68" spans="1:30" ht="12.75" customHeight="1" x14ac:dyDescent="0.25">
      <c r="A68" s="156"/>
      <c r="B68" s="156"/>
      <c r="C68" s="156"/>
      <c r="D68" s="156"/>
      <c r="E68" s="156"/>
      <c r="F68" s="156"/>
      <c r="G68" s="156"/>
      <c r="H68" s="156"/>
      <c r="I68" s="156"/>
      <c r="J68" s="156"/>
      <c r="K68" s="156"/>
      <c r="L68" s="156"/>
      <c r="M68" s="157" t="s">
        <v>177</v>
      </c>
      <c r="N68" s="156"/>
      <c r="O68" s="156"/>
      <c r="P68" s="157" t="s">
        <v>179</v>
      </c>
      <c r="Q68" s="156"/>
      <c r="R68" s="156"/>
      <c r="S68" s="157" t="s">
        <v>178</v>
      </c>
      <c r="T68" s="156"/>
      <c r="U68" s="156"/>
      <c r="V68" s="156"/>
      <c r="W68" s="156"/>
      <c r="X68" s="156"/>
      <c r="Y68" s="156"/>
      <c r="Z68" s="156"/>
      <c r="AA68" s="155"/>
      <c r="AB68" s="155"/>
      <c r="AC68" s="155"/>
      <c r="AD68" s="155"/>
    </row>
    <row r="69" spans="1:30" x14ac:dyDescent="0.25">
      <c r="A69" s="158" t="s">
        <v>183</v>
      </c>
      <c r="B69" s="159"/>
      <c r="C69" s="159"/>
      <c r="D69" s="159" t="s">
        <v>74</v>
      </c>
      <c r="E69" s="159"/>
      <c r="F69" s="159"/>
      <c r="G69" s="159"/>
      <c r="H69" s="158"/>
      <c r="I69" s="160">
        <v>192.30769230769201</v>
      </c>
      <c r="J69" s="161" t="s">
        <v>231</v>
      </c>
      <c r="K69" s="156"/>
      <c r="L69" s="156"/>
      <c r="M69" s="157" t="s">
        <v>161</v>
      </c>
      <c r="N69" s="156"/>
      <c r="O69" s="156"/>
      <c r="P69" s="157" t="s">
        <v>175</v>
      </c>
      <c r="Q69" s="156"/>
      <c r="R69" s="156"/>
      <c r="S69" s="157" t="s">
        <v>176</v>
      </c>
      <c r="T69" s="156"/>
      <c r="U69" s="156"/>
      <c r="V69" s="158" t="s">
        <v>184</v>
      </c>
      <c r="W69" s="159"/>
      <c r="X69" s="159"/>
      <c r="Y69" s="159"/>
      <c r="Z69" s="159"/>
      <c r="AA69" s="155"/>
      <c r="AB69" s="155"/>
      <c r="AC69" s="155"/>
      <c r="AD69" s="155"/>
    </row>
    <row r="70" spans="1:30" x14ac:dyDescent="0.25">
      <c r="A70" s="159" t="s">
        <v>75</v>
      </c>
      <c r="B70" s="159" t="s">
        <v>76</v>
      </c>
      <c r="C70" s="159" t="s">
        <v>26</v>
      </c>
      <c r="D70" s="159" t="s">
        <v>77</v>
      </c>
      <c r="E70" s="159"/>
      <c r="F70" s="159"/>
      <c r="G70" s="159"/>
      <c r="H70" s="156"/>
      <c r="I70" s="162" t="s">
        <v>159</v>
      </c>
      <c r="J70" s="156" t="s">
        <v>229</v>
      </c>
      <c r="K70" s="162" t="s">
        <v>76</v>
      </c>
      <c r="L70" s="162" t="s">
        <v>108</v>
      </c>
      <c r="M70" s="162" t="s">
        <v>157</v>
      </c>
      <c r="N70" s="162" t="s">
        <v>158</v>
      </c>
      <c r="O70" s="162" t="s">
        <v>108</v>
      </c>
      <c r="P70" s="162" t="s">
        <v>157</v>
      </c>
      <c r="Q70" s="162" t="s">
        <v>158</v>
      </c>
      <c r="R70" s="162" t="s">
        <v>108</v>
      </c>
      <c r="S70" s="162" t="s">
        <v>157</v>
      </c>
      <c r="T70" s="162" t="s">
        <v>158</v>
      </c>
      <c r="U70" s="156"/>
      <c r="V70" s="159" t="s">
        <v>81</v>
      </c>
      <c r="W70" s="159"/>
      <c r="X70" s="163" t="str">
        <f>+'Tab3'!C6</f>
        <v>2024</v>
      </c>
      <c r="Y70" s="163" t="str">
        <f>+'Tab3'!D6</f>
        <v>2025</v>
      </c>
      <c r="Z70" s="163" t="str">
        <f>+'Tab3'!E6</f>
        <v>2026</v>
      </c>
      <c r="AA70" s="155"/>
      <c r="AB70" s="155"/>
      <c r="AC70" s="155"/>
      <c r="AD70" s="155"/>
    </row>
    <row r="71" spans="1:30" x14ac:dyDescent="0.25">
      <c r="A71" s="159">
        <v>1</v>
      </c>
      <c r="B71" s="159">
        <v>1983</v>
      </c>
      <c r="C71" s="159">
        <v>97</v>
      </c>
      <c r="D71" s="159">
        <v>78.3</v>
      </c>
      <c r="E71" s="159"/>
      <c r="F71" s="159"/>
      <c r="G71" s="159"/>
      <c r="H71" s="156"/>
      <c r="I71" s="164">
        <v>53.8</v>
      </c>
      <c r="J71" s="156">
        <v>1</v>
      </c>
      <c r="K71" s="156">
        <v>1983</v>
      </c>
      <c r="L71" s="165">
        <v>11621</v>
      </c>
      <c r="M71" s="164">
        <v>80.900000000000006</v>
      </c>
      <c r="N71" s="164">
        <f t="shared" ref="N71:N106" si="0">M71/I71*$I$69</f>
        <v>289.17643694595324</v>
      </c>
      <c r="O71" s="156"/>
      <c r="P71" s="156"/>
      <c r="Q71" s="156"/>
      <c r="R71" s="156"/>
      <c r="S71" s="156"/>
      <c r="T71" s="156"/>
      <c r="U71" s="156"/>
      <c r="V71" s="159"/>
      <c r="W71" s="159"/>
      <c r="X71" s="159"/>
      <c r="Y71" s="159"/>
      <c r="Z71" s="159"/>
      <c r="AA71" s="155"/>
      <c r="AB71" s="155"/>
      <c r="AC71" s="155"/>
      <c r="AD71" s="155"/>
    </row>
    <row r="72" spans="1:30" x14ac:dyDescent="0.25">
      <c r="A72" s="159">
        <v>2</v>
      </c>
      <c r="B72" s="159"/>
      <c r="C72" s="159">
        <v>78.8</v>
      </c>
      <c r="D72" s="159">
        <v>61.3</v>
      </c>
      <c r="E72" s="159"/>
      <c r="F72" s="159"/>
      <c r="G72" s="159"/>
      <c r="H72" s="156"/>
      <c r="I72" s="164">
        <v>54.7</v>
      </c>
      <c r="J72" s="156">
        <v>2</v>
      </c>
      <c r="K72" s="156"/>
      <c r="L72" s="165">
        <v>11120</v>
      </c>
      <c r="M72" s="164">
        <v>68.900000000000006</v>
      </c>
      <c r="N72" s="164">
        <f t="shared" si="0"/>
        <v>242.23034734917698</v>
      </c>
      <c r="O72" s="156"/>
      <c r="P72" s="156"/>
      <c r="Q72" s="156"/>
      <c r="R72" s="156"/>
      <c r="S72" s="156"/>
      <c r="T72" s="156"/>
      <c r="U72" s="156"/>
      <c r="V72" s="159" t="s">
        <v>26</v>
      </c>
      <c r="W72" s="159"/>
      <c r="X72" s="166">
        <f>IF('Tab6'!C36="",'Tab6'!C35,'Tab6'!C36)</f>
        <v>6897.2338808247232</v>
      </c>
      <c r="Y72" s="166">
        <f>IF('Tab6'!D36="",'Tab6'!D35,'Tab6'!D36)</f>
        <v>6838.4285640117414</v>
      </c>
      <c r="Z72" s="166">
        <f>IF('Tab6'!E36="",'Tab6'!E35,'Tab6'!E36)</f>
        <v>7315.9147779994391</v>
      </c>
      <c r="AA72" s="155"/>
      <c r="AB72" s="155"/>
      <c r="AC72" s="155"/>
      <c r="AD72" s="155"/>
    </row>
    <row r="73" spans="1:30" x14ac:dyDescent="0.25">
      <c r="A73" s="159">
        <v>3</v>
      </c>
      <c r="B73" s="159"/>
      <c r="C73" s="159">
        <v>84.8</v>
      </c>
      <c r="D73" s="159">
        <v>63</v>
      </c>
      <c r="E73" s="159"/>
      <c r="F73" s="159"/>
      <c r="G73" s="159"/>
      <c r="H73" s="156"/>
      <c r="I73" s="164">
        <v>55.3</v>
      </c>
      <c r="J73" s="156">
        <v>3</v>
      </c>
      <c r="K73" s="156"/>
      <c r="L73" s="165">
        <v>11918</v>
      </c>
      <c r="M73" s="164">
        <v>63.7</v>
      </c>
      <c r="N73" s="164">
        <f t="shared" si="0"/>
        <v>221.51898734177183</v>
      </c>
      <c r="O73" s="156"/>
      <c r="P73" s="156"/>
      <c r="Q73" s="156"/>
      <c r="R73" s="156"/>
      <c r="S73" s="156"/>
      <c r="T73" s="156"/>
      <c r="U73" s="156"/>
      <c r="V73" s="159"/>
      <c r="W73" s="159"/>
      <c r="X73" s="166"/>
      <c r="Y73" s="166"/>
      <c r="Z73" s="166"/>
      <c r="AA73" s="155"/>
      <c r="AB73" s="155"/>
      <c r="AC73" s="155"/>
      <c r="AD73" s="155"/>
    </row>
    <row r="74" spans="1:30" x14ac:dyDescent="0.25">
      <c r="A74" s="159">
        <v>4</v>
      </c>
      <c r="B74" s="159"/>
      <c r="C74" s="159">
        <v>91.2</v>
      </c>
      <c r="D74" s="159">
        <v>70.8</v>
      </c>
      <c r="E74" s="159"/>
      <c r="F74" s="159"/>
      <c r="G74" s="159"/>
      <c r="H74" s="156"/>
      <c r="I74" s="164">
        <v>56.2</v>
      </c>
      <c r="J74" s="156">
        <v>4</v>
      </c>
      <c r="K74" s="156"/>
      <c r="L74" s="165">
        <v>11905</v>
      </c>
      <c r="M74" s="164">
        <v>79.3</v>
      </c>
      <c r="N74" s="164">
        <f t="shared" si="0"/>
        <v>271.35231316725935</v>
      </c>
      <c r="O74" s="156"/>
      <c r="P74" s="156"/>
      <c r="Q74" s="156"/>
      <c r="R74" s="156"/>
      <c r="S74" s="156"/>
      <c r="T74" s="156"/>
      <c r="U74" s="156"/>
      <c r="V74" s="159" t="s">
        <v>63</v>
      </c>
      <c r="W74" s="159"/>
      <c r="X74" s="166">
        <f>IF('Tab6'!C36="",'Tab6'!C45+'Tab6'!C47,'Tab6'!C46+'Tab6'!C48)</f>
        <v>77.624035555218768</v>
      </c>
      <c r="Y74" s="166">
        <f>IF('Tab6'!D36="",'Tab6'!D45+'Tab6'!D47,'Tab6'!D46+'Tab6'!D48)</f>
        <v>63.357571970816764</v>
      </c>
      <c r="Z74" s="166">
        <f>IF('Tab6'!E36="",'Tab6'!E45+'Tab6'!E47,'Tab6'!E46+'Tab6'!E48)</f>
        <v>63.178281412214091</v>
      </c>
      <c r="AA74" s="155"/>
      <c r="AB74" s="155"/>
      <c r="AC74" s="155"/>
      <c r="AD74" s="155"/>
    </row>
    <row r="75" spans="1:30" x14ac:dyDescent="0.25">
      <c r="A75" s="159">
        <v>1</v>
      </c>
      <c r="B75" s="159">
        <v>1984</v>
      </c>
      <c r="C75" s="159">
        <v>112.2</v>
      </c>
      <c r="D75" s="159">
        <v>90.4</v>
      </c>
      <c r="E75" s="159"/>
      <c r="F75" s="159"/>
      <c r="G75" s="159"/>
      <c r="H75" s="156"/>
      <c r="I75" s="164">
        <v>57.3</v>
      </c>
      <c r="J75" s="156">
        <v>1</v>
      </c>
      <c r="K75" s="156">
        <v>1984</v>
      </c>
      <c r="L75" s="165">
        <v>13205</v>
      </c>
      <c r="M75" s="164">
        <v>86.7</v>
      </c>
      <c r="N75" s="164">
        <f t="shared" si="0"/>
        <v>290.97865485299997</v>
      </c>
      <c r="O75" s="156"/>
      <c r="P75" s="156"/>
      <c r="Q75" s="156"/>
      <c r="R75" s="156"/>
      <c r="S75" s="156"/>
      <c r="T75" s="156"/>
      <c r="U75" s="156"/>
      <c r="V75" s="159" t="s">
        <v>39</v>
      </c>
      <c r="W75" s="159"/>
      <c r="X75" s="166">
        <f>IF('Tab6'!C36="",'Tab6'!C49,'Tab6'!C50)</f>
        <v>533.56324206124907</v>
      </c>
      <c r="Y75" s="166">
        <f>IF('Tab6'!D36="",'Tab6'!D49,'Tab6'!D50)</f>
        <v>595.58996931904323</v>
      </c>
      <c r="Z75" s="166">
        <f>IF('Tab6'!E36="",'Tab6'!E49,'Tab6'!E50)</f>
        <v>588.49878160186199</v>
      </c>
      <c r="AA75" s="155"/>
      <c r="AB75" s="155"/>
      <c r="AC75" s="155"/>
      <c r="AD75" s="155"/>
    </row>
    <row r="76" spans="1:30" x14ac:dyDescent="0.25">
      <c r="A76" s="159">
        <v>2</v>
      </c>
      <c r="B76" s="159"/>
      <c r="C76" s="159">
        <v>81.8</v>
      </c>
      <c r="D76" s="159">
        <v>64.400000000000006</v>
      </c>
      <c r="E76" s="159"/>
      <c r="F76" s="159"/>
      <c r="G76" s="159"/>
      <c r="H76" s="156"/>
      <c r="I76" s="164">
        <v>58.2</v>
      </c>
      <c r="J76" s="156">
        <v>2</v>
      </c>
      <c r="K76" s="156"/>
      <c r="L76" s="165">
        <v>12453</v>
      </c>
      <c r="M76" s="164">
        <v>83.3</v>
      </c>
      <c r="N76" s="164">
        <f t="shared" si="0"/>
        <v>275.24451493523611</v>
      </c>
      <c r="O76" s="156"/>
      <c r="P76" s="156"/>
      <c r="Q76" s="156"/>
      <c r="R76" s="156"/>
      <c r="S76" s="156"/>
      <c r="T76" s="156"/>
      <c r="U76" s="156"/>
      <c r="V76" s="159" t="s">
        <v>18</v>
      </c>
      <c r="W76" s="159"/>
      <c r="X76" s="166">
        <f>IF('Tab6'!C36="",'Tab6'!C43,'Tab6'!C44)</f>
        <v>96.62568084818858</v>
      </c>
      <c r="Y76" s="166">
        <f>IF('Tab6'!D36="",'Tab6'!D43,'Tab6'!D44)</f>
        <v>95.270964688142499</v>
      </c>
      <c r="Z76" s="166">
        <f>IF('Tab6'!E36="",'Tab6'!E43,'Tab6'!E44)</f>
        <v>95.488534363964817</v>
      </c>
      <c r="AA76" s="155"/>
      <c r="AB76" s="155"/>
      <c r="AC76" s="155"/>
      <c r="AD76" s="155"/>
    </row>
    <row r="77" spans="1:30" x14ac:dyDescent="0.25">
      <c r="A77" s="159">
        <v>3</v>
      </c>
      <c r="B77" s="159"/>
      <c r="C77" s="159">
        <v>90.4</v>
      </c>
      <c r="D77" s="159">
        <v>71.099999999999994</v>
      </c>
      <c r="E77" s="159"/>
      <c r="F77" s="159"/>
      <c r="G77" s="159"/>
      <c r="H77" s="156"/>
      <c r="I77" s="164">
        <v>58.7</v>
      </c>
      <c r="J77" s="156">
        <v>3</v>
      </c>
      <c r="K77" s="156"/>
      <c r="L77" s="165">
        <v>12278</v>
      </c>
      <c r="M77" s="164">
        <v>83.3</v>
      </c>
      <c r="N77" s="164">
        <f t="shared" si="0"/>
        <v>272.90001310444194</v>
      </c>
      <c r="O77" s="156"/>
      <c r="P77" s="156"/>
      <c r="Q77" s="156"/>
      <c r="R77" s="156"/>
      <c r="S77" s="156"/>
      <c r="T77" s="156"/>
      <c r="U77" s="156"/>
      <c r="V77" s="159" t="s">
        <v>82</v>
      </c>
      <c r="W77" s="159"/>
      <c r="X77" s="166">
        <f>IF('Tab6'!C36="",'Tab6'!C37+'Tab6'!C39,'Tab6'!C38+'Tab6'!C40)</f>
        <v>706.64607784801251</v>
      </c>
      <c r="Y77" s="166">
        <f>IF('Tab6'!D36="",'Tab6'!D37+'Tab6'!D39,'Tab6'!D38+'Tab6'!D40)</f>
        <v>668.96161869345019</v>
      </c>
      <c r="Z77" s="166">
        <f>IF('Tab6'!E36="",'Tab6'!E37+'Tab6'!E39,'Tab6'!E38+'Tab6'!E40)</f>
        <v>822.00707584984389</v>
      </c>
      <c r="AA77" s="155"/>
      <c r="AB77" s="155"/>
      <c r="AC77" s="155"/>
      <c r="AD77" s="155"/>
    </row>
    <row r="78" spans="1:30" x14ac:dyDescent="0.25">
      <c r="A78" s="159">
        <v>4</v>
      </c>
      <c r="B78" s="159"/>
      <c r="C78" s="159">
        <v>92.9</v>
      </c>
      <c r="D78" s="159">
        <v>73.900000000000006</v>
      </c>
      <c r="E78" s="159"/>
      <c r="F78" s="159"/>
      <c r="G78" s="159"/>
      <c r="H78" s="156"/>
      <c r="I78" s="164">
        <v>59.6</v>
      </c>
      <c r="J78" s="156">
        <v>4</v>
      </c>
      <c r="K78" s="156"/>
      <c r="L78" s="165">
        <v>11449</v>
      </c>
      <c r="M78" s="164">
        <v>94.6</v>
      </c>
      <c r="N78" s="164">
        <f t="shared" si="0"/>
        <v>305.24006195147081</v>
      </c>
      <c r="O78" s="156"/>
      <c r="P78" s="156"/>
      <c r="Q78" s="156"/>
      <c r="R78" s="156"/>
      <c r="S78" s="156"/>
      <c r="T78" s="156"/>
      <c r="U78" s="156"/>
      <c r="V78" s="159" t="s">
        <v>83</v>
      </c>
      <c r="W78" s="159"/>
      <c r="X78" s="167">
        <f>X72-X77-X76-X75-X74</f>
        <v>5482.7748445120542</v>
      </c>
      <c r="Y78" s="167">
        <f>Y72-Y77-Y76-Y75-Y74</f>
        <v>5415.2484393402892</v>
      </c>
      <c r="Z78" s="167">
        <f>Z72-Z77-Z76-Z75-Z74</f>
        <v>5746.7421047715543</v>
      </c>
      <c r="AA78" s="155"/>
      <c r="AB78" s="155"/>
      <c r="AC78" s="155"/>
      <c r="AD78" s="155"/>
    </row>
    <row r="79" spans="1:30" x14ac:dyDescent="0.25">
      <c r="A79" s="159">
        <v>1</v>
      </c>
      <c r="B79" s="159">
        <v>1985</v>
      </c>
      <c r="C79" s="159">
        <v>123.4</v>
      </c>
      <c r="D79" s="159">
        <v>100.8</v>
      </c>
      <c r="E79" s="159"/>
      <c r="F79" s="159"/>
      <c r="G79" s="159"/>
      <c r="H79" s="156"/>
      <c r="I79" s="164">
        <v>60.4</v>
      </c>
      <c r="J79" s="156">
        <v>1</v>
      </c>
      <c r="K79" s="156">
        <v>1985</v>
      </c>
      <c r="L79" s="165">
        <v>16918</v>
      </c>
      <c r="M79" s="164">
        <v>103.6</v>
      </c>
      <c r="N79" s="164">
        <f t="shared" si="0"/>
        <v>329.85226693835909</v>
      </c>
      <c r="O79" s="156"/>
      <c r="P79" s="156"/>
      <c r="Q79" s="156"/>
      <c r="R79" s="156"/>
      <c r="S79" s="156"/>
      <c r="T79" s="156"/>
      <c r="U79" s="156"/>
      <c r="V79" s="159"/>
      <c r="W79" s="159"/>
      <c r="X79" s="159"/>
      <c r="Y79" s="159"/>
      <c r="Z79" s="159"/>
      <c r="AA79" s="155"/>
      <c r="AB79" s="155"/>
      <c r="AC79" s="155"/>
      <c r="AD79" s="155"/>
    </row>
    <row r="80" spans="1:30" x14ac:dyDescent="0.25">
      <c r="A80" s="159">
        <v>2</v>
      </c>
      <c r="B80" s="159"/>
      <c r="C80" s="159">
        <v>102</v>
      </c>
      <c r="D80" s="159">
        <v>81.099999999999994</v>
      </c>
      <c r="E80" s="159"/>
      <c r="F80" s="159"/>
      <c r="G80" s="159"/>
      <c r="H80" s="156"/>
      <c r="I80" s="164">
        <v>61.5</v>
      </c>
      <c r="J80" s="156">
        <v>2</v>
      </c>
      <c r="K80" s="156"/>
      <c r="L80" s="165">
        <v>14237</v>
      </c>
      <c r="M80" s="164">
        <v>115.3</v>
      </c>
      <c r="N80" s="164">
        <f t="shared" si="0"/>
        <v>360.53783614759169</v>
      </c>
      <c r="O80" s="156"/>
      <c r="P80" s="156"/>
      <c r="Q80" s="156"/>
      <c r="R80" s="156"/>
      <c r="S80" s="156"/>
      <c r="T80" s="156"/>
      <c r="U80" s="156"/>
      <c r="V80" s="158" t="s">
        <v>162</v>
      </c>
      <c r="W80" s="159"/>
      <c r="X80" s="159"/>
      <c r="Y80" s="159"/>
      <c r="Z80" s="156"/>
      <c r="AA80" s="155"/>
      <c r="AB80" s="155"/>
      <c r="AC80" s="155"/>
      <c r="AD80" s="155"/>
    </row>
    <row r="81" spans="1:30" x14ac:dyDescent="0.25">
      <c r="A81" s="159">
        <v>3</v>
      </c>
      <c r="B81" s="159"/>
      <c r="C81" s="159">
        <v>108.4</v>
      </c>
      <c r="D81" s="159">
        <v>86</v>
      </c>
      <c r="E81" s="159"/>
      <c r="F81" s="159"/>
      <c r="G81" s="159"/>
      <c r="H81" s="156"/>
      <c r="I81" s="164">
        <v>62</v>
      </c>
      <c r="J81" s="156">
        <v>3</v>
      </c>
      <c r="K81" s="156"/>
      <c r="L81" s="165">
        <v>14329</v>
      </c>
      <c r="M81" s="164">
        <v>103</v>
      </c>
      <c r="N81" s="164">
        <f t="shared" si="0"/>
        <v>319.47890818858514</v>
      </c>
      <c r="O81" s="156"/>
      <c r="P81" s="156"/>
      <c r="Q81" s="156"/>
      <c r="R81" s="156"/>
      <c r="S81" s="156"/>
      <c r="T81" s="156"/>
      <c r="U81" s="156"/>
      <c r="V81" s="159"/>
      <c r="W81" s="159"/>
      <c r="X81" s="159"/>
      <c r="Y81" s="159"/>
      <c r="Z81" s="156"/>
      <c r="AA81" s="155"/>
      <c r="AB81" s="155"/>
      <c r="AC81" s="155"/>
      <c r="AD81" s="155"/>
    </row>
    <row r="82" spans="1:30" x14ac:dyDescent="0.25">
      <c r="A82" s="159">
        <v>4</v>
      </c>
      <c r="B82" s="159"/>
      <c r="C82" s="159">
        <v>109.6</v>
      </c>
      <c r="D82" s="159">
        <v>87.1</v>
      </c>
      <c r="E82" s="159"/>
      <c r="F82" s="159"/>
      <c r="G82" s="159"/>
      <c r="H82" s="156"/>
      <c r="I82" s="164">
        <v>63</v>
      </c>
      <c r="J82" s="156">
        <v>4</v>
      </c>
      <c r="K82" s="156"/>
      <c r="L82" s="165">
        <v>13060</v>
      </c>
      <c r="M82" s="164">
        <v>118.7</v>
      </c>
      <c r="N82" s="164">
        <f t="shared" si="0"/>
        <v>362.33211233211176</v>
      </c>
      <c r="O82" s="156"/>
      <c r="P82" s="156"/>
      <c r="Q82" s="156"/>
      <c r="R82" s="156"/>
      <c r="S82" s="156"/>
      <c r="T82" s="156"/>
      <c r="U82" s="156"/>
      <c r="V82" s="159"/>
      <c r="W82" s="163" t="str">
        <f>+'Tab4'!C6</f>
        <v>2024</v>
      </c>
      <c r="X82" s="163" t="str">
        <f>+'Tab4'!D6</f>
        <v>2025</v>
      </c>
      <c r="Y82" s="163" t="str">
        <f>+'Tab4'!E6</f>
        <v>2026</v>
      </c>
      <c r="Z82" s="156"/>
      <c r="AA82" s="155"/>
      <c r="AB82" s="155"/>
      <c r="AC82" s="155"/>
      <c r="AD82" s="155"/>
    </row>
    <row r="83" spans="1:30" x14ac:dyDescent="0.25">
      <c r="A83" s="159">
        <v>1</v>
      </c>
      <c r="B83" s="159">
        <v>1986</v>
      </c>
      <c r="C83" s="159">
        <v>141</v>
      </c>
      <c r="D83" s="159">
        <v>115.2</v>
      </c>
      <c r="E83" s="159"/>
      <c r="F83" s="159"/>
      <c r="G83" s="159"/>
      <c r="H83" s="156"/>
      <c r="I83" s="164">
        <v>64</v>
      </c>
      <c r="J83" s="156">
        <v>1</v>
      </c>
      <c r="K83" s="156">
        <v>1986</v>
      </c>
      <c r="L83" s="165">
        <v>14314</v>
      </c>
      <c r="M83" s="164">
        <v>111.8</v>
      </c>
      <c r="N83" s="164">
        <f t="shared" si="0"/>
        <v>335.93749999999949</v>
      </c>
      <c r="O83" s="156"/>
      <c r="P83" s="156"/>
      <c r="Q83" s="156"/>
      <c r="R83" s="156"/>
      <c r="S83" s="156"/>
      <c r="T83" s="156"/>
      <c r="U83" s="156"/>
      <c r="V83" s="159" t="s">
        <v>84</v>
      </c>
      <c r="W83" s="166">
        <f>IF('Tab4'!C14="",'Tab4'!C13,'Tab4'!C14)</f>
        <v>3932.4092415218524</v>
      </c>
      <c r="X83" s="166">
        <f>IF('Tab4'!D14="",'Tab4'!D13,'Tab4'!D14)</f>
        <v>3205.5196405216943</v>
      </c>
      <c r="Y83" s="166">
        <f>IF('Tab4'!E14="",'Tab4'!E13,'Tab4'!E14)</f>
        <v>3683.1071827156125</v>
      </c>
      <c r="Z83" s="156"/>
      <c r="AA83" s="155"/>
      <c r="AB83" s="155"/>
      <c r="AC83" s="155"/>
      <c r="AD83" s="155"/>
    </row>
    <row r="84" spans="1:30" x14ac:dyDescent="0.25">
      <c r="A84" s="159">
        <v>2</v>
      </c>
      <c r="B84" s="159"/>
      <c r="C84" s="159">
        <v>120.5</v>
      </c>
      <c r="D84" s="159">
        <v>93.2</v>
      </c>
      <c r="E84" s="159"/>
      <c r="F84" s="159"/>
      <c r="G84" s="159"/>
      <c r="H84" s="156"/>
      <c r="I84" s="164">
        <v>65</v>
      </c>
      <c r="J84" s="156">
        <v>2</v>
      </c>
      <c r="K84" s="156"/>
      <c r="L84" s="165">
        <v>13505</v>
      </c>
      <c r="M84" s="164">
        <v>121.5</v>
      </c>
      <c r="N84" s="164">
        <f t="shared" si="0"/>
        <v>359.46745562130121</v>
      </c>
      <c r="O84" s="156"/>
      <c r="P84" s="156"/>
      <c r="Q84" s="156"/>
      <c r="R84" s="156"/>
      <c r="S84" s="156"/>
      <c r="T84" s="156"/>
      <c r="U84" s="156"/>
      <c r="V84" s="159" t="s">
        <v>169</v>
      </c>
      <c r="W84" s="166">
        <f>IF('Tab4'!C16="",'Tab4'!C15,'Tab4'!C16)</f>
        <v>2683.8552665969805</v>
      </c>
      <c r="X84" s="166">
        <f>IF('Tab4'!D16="",'Tab4'!D15,'Tab4'!D16)</f>
        <v>2336.0372093238216</v>
      </c>
      <c r="Y84" s="166">
        <f>IF('Tab4'!E16="",'Tab4'!E15,'Tab4'!E16)</f>
        <v>2270.293893236857</v>
      </c>
      <c r="Z84" s="156"/>
      <c r="AA84" s="155"/>
      <c r="AB84" s="155"/>
      <c r="AC84" s="155"/>
      <c r="AD84" s="155"/>
    </row>
    <row r="85" spans="1:30" x14ac:dyDescent="0.25">
      <c r="A85" s="159">
        <v>3</v>
      </c>
      <c r="B85" s="159"/>
      <c r="C85" s="159">
        <v>115.7</v>
      </c>
      <c r="D85" s="159">
        <v>91.1</v>
      </c>
      <c r="E85" s="159"/>
      <c r="F85" s="159"/>
      <c r="G85" s="159"/>
      <c r="H85" s="156"/>
      <c r="I85" s="164">
        <v>67</v>
      </c>
      <c r="J85" s="156">
        <v>3</v>
      </c>
      <c r="K85" s="156"/>
      <c r="L85" s="165">
        <v>12132</v>
      </c>
      <c r="M85" s="164">
        <v>100.8</v>
      </c>
      <c r="N85" s="164">
        <f t="shared" si="0"/>
        <v>289.32261768082617</v>
      </c>
      <c r="O85" s="156"/>
      <c r="P85" s="156"/>
      <c r="Q85" s="156"/>
      <c r="R85" s="156"/>
      <c r="S85" s="156"/>
      <c r="T85" s="156"/>
      <c r="U85" s="156"/>
      <c r="V85" s="159" t="s">
        <v>7</v>
      </c>
      <c r="W85" s="166">
        <f>IF('Tab4'!C18="",'Tab4'!C17,'Tab4'!C18)</f>
        <v>556.31455547052383</v>
      </c>
      <c r="X85" s="166">
        <f>IF('Tab4'!D18="",'Tab4'!D17,'Tab4'!D18)</f>
        <v>559.80800308339622</v>
      </c>
      <c r="Y85" s="166">
        <f>IF('Tab4'!E18="",'Tab4'!E17,'Tab4'!E18)</f>
        <v>829.81486720109558</v>
      </c>
      <c r="Z85" s="156"/>
      <c r="AA85" s="155"/>
      <c r="AB85" s="155"/>
      <c r="AC85" s="155"/>
      <c r="AD85" s="155"/>
    </row>
    <row r="86" spans="1:30" x14ac:dyDescent="0.25">
      <c r="A86" s="159">
        <v>4</v>
      </c>
      <c r="B86" s="159"/>
      <c r="C86" s="159">
        <v>114.4</v>
      </c>
      <c r="D86" s="159">
        <v>90.8</v>
      </c>
      <c r="E86" s="159"/>
      <c r="F86" s="159"/>
      <c r="G86" s="159"/>
      <c r="H86" s="156"/>
      <c r="I86" s="164">
        <v>68.5</v>
      </c>
      <c r="J86" s="156">
        <v>4</v>
      </c>
      <c r="K86" s="156"/>
      <c r="L86" s="165">
        <v>11763</v>
      </c>
      <c r="M86" s="164">
        <v>120.6</v>
      </c>
      <c r="N86" s="164">
        <f t="shared" si="0"/>
        <v>338.57383492419933</v>
      </c>
      <c r="O86" s="156"/>
      <c r="P86" s="156"/>
      <c r="Q86" s="156"/>
      <c r="R86" s="156"/>
      <c r="S86" s="156"/>
      <c r="T86" s="156"/>
      <c r="U86" s="156"/>
      <c r="V86" s="156" t="s">
        <v>8</v>
      </c>
      <c r="W86" s="166">
        <f>IF('Tab4'!C20="",'Tab4'!C19,'Tab4'!C20)</f>
        <v>677.20724836542172</v>
      </c>
      <c r="X86" s="166">
        <f>IF('Tab4'!D20="",'Tab4'!D19,'Tab4'!D20)</f>
        <v>820.96199987441344</v>
      </c>
      <c r="Y86" s="166">
        <f>IF('Tab4'!E20="",'Tab4'!E19,'Tab4'!E20)</f>
        <v>758.01760734125992</v>
      </c>
      <c r="Z86" s="156"/>
      <c r="AA86" s="155"/>
      <c r="AB86" s="155"/>
      <c r="AC86" s="155"/>
      <c r="AD86" s="155"/>
    </row>
    <row r="87" spans="1:30" x14ac:dyDescent="0.25">
      <c r="A87" s="159">
        <v>1</v>
      </c>
      <c r="B87" s="159">
        <v>1987</v>
      </c>
      <c r="C87" s="159">
        <v>152.19999999999999</v>
      </c>
      <c r="D87" s="159">
        <v>121.3</v>
      </c>
      <c r="E87" s="159"/>
      <c r="F87" s="159"/>
      <c r="G87" s="159"/>
      <c r="H87" s="156"/>
      <c r="I87" s="164">
        <v>70.5</v>
      </c>
      <c r="J87" s="156">
        <v>1</v>
      </c>
      <c r="K87" s="156">
        <v>1987</v>
      </c>
      <c r="L87" s="165">
        <v>17280</v>
      </c>
      <c r="M87" s="164">
        <v>135.6</v>
      </c>
      <c r="N87" s="164">
        <f t="shared" si="0"/>
        <v>369.88543371522036</v>
      </c>
      <c r="O87" s="156"/>
      <c r="P87" s="156"/>
      <c r="Q87" s="156"/>
      <c r="R87" s="156"/>
      <c r="S87" s="156"/>
      <c r="T87" s="156"/>
      <c r="U87" s="156"/>
      <c r="V87" s="159" t="s">
        <v>9</v>
      </c>
      <c r="W87" s="166">
        <f>IF('Tab4'!C20="",'Tab4'!C21,'Tab4'!C22)</f>
        <v>241.95851461356406</v>
      </c>
      <c r="X87" s="166">
        <f>IF('Tab4'!D20="",'Tab4'!D21,'Tab4'!D22)</f>
        <v>278.8202720697966</v>
      </c>
      <c r="Y87" s="166">
        <f>IF('Tab4'!E20="",'Tab4'!E21,'Tab4'!E22)</f>
        <v>401.76702027328042</v>
      </c>
      <c r="Z87" s="156"/>
      <c r="AA87" s="155"/>
      <c r="AB87" s="155"/>
      <c r="AC87" s="155"/>
      <c r="AD87" s="155"/>
    </row>
    <row r="88" spans="1:30" x14ac:dyDescent="0.25">
      <c r="A88" s="159">
        <v>2</v>
      </c>
      <c r="B88" s="159"/>
      <c r="C88" s="159">
        <v>109.2</v>
      </c>
      <c r="D88" s="159">
        <v>86.1</v>
      </c>
      <c r="E88" s="159"/>
      <c r="F88" s="159"/>
      <c r="G88" s="159"/>
      <c r="H88" s="156"/>
      <c r="I88" s="164">
        <v>71.599999999999994</v>
      </c>
      <c r="J88" s="156">
        <v>2</v>
      </c>
      <c r="K88" s="156"/>
      <c r="L88" s="165">
        <v>12241</v>
      </c>
      <c r="M88" s="164">
        <v>135.9</v>
      </c>
      <c r="N88" s="164">
        <f t="shared" si="0"/>
        <v>365.00859475719756</v>
      </c>
      <c r="O88" s="156"/>
      <c r="P88" s="156"/>
      <c r="Q88" s="156"/>
      <c r="R88" s="156"/>
      <c r="S88" s="156"/>
      <c r="T88" s="156"/>
      <c r="U88" s="156"/>
      <c r="V88" s="159" t="s">
        <v>10</v>
      </c>
      <c r="W88" s="166">
        <f>IF('Tab4'!C22="",'Tab4'!C29,'Tab4'!C30)</f>
        <v>758.09987079489167</v>
      </c>
      <c r="X88" s="166">
        <f>IF('Tab4'!D22="",'Tab4'!D29,'Tab4'!D30)</f>
        <v>1073.8690519940794</v>
      </c>
      <c r="Y88" s="166">
        <f>IF('Tab4'!E22="",'Tab4'!E29,'Tab4'!E30)</f>
        <v>882.45801561744179</v>
      </c>
      <c r="Z88" s="156"/>
      <c r="AA88" s="155"/>
      <c r="AB88" s="155"/>
      <c r="AC88" s="155"/>
      <c r="AD88" s="155"/>
    </row>
    <row r="89" spans="1:30" x14ac:dyDescent="0.25">
      <c r="A89" s="159">
        <v>3</v>
      </c>
      <c r="B89" s="159"/>
      <c r="C89" s="159">
        <v>110.1</v>
      </c>
      <c r="D89" s="159">
        <v>87.3</v>
      </c>
      <c r="E89" s="159"/>
      <c r="F89" s="159"/>
      <c r="G89" s="159"/>
      <c r="H89" s="156"/>
      <c r="I89" s="164">
        <v>72.3</v>
      </c>
      <c r="J89" s="156">
        <v>3</v>
      </c>
      <c r="K89" s="156"/>
      <c r="L89" s="165">
        <v>11506</v>
      </c>
      <c r="M89" s="164">
        <v>112.3</v>
      </c>
      <c r="N89" s="164">
        <f t="shared" si="0"/>
        <v>298.70198957335839</v>
      </c>
      <c r="O89" s="156"/>
      <c r="P89" s="156"/>
      <c r="Q89" s="156"/>
      <c r="R89" s="156"/>
      <c r="S89" s="156"/>
      <c r="T89" s="156"/>
      <c r="U89" s="156"/>
      <c r="V89" s="159" t="s">
        <v>11</v>
      </c>
      <c r="W89" s="166">
        <f>IF('Tab4'!C30="",'Tab4'!C31,'Tab4'!C32)</f>
        <v>152.26295510110907</v>
      </c>
      <c r="X89" s="166">
        <f>IF('Tab4'!D30="",'Tab4'!D31,'Tab4'!D32)</f>
        <v>107.72347648564264</v>
      </c>
      <c r="Y89" s="166">
        <f>IF('Tab4'!E30="",'Tab4'!E31,'Tab4'!E32)</f>
        <v>81.137846847769055</v>
      </c>
      <c r="Z89" s="156"/>
      <c r="AA89" s="155"/>
      <c r="AB89" s="155"/>
      <c r="AC89" s="155"/>
      <c r="AD89" s="155"/>
    </row>
    <row r="90" spans="1:30" x14ac:dyDescent="0.25">
      <c r="A90" s="159">
        <v>4</v>
      </c>
      <c r="B90" s="159"/>
      <c r="C90" s="159">
        <v>112</v>
      </c>
      <c r="D90" s="159">
        <v>89.8</v>
      </c>
      <c r="E90" s="159"/>
      <c r="F90" s="159"/>
      <c r="G90" s="159"/>
      <c r="H90" s="156"/>
      <c r="I90" s="164">
        <v>73.599999999999994</v>
      </c>
      <c r="J90" s="156">
        <v>4</v>
      </c>
      <c r="K90" s="156"/>
      <c r="L90" s="165">
        <v>12860</v>
      </c>
      <c r="M90" s="164">
        <v>134.5</v>
      </c>
      <c r="N90" s="164">
        <f t="shared" si="0"/>
        <v>351.43185618729041</v>
      </c>
      <c r="O90" s="156"/>
      <c r="P90" s="156"/>
      <c r="Q90" s="156"/>
      <c r="R90" s="156"/>
      <c r="S90" s="156"/>
      <c r="T90" s="156"/>
      <c r="U90" s="156"/>
      <c r="V90" s="159" t="s">
        <v>12</v>
      </c>
      <c r="W90" s="166">
        <f>IF('Tab4'!C32="",'Tab4'!C33,'Tab4'!C34)</f>
        <v>456.87793273317737</v>
      </c>
      <c r="X90" s="166">
        <f>IF('Tab4'!D32="",'Tab4'!D33,'Tab4'!D34)</f>
        <v>489.83176875388563</v>
      </c>
      <c r="Y90" s="166">
        <f>IF('Tab4'!E32="",'Tab4'!E33,'Tab4'!E34)</f>
        <v>508.29332965245055</v>
      </c>
      <c r="Z90" s="156"/>
      <c r="AA90" s="155"/>
      <c r="AB90" s="155"/>
      <c r="AC90" s="155"/>
      <c r="AD90" s="155"/>
    </row>
    <row r="91" spans="1:30" x14ac:dyDescent="0.25">
      <c r="A91" s="159">
        <v>1</v>
      </c>
      <c r="B91" s="159">
        <v>1988</v>
      </c>
      <c r="C91" s="159">
        <v>134.1</v>
      </c>
      <c r="D91" s="159">
        <v>107.5</v>
      </c>
      <c r="E91" s="159"/>
      <c r="F91" s="159"/>
      <c r="G91" s="159"/>
      <c r="H91" s="156"/>
      <c r="I91" s="164">
        <v>75.2</v>
      </c>
      <c r="J91" s="156">
        <v>1</v>
      </c>
      <c r="K91" s="156">
        <v>1988</v>
      </c>
      <c r="L91" s="165">
        <v>10180</v>
      </c>
      <c r="M91" s="164">
        <v>130.80000000000001</v>
      </c>
      <c r="N91" s="164">
        <f t="shared" si="0"/>
        <v>334.49263502454943</v>
      </c>
      <c r="O91" s="156"/>
      <c r="P91" s="156"/>
      <c r="Q91" s="156"/>
      <c r="R91" s="156"/>
      <c r="S91" s="156"/>
      <c r="T91" s="156"/>
      <c r="U91" s="156"/>
      <c r="V91" s="159" t="s">
        <v>13</v>
      </c>
      <c r="W91" s="166">
        <f>IF('Tab4'!C34="",'Tab4'!C35,'Tab4'!C36)</f>
        <v>67.824454293064562</v>
      </c>
      <c r="X91" s="166">
        <f>IF('Tab4'!D34="",'Tab4'!D35,'Tab4'!D36)</f>
        <v>28.361575995958376</v>
      </c>
      <c r="Y91" s="166">
        <f>IF('Tab4'!E34="",'Tab4'!E35,'Tab4'!E36)</f>
        <v>65.130290311796159</v>
      </c>
      <c r="Z91" s="156"/>
      <c r="AA91" s="155"/>
      <c r="AB91" s="155"/>
      <c r="AC91" s="155"/>
      <c r="AD91" s="155"/>
    </row>
    <row r="92" spans="1:30" x14ac:dyDescent="0.25">
      <c r="A92" s="159">
        <v>2</v>
      </c>
      <c r="B92" s="159"/>
      <c r="C92" s="159">
        <v>113.7</v>
      </c>
      <c r="D92" s="159">
        <v>90</v>
      </c>
      <c r="E92" s="159"/>
      <c r="F92" s="159"/>
      <c r="G92" s="159"/>
      <c r="H92" s="156"/>
      <c r="I92" s="164">
        <v>76.7</v>
      </c>
      <c r="J92" s="156">
        <v>2</v>
      </c>
      <c r="K92" s="156"/>
      <c r="L92" s="165">
        <v>11081</v>
      </c>
      <c r="M92" s="164">
        <v>95.1</v>
      </c>
      <c r="N92" s="164">
        <f t="shared" si="0"/>
        <v>238.44148029284889</v>
      </c>
      <c r="O92" s="156"/>
      <c r="P92" s="156"/>
      <c r="Q92" s="156"/>
      <c r="R92" s="156"/>
      <c r="S92" s="156"/>
      <c r="T92" s="156"/>
      <c r="U92" s="156"/>
      <c r="V92" s="159" t="s">
        <v>14</v>
      </c>
      <c r="W92" s="166">
        <f>IF('Tab4'!C38="",'Tab4'!C37,'Tab4'!C38)</f>
        <v>415.53689514468016</v>
      </c>
      <c r="X92" s="166">
        <f>IF('Tab4'!D38="",'Tab4'!D37,'Tab4'!D38)</f>
        <v>447.71940113204323</v>
      </c>
      <c r="Y92" s="166">
        <f>IF('Tab4'!E38="",'Tab4'!E37,'Tab4'!E38)</f>
        <v>596.04965710155716</v>
      </c>
      <c r="Z92" s="156"/>
      <c r="AA92" s="155"/>
      <c r="AB92" s="155"/>
      <c r="AC92" s="155"/>
      <c r="AD92" s="155"/>
    </row>
    <row r="93" spans="1:30" x14ac:dyDescent="0.25">
      <c r="A93" s="159">
        <v>3</v>
      </c>
      <c r="B93" s="159"/>
      <c r="C93" s="159">
        <v>116.3</v>
      </c>
      <c r="D93" s="159">
        <v>93.1</v>
      </c>
      <c r="E93" s="159"/>
      <c r="F93" s="159"/>
      <c r="G93" s="159"/>
      <c r="H93" s="156"/>
      <c r="I93" s="164">
        <v>77</v>
      </c>
      <c r="J93" s="156">
        <v>3</v>
      </c>
      <c r="K93" s="156"/>
      <c r="L93" s="165">
        <v>15987</v>
      </c>
      <c r="M93" s="164">
        <v>148.69999999999999</v>
      </c>
      <c r="N93" s="164">
        <f t="shared" si="0"/>
        <v>371.37862137862078</v>
      </c>
      <c r="O93" s="156"/>
      <c r="P93" s="156"/>
      <c r="Q93" s="156"/>
      <c r="R93" s="156"/>
      <c r="S93" s="156"/>
      <c r="T93" s="156"/>
      <c r="U93" s="156"/>
      <c r="V93" s="159" t="s">
        <v>85</v>
      </c>
      <c r="W93" s="167">
        <f>SUM(W83:W92)</f>
        <v>9942.3469346352649</v>
      </c>
      <c r="X93" s="167">
        <f>SUM(X83:X92)</f>
        <v>9348.6523992347302</v>
      </c>
      <c r="Y93" s="167">
        <f>SUM(Y83:Y92)</f>
        <v>10076.06971029912</v>
      </c>
      <c r="Z93" s="156"/>
      <c r="AA93" s="155"/>
      <c r="AB93" s="155"/>
      <c r="AC93" s="155"/>
      <c r="AD93" s="155"/>
    </row>
    <row r="94" spans="1:30" x14ac:dyDescent="0.25">
      <c r="A94" s="159">
        <v>4</v>
      </c>
      <c r="B94" s="159"/>
      <c r="C94" s="159">
        <v>115.2</v>
      </c>
      <c r="D94" s="159">
        <v>93.4</v>
      </c>
      <c r="E94" s="159"/>
      <c r="F94" s="159"/>
      <c r="G94" s="159"/>
      <c r="H94" s="156"/>
      <c r="I94" s="164">
        <v>78.099999999999994</v>
      </c>
      <c r="J94" s="156">
        <v>4</v>
      </c>
      <c r="K94" s="156"/>
      <c r="L94" s="165">
        <v>12493</v>
      </c>
      <c r="M94" s="164">
        <v>199.8</v>
      </c>
      <c r="N94" s="164">
        <f t="shared" si="0"/>
        <v>491.9728159164772</v>
      </c>
      <c r="O94" s="156"/>
      <c r="P94" s="156"/>
      <c r="Q94" s="156"/>
      <c r="R94" s="156"/>
      <c r="S94" s="156"/>
      <c r="T94" s="156"/>
      <c r="U94" s="156"/>
      <c r="V94" s="159"/>
      <c r="W94" s="159"/>
      <c r="X94" s="159"/>
      <c r="Y94" s="159"/>
      <c r="Z94" s="156"/>
      <c r="AA94" s="155"/>
      <c r="AB94" s="155"/>
      <c r="AC94" s="155"/>
      <c r="AD94" s="155"/>
    </row>
    <row r="95" spans="1:30" x14ac:dyDescent="0.25">
      <c r="A95" s="159">
        <v>1</v>
      </c>
      <c r="B95" s="159">
        <v>1989</v>
      </c>
      <c r="C95" s="159">
        <v>106.6</v>
      </c>
      <c r="D95" s="159">
        <v>86.4</v>
      </c>
      <c r="E95" s="159"/>
      <c r="F95" s="159"/>
      <c r="G95" s="159"/>
      <c r="H95" s="156"/>
      <c r="I95" s="164">
        <v>78.900000000000006</v>
      </c>
      <c r="J95" s="156">
        <v>1</v>
      </c>
      <c r="K95" s="156">
        <v>1989</v>
      </c>
      <c r="L95" s="165">
        <v>10988</v>
      </c>
      <c r="M95" s="164">
        <v>142.6</v>
      </c>
      <c r="N95" s="164">
        <f t="shared" si="0"/>
        <v>347.56751486789454</v>
      </c>
      <c r="O95" s="156"/>
      <c r="P95" s="156"/>
      <c r="Q95" s="156"/>
      <c r="R95" s="156"/>
      <c r="S95" s="156"/>
      <c r="T95" s="156"/>
      <c r="U95" s="156"/>
      <c r="V95" s="159" t="s">
        <v>170</v>
      </c>
      <c r="W95" s="168">
        <f>+W93+X72</f>
        <v>16839.580815459987</v>
      </c>
      <c r="X95" s="168">
        <f>+X93+Y72</f>
        <v>16187.080963246472</v>
      </c>
      <c r="Y95" s="168">
        <f>+Y93+Z72</f>
        <v>17391.98448829856</v>
      </c>
      <c r="Z95" s="156"/>
      <c r="AA95" s="155"/>
      <c r="AB95" s="155"/>
      <c r="AC95" s="155"/>
      <c r="AD95" s="155"/>
    </row>
    <row r="96" spans="1:30" x14ac:dyDescent="0.25">
      <c r="A96" s="159">
        <v>2</v>
      </c>
      <c r="B96" s="159"/>
      <c r="C96" s="159">
        <v>98</v>
      </c>
      <c r="D96" s="159">
        <v>79.599999999999994</v>
      </c>
      <c r="E96" s="159"/>
      <c r="F96" s="159"/>
      <c r="G96" s="159"/>
      <c r="H96" s="156"/>
      <c r="I96" s="164">
        <v>80.3</v>
      </c>
      <c r="J96" s="156">
        <v>2</v>
      </c>
      <c r="K96" s="156"/>
      <c r="L96" s="165">
        <v>10292</v>
      </c>
      <c r="M96" s="164">
        <v>117.3</v>
      </c>
      <c r="N96" s="164">
        <f t="shared" si="0"/>
        <v>280.91771242456133</v>
      </c>
      <c r="O96" s="156"/>
      <c r="P96" s="156"/>
      <c r="Q96" s="156"/>
      <c r="R96" s="156"/>
      <c r="S96" s="156"/>
      <c r="T96" s="156"/>
      <c r="U96" s="156"/>
      <c r="V96" s="156"/>
      <c r="W96" s="156"/>
      <c r="X96" s="156"/>
      <c r="Y96" s="156"/>
      <c r="Z96" s="156"/>
      <c r="AA96" s="155"/>
      <c r="AB96" s="155"/>
      <c r="AC96" s="155"/>
      <c r="AD96" s="155"/>
    </row>
    <row r="97" spans="1:30" x14ac:dyDescent="0.25">
      <c r="A97" s="159">
        <v>3</v>
      </c>
      <c r="B97" s="159"/>
      <c r="C97" s="159">
        <v>96.9</v>
      </c>
      <c r="D97" s="159">
        <v>79</v>
      </c>
      <c r="E97" s="159"/>
      <c r="F97" s="159"/>
      <c r="G97" s="159"/>
      <c r="H97" s="156"/>
      <c r="I97" s="164">
        <v>80.599999999999994</v>
      </c>
      <c r="J97" s="156">
        <v>3</v>
      </c>
      <c r="K97" s="156"/>
      <c r="L97" s="165">
        <v>11352</v>
      </c>
      <c r="M97" s="164">
        <v>103.6</v>
      </c>
      <c r="N97" s="164">
        <f t="shared" si="0"/>
        <v>247.18457720939071</v>
      </c>
      <c r="O97" s="156"/>
      <c r="P97" s="156"/>
      <c r="Q97" s="156"/>
      <c r="R97" s="156"/>
      <c r="S97" s="156"/>
      <c r="T97" s="156"/>
      <c r="U97" s="156"/>
      <c r="V97" s="156"/>
      <c r="W97" s="156"/>
      <c r="X97" s="156"/>
      <c r="Y97" s="159"/>
      <c r="Z97" s="156"/>
      <c r="AA97" s="155"/>
      <c r="AB97" s="155"/>
      <c r="AC97" s="155"/>
      <c r="AD97" s="155"/>
    </row>
    <row r="98" spans="1:30" x14ac:dyDescent="0.25">
      <c r="A98" s="159">
        <v>4</v>
      </c>
      <c r="B98" s="159"/>
      <c r="C98" s="159">
        <v>93.4</v>
      </c>
      <c r="D98" s="159">
        <v>76.8</v>
      </c>
      <c r="E98" s="159"/>
      <c r="F98" s="159"/>
      <c r="G98" s="159"/>
      <c r="H98" s="156"/>
      <c r="I98" s="164">
        <v>81.400000000000006</v>
      </c>
      <c r="J98" s="156">
        <v>4</v>
      </c>
      <c r="K98" s="156"/>
      <c r="L98" s="165">
        <v>11958</v>
      </c>
      <c r="M98" s="164">
        <v>132</v>
      </c>
      <c r="N98" s="164">
        <f t="shared" si="0"/>
        <v>311.85031185031136</v>
      </c>
      <c r="O98" s="156"/>
      <c r="P98" s="156"/>
      <c r="Q98" s="156"/>
      <c r="R98" s="156"/>
      <c r="S98" s="156"/>
      <c r="T98" s="156"/>
      <c r="U98" s="156"/>
      <c r="V98" s="158" t="s">
        <v>185</v>
      </c>
      <c r="W98" s="159"/>
      <c r="X98" s="159"/>
      <c r="Y98" s="159"/>
      <c r="Z98" s="156"/>
      <c r="AA98" s="155"/>
      <c r="AB98" s="155"/>
      <c r="AC98" s="155"/>
      <c r="AD98" s="155"/>
    </row>
    <row r="99" spans="1:30" x14ac:dyDescent="0.25">
      <c r="A99" s="159">
        <v>1</v>
      </c>
      <c r="B99" s="159">
        <v>1990</v>
      </c>
      <c r="C99" s="159">
        <v>99.4</v>
      </c>
      <c r="D99" s="159">
        <v>81.3</v>
      </c>
      <c r="E99" s="159"/>
      <c r="F99" s="159"/>
      <c r="G99" s="159"/>
      <c r="H99" s="156"/>
      <c r="I99" s="164">
        <v>82.3</v>
      </c>
      <c r="J99" s="156">
        <v>1</v>
      </c>
      <c r="K99" s="156">
        <v>1990</v>
      </c>
      <c r="L99" s="165">
        <v>13741</v>
      </c>
      <c r="M99" s="164">
        <v>142.9</v>
      </c>
      <c r="N99" s="164">
        <f t="shared" si="0"/>
        <v>333.90971118796102</v>
      </c>
      <c r="O99" s="156"/>
      <c r="P99" s="156"/>
      <c r="Q99" s="156"/>
      <c r="R99" s="156"/>
      <c r="S99" s="156"/>
      <c r="T99" s="156"/>
      <c r="U99" s="156"/>
      <c r="V99" s="159"/>
      <c r="W99" s="156"/>
      <c r="X99" s="159"/>
      <c r="Y99" s="159"/>
      <c r="Z99" s="156"/>
      <c r="AA99" s="155"/>
      <c r="AB99" s="155"/>
      <c r="AC99" s="155"/>
      <c r="AD99" s="155"/>
    </row>
    <row r="100" spans="1:30" x14ac:dyDescent="0.25">
      <c r="A100" s="159">
        <v>2</v>
      </c>
      <c r="B100" s="159"/>
      <c r="C100" s="159">
        <v>88.6</v>
      </c>
      <c r="D100" s="159">
        <v>73.099999999999994</v>
      </c>
      <c r="E100" s="159"/>
      <c r="F100" s="159"/>
      <c r="G100" s="159"/>
      <c r="H100" s="156"/>
      <c r="I100" s="164">
        <v>83.4</v>
      </c>
      <c r="J100" s="156">
        <v>2</v>
      </c>
      <c r="K100" s="156"/>
      <c r="L100" s="165">
        <v>10045</v>
      </c>
      <c r="M100" s="164">
        <v>116.5</v>
      </c>
      <c r="N100" s="164">
        <f t="shared" si="0"/>
        <v>268.63124884707577</v>
      </c>
      <c r="O100" s="156"/>
      <c r="P100" s="156"/>
      <c r="Q100" s="156"/>
      <c r="R100" s="156"/>
      <c r="S100" s="156"/>
      <c r="T100" s="156"/>
      <c r="U100" s="156"/>
      <c r="V100" s="159"/>
      <c r="W100" s="163" t="str">
        <f>+W82</f>
        <v>2024</v>
      </c>
      <c r="X100" s="163" t="str">
        <f>+X82</f>
        <v>2025</v>
      </c>
      <c r="Y100" s="163" t="str">
        <f>+Y82</f>
        <v>2026</v>
      </c>
      <c r="Z100" s="156"/>
      <c r="AA100" s="155"/>
      <c r="AB100" s="155"/>
      <c r="AC100" s="155"/>
      <c r="AD100" s="155"/>
    </row>
    <row r="101" spans="1:30" x14ac:dyDescent="0.25">
      <c r="A101" s="159">
        <v>3</v>
      </c>
      <c r="B101" s="159"/>
      <c r="C101" s="159">
        <v>88.2</v>
      </c>
      <c r="D101" s="159">
        <v>72.5</v>
      </c>
      <c r="E101" s="159"/>
      <c r="F101" s="159"/>
      <c r="G101" s="159"/>
      <c r="H101" s="156"/>
      <c r="I101" s="164">
        <v>83.7</v>
      </c>
      <c r="J101" s="156">
        <v>3</v>
      </c>
      <c r="K101" s="156"/>
      <c r="L101" s="165">
        <v>10870</v>
      </c>
      <c r="M101" s="164">
        <v>101.4</v>
      </c>
      <c r="N101" s="164">
        <f t="shared" si="0"/>
        <v>232.9749103942649</v>
      </c>
      <c r="O101" s="156"/>
      <c r="P101" s="156"/>
      <c r="Q101" s="156"/>
      <c r="R101" s="156"/>
      <c r="S101" s="156"/>
      <c r="T101" s="156"/>
      <c r="U101" s="156"/>
      <c r="V101" s="159" t="s">
        <v>18</v>
      </c>
      <c r="W101" s="169">
        <f>IF('Tab7'!C10="",+'Tab7'!C9+'Tab11'!C9,+'Tab7'!C10+'Tab11'!C10)</f>
        <v>8194.415441304347</v>
      </c>
      <c r="X101" s="169">
        <f>IF('Tab7'!D10="",+'Tab7'!D9+'Tab11'!D9,+'Tab7'!D10+'Tab11'!D10)</f>
        <v>7505</v>
      </c>
      <c r="Y101" s="169">
        <f>IF('Tab7'!E10="",+'Tab7'!E9+'Tab11'!E9,+'Tab7'!E10+'Tab11'!E10)</f>
        <v>6922</v>
      </c>
      <c r="Z101" s="156"/>
      <c r="AA101" s="155"/>
      <c r="AB101" s="155"/>
      <c r="AC101" s="155"/>
      <c r="AD101" s="155"/>
    </row>
    <row r="102" spans="1:30" x14ac:dyDescent="0.25">
      <c r="A102" s="159">
        <v>4</v>
      </c>
      <c r="B102" s="159"/>
      <c r="C102" s="159">
        <v>84.8</v>
      </c>
      <c r="D102" s="159">
        <v>70.2</v>
      </c>
      <c r="E102" s="159"/>
      <c r="F102" s="159"/>
      <c r="G102" s="159"/>
      <c r="H102" s="156"/>
      <c r="I102" s="164">
        <v>85.1</v>
      </c>
      <c r="J102" s="156">
        <v>4</v>
      </c>
      <c r="K102" s="156"/>
      <c r="L102" s="165">
        <v>11076</v>
      </c>
      <c r="M102" s="164">
        <v>120</v>
      </c>
      <c r="N102" s="164">
        <f t="shared" si="0"/>
        <v>271.17418421766206</v>
      </c>
      <c r="O102" s="156"/>
      <c r="P102" s="156"/>
      <c r="Q102" s="156"/>
      <c r="R102" s="156"/>
      <c r="S102" s="156"/>
      <c r="T102" s="156"/>
      <c r="U102" s="156"/>
      <c r="V102" s="159" t="s">
        <v>86</v>
      </c>
      <c r="W102" s="169">
        <f>IF('Tab7'!C12="",+'Tab7'!C11+'Tab11'!C11,+'Tab7'!C12+'Tab11'!C12)</f>
        <v>43293.220189723324</v>
      </c>
      <c r="X102" s="169">
        <f>IF('Tab7'!D12="",+'Tab7'!D11+'Tab11'!D11,+'Tab7'!D12+'Tab11'!D12)</f>
        <v>26747</v>
      </c>
      <c r="Y102" s="169">
        <f>IF('Tab7'!E12="",+'Tab7'!E11+'Tab11'!E11,+'Tab7'!E12+'Tab11'!E12)</f>
        <v>30894</v>
      </c>
      <c r="Z102" s="156"/>
      <c r="AA102" s="155"/>
      <c r="AB102" s="155"/>
      <c r="AC102" s="155"/>
      <c r="AD102" s="155"/>
    </row>
    <row r="103" spans="1:30" x14ac:dyDescent="0.25">
      <c r="A103" s="159">
        <v>1</v>
      </c>
      <c r="B103" s="159">
        <v>1991</v>
      </c>
      <c r="C103" s="159">
        <v>97.5</v>
      </c>
      <c r="D103" s="159">
        <v>82.4</v>
      </c>
      <c r="E103" s="159"/>
      <c r="F103" s="159"/>
      <c r="G103" s="159"/>
      <c r="H103" s="156"/>
      <c r="I103" s="164">
        <v>85.5</v>
      </c>
      <c r="J103" s="156">
        <v>1</v>
      </c>
      <c r="K103" s="156">
        <v>1991</v>
      </c>
      <c r="L103" s="165">
        <v>10172</v>
      </c>
      <c r="M103" s="164">
        <v>130.10000000000002</v>
      </c>
      <c r="N103" s="164">
        <f t="shared" si="0"/>
        <v>292.62258209626589</v>
      </c>
      <c r="O103" s="165">
        <v>6727</v>
      </c>
      <c r="P103" s="164">
        <v>376.9</v>
      </c>
      <c r="Q103" s="164">
        <f>P103/I103*$I$69</f>
        <v>847.72829509671465</v>
      </c>
      <c r="R103" s="165">
        <v>9077</v>
      </c>
      <c r="S103" s="164">
        <v>139.9</v>
      </c>
      <c r="T103" s="164">
        <f>S103/I103*$I$69</f>
        <v>314.66486729644578</v>
      </c>
      <c r="U103" s="156"/>
      <c r="V103" s="159" t="s">
        <v>63</v>
      </c>
      <c r="W103" s="169">
        <f>IF('Tab7'!C14="",+'Tab7'!C13+'Tab11'!C13,+'Tab7'!C14+'Tab11'!C14)</f>
        <v>8331.0396847826087</v>
      </c>
      <c r="X103" s="169">
        <f>IF('Tab7'!D14="",+'Tab7'!D13+'Tab11'!D13,+'Tab7'!D14+'Tab11'!D14)</f>
        <v>7900</v>
      </c>
      <c r="Y103" s="169">
        <f>IF('Tab7'!E14="",+'Tab7'!E13+'Tab11'!E13,+'Tab7'!E14+'Tab11'!E14)</f>
        <v>6776</v>
      </c>
      <c r="Z103" s="156"/>
      <c r="AA103" s="155"/>
      <c r="AB103" s="155"/>
      <c r="AC103" s="155"/>
      <c r="AD103" s="155"/>
    </row>
    <row r="104" spans="1:30" x14ac:dyDescent="0.25">
      <c r="A104" s="159">
        <v>2</v>
      </c>
      <c r="B104" s="159"/>
      <c r="C104" s="159">
        <v>93.9</v>
      </c>
      <c r="D104" s="159">
        <v>78</v>
      </c>
      <c r="E104" s="159"/>
      <c r="F104" s="159"/>
      <c r="G104" s="159"/>
      <c r="H104" s="156"/>
      <c r="I104" s="164">
        <v>86.6</v>
      </c>
      <c r="J104" s="156">
        <v>2</v>
      </c>
      <c r="K104" s="156"/>
      <c r="L104" s="165">
        <v>10188</v>
      </c>
      <c r="M104" s="164">
        <v>126.69999999999993</v>
      </c>
      <c r="N104" s="164">
        <f t="shared" si="0"/>
        <v>281.35548054716588</v>
      </c>
      <c r="O104" s="165">
        <v>5864</v>
      </c>
      <c r="P104" s="164">
        <v>369.29999999999995</v>
      </c>
      <c r="Q104" s="164">
        <f t="shared" ref="Q104:Q167" si="1">P104/I104*$I$69</f>
        <v>820.08349618049249</v>
      </c>
      <c r="R104" s="165">
        <v>12525</v>
      </c>
      <c r="S104" s="164">
        <v>176.29999999999998</v>
      </c>
      <c r="T104" s="164">
        <f t="shared" ref="T104:T167" si="2">S104/I104*$I$69</f>
        <v>391.49937821993188</v>
      </c>
      <c r="U104" s="156"/>
      <c r="V104" s="159" t="s">
        <v>14</v>
      </c>
      <c r="W104" s="170">
        <f>+W106-SUM(W101:W103)</f>
        <v>82218.660648108955</v>
      </c>
      <c r="X104" s="170">
        <f>+X106-SUM(X101:X103)</f>
        <v>77260</v>
      </c>
      <c r="Y104" s="170">
        <f>+Y106-SUM(Y101:Y103)</f>
        <v>68766</v>
      </c>
      <c r="Z104" s="156"/>
      <c r="AA104" s="155"/>
      <c r="AB104" s="155"/>
      <c r="AC104" s="155"/>
      <c r="AD104" s="155"/>
    </row>
    <row r="105" spans="1:30" x14ac:dyDescent="0.25">
      <c r="A105" s="159">
        <v>3</v>
      </c>
      <c r="B105" s="159"/>
      <c r="C105" s="159">
        <v>90.2</v>
      </c>
      <c r="D105" s="159">
        <v>76.099999999999994</v>
      </c>
      <c r="E105" s="159"/>
      <c r="F105" s="159"/>
      <c r="G105" s="159"/>
      <c r="H105" s="156"/>
      <c r="I105" s="164">
        <v>86.6</v>
      </c>
      <c r="J105" s="156">
        <v>3</v>
      </c>
      <c r="K105" s="156"/>
      <c r="L105" s="165">
        <v>10621</v>
      </c>
      <c r="M105" s="164">
        <v>132.60000000000002</v>
      </c>
      <c r="N105" s="164">
        <f t="shared" si="0"/>
        <v>294.45727482678944</v>
      </c>
      <c r="O105" s="165">
        <v>7951</v>
      </c>
      <c r="P105" s="164">
        <v>430.9</v>
      </c>
      <c r="Q105" s="164">
        <f t="shared" si="1"/>
        <v>956.87511103215331</v>
      </c>
      <c r="R105" s="165">
        <v>14126</v>
      </c>
      <c r="S105" s="164">
        <v>204.90000000000003</v>
      </c>
      <c r="T105" s="164">
        <f t="shared" si="2"/>
        <v>455.00977082963163</v>
      </c>
      <c r="U105" s="156"/>
      <c r="V105" s="159"/>
      <c r="W105" s="159"/>
      <c r="X105" s="159"/>
      <c r="Y105" s="159"/>
      <c r="Z105" s="156"/>
      <c r="AA105" s="155"/>
      <c r="AB105" s="155"/>
      <c r="AC105" s="155"/>
      <c r="AD105" s="155"/>
    </row>
    <row r="106" spans="1:30" x14ac:dyDescent="0.25">
      <c r="A106" s="159">
        <v>4</v>
      </c>
      <c r="B106" s="159"/>
      <c r="C106" s="159">
        <v>92.6</v>
      </c>
      <c r="D106" s="159">
        <v>78.099999999999994</v>
      </c>
      <c r="E106" s="159"/>
      <c r="F106" s="159"/>
      <c r="G106" s="159"/>
      <c r="H106" s="156"/>
      <c r="I106" s="164">
        <v>87.3</v>
      </c>
      <c r="J106" s="156">
        <v>4</v>
      </c>
      <c r="K106" s="156"/>
      <c r="L106" s="165">
        <v>11640</v>
      </c>
      <c r="M106" s="164">
        <v>138.20000000000005</v>
      </c>
      <c r="N106" s="164">
        <f t="shared" si="0"/>
        <v>304.43210855581953</v>
      </c>
      <c r="O106" s="165">
        <v>13048</v>
      </c>
      <c r="P106" s="164">
        <v>427.00000000000023</v>
      </c>
      <c r="Q106" s="164">
        <f t="shared" si="1"/>
        <v>940.61150762181603</v>
      </c>
      <c r="R106" s="165">
        <v>13048</v>
      </c>
      <c r="S106" s="164">
        <v>185</v>
      </c>
      <c r="T106" s="164">
        <f t="shared" si="2"/>
        <v>407.52489206097391</v>
      </c>
      <c r="U106" s="156"/>
      <c r="V106" s="159" t="s">
        <v>87</v>
      </c>
      <c r="W106" s="169">
        <f>IF('Tab7'!C8="",+'Tab7'!C7+'Tab11'!C7,+'Tab7'!C8+'Tab11'!C8)</f>
        <v>142037.33596391923</v>
      </c>
      <c r="X106" s="169">
        <f>IF('Tab7'!D8="",+'Tab7'!D7+'Tab11'!D7,+'Tab7'!D8+'Tab11'!D8)</f>
        <v>119412</v>
      </c>
      <c r="Y106" s="169">
        <f>IF('Tab7'!E8="",+'Tab7'!E7+'Tab11'!E7,+'Tab7'!E8+'Tab11'!E8)</f>
        <v>113358</v>
      </c>
      <c r="Z106" s="156"/>
      <c r="AA106" s="155"/>
      <c r="AB106" s="155"/>
      <c r="AC106" s="155"/>
      <c r="AD106" s="155"/>
    </row>
    <row r="107" spans="1:30" x14ac:dyDescent="0.25">
      <c r="A107" s="159">
        <v>1</v>
      </c>
      <c r="B107" s="159">
        <v>1992</v>
      </c>
      <c r="C107" s="159">
        <v>102</v>
      </c>
      <c r="D107" s="159">
        <v>87.1</v>
      </c>
      <c r="E107" s="159"/>
      <c r="F107" s="159"/>
      <c r="G107" s="159"/>
      <c r="H107" s="156"/>
      <c r="I107" s="164">
        <v>87.5</v>
      </c>
      <c r="J107" s="156">
        <v>1</v>
      </c>
      <c r="K107" s="156">
        <v>1992</v>
      </c>
      <c r="L107" s="165">
        <v>10520</v>
      </c>
      <c r="M107" s="164">
        <v>129.4</v>
      </c>
      <c r="N107" s="164">
        <f>M107/I107*$I$69</f>
        <v>284.39560439560398</v>
      </c>
      <c r="O107" s="165">
        <v>6509</v>
      </c>
      <c r="P107" s="164">
        <v>409.5</v>
      </c>
      <c r="Q107" s="164">
        <f t="shared" si="1"/>
        <v>899.99999999999852</v>
      </c>
      <c r="R107" s="165">
        <v>11030</v>
      </c>
      <c r="S107" s="164">
        <v>180.5</v>
      </c>
      <c r="T107" s="164">
        <f t="shared" si="2"/>
        <v>396.70329670329608</v>
      </c>
      <c r="U107" s="156"/>
      <c r="V107" s="156"/>
      <c r="W107" s="156"/>
      <c r="X107" s="156"/>
      <c r="Y107" s="156"/>
      <c r="Z107" s="156"/>
      <c r="AA107" s="155"/>
      <c r="AB107" s="155"/>
      <c r="AC107" s="155"/>
      <c r="AD107" s="155"/>
    </row>
    <row r="108" spans="1:30" x14ac:dyDescent="0.25">
      <c r="A108" s="159">
        <v>2</v>
      </c>
      <c r="B108" s="159"/>
      <c r="C108" s="159">
        <v>92.2</v>
      </c>
      <c r="D108" s="159">
        <v>78.900000000000006</v>
      </c>
      <c r="E108" s="159"/>
      <c r="F108" s="159"/>
      <c r="G108" s="159"/>
      <c r="H108" s="156"/>
      <c r="I108" s="164">
        <v>88.6</v>
      </c>
      <c r="J108" s="156">
        <v>2</v>
      </c>
      <c r="K108" s="156"/>
      <c r="L108" s="165">
        <v>10661</v>
      </c>
      <c r="M108" s="164">
        <v>112.9</v>
      </c>
      <c r="N108" s="164">
        <f t="shared" ref="N108:N171" si="3">M108/I108*$I$69</f>
        <v>245.05122417086267</v>
      </c>
      <c r="O108" s="165">
        <v>5632</v>
      </c>
      <c r="P108" s="164">
        <v>412</v>
      </c>
      <c r="Q108" s="164">
        <f t="shared" si="1"/>
        <v>894.25247438791314</v>
      </c>
      <c r="R108" s="165">
        <v>13252</v>
      </c>
      <c r="S108" s="164">
        <v>167</v>
      </c>
      <c r="T108" s="164">
        <f t="shared" si="2"/>
        <v>362.47612432713959</v>
      </c>
      <c r="U108" s="156"/>
      <c r="V108" s="156"/>
      <c r="W108" s="156"/>
      <c r="X108" s="156"/>
      <c r="Y108" s="156"/>
      <c r="Z108" s="156"/>
      <c r="AA108" s="155"/>
      <c r="AB108" s="155"/>
      <c r="AC108" s="155"/>
      <c r="AD108" s="155"/>
    </row>
    <row r="109" spans="1:30" x14ac:dyDescent="0.25">
      <c r="A109" s="159">
        <v>3</v>
      </c>
      <c r="B109" s="159"/>
      <c r="C109" s="159">
        <v>93.3</v>
      </c>
      <c r="D109" s="159">
        <v>79.900000000000006</v>
      </c>
      <c r="E109" s="159"/>
      <c r="F109" s="159"/>
      <c r="G109" s="159"/>
      <c r="H109" s="156"/>
      <c r="I109" s="164">
        <v>88.7</v>
      </c>
      <c r="J109" s="156">
        <v>3</v>
      </c>
      <c r="K109" s="156"/>
      <c r="L109" s="165">
        <v>11590</v>
      </c>
      <c r="M109" s="164">
        <v>130.59999999999997</v>
      </c>
      <c r="N109" s="164">
        <f t="shared" si="3"/>
        <v>283.14977018471893</v>
      </c>
      <c r="O109" s="165">
        <v>8642</v>
      </c>
      <c r="P109" s="164">
        <v>440.40000000000009</v>
      </c>
      <c r="Q109" s="164">
        <f t="shared" si="1"/>
        <v>954.81744861677089</v>
      </c>
      <c r="R109" s="165">
        <v>15450</v>
      </c>
      <c r="S109" s="164">
        <v>219.10000000000002</v>
      </c>
      <c r="T109" s="164">
        <f t="shared" si="2"/>
        <v>475.02384875552781</v>
      </c>
      <c r="U109" s="156"/>
      <c r="V109" s="158" t="s">
        <v>186</v>
      </c>
      <c r="W109" s="159"/>
      <c r="X109" s="159"/>
      <c r="Y109" s="159"/>
      <c r="Z109" s="156"/>
      <c r="AA109" s="155"/>
      <c r="AB109" s="155"/>
      <c r="AC109" s="155"/>
      <c r="AD109" s="155"/>
    </row>
    <row r="110" spans="1:30" x14ac:dyDescent="0.25">
      <c r="A110" s="159">
        <v>4</v>
      </c>
      <c r="B110" s="159"/>
      <c r="C110" s="159">
        <v>90.8</v>
      </c>
      <c r="D110" s="159">
        <v>77.599999999999994</v>
      </c>
      <c r="E110" s="159"/>
      <c r="F110" s="159"/>
      <c r="G110" s="159"/>
      <c r="H110" s="156"/>
      <c r="I110" s="164">
        <v>89.3</v>
      </c>
      <c r="J110" s="156">
        <v>4</v>
      </c>
      <c r="K110" s="156"/>
      <c r="L110" s="165">
        <v>11917</v>
      </c>
      <c r="M110" s="164">
        <v>108.50000000000006</v>
      </c>
      <c r="N110" s="164">
        <f t="shared" si="3"/>
        <v>233.65492290464272</v>
      </c>
      <c r="O110" s="165">
        <v>7139</v>
      </c>
      <c r="P110" s="164">
        <v>425.59999999999991</v>
      </c>
      <c r="Q110" s="164">
        <f t="shared" si="1"/>
        <v>916.53027823240427</v>
      </c>
      <c r="R110" s="165">
        <v>12309</v>
      </c>
      <c r="S110" s="164">
        <v>109.39999999999998</v>
      </c>
      <c r="T110" s="164">
        <f t="shared" si="2"/>
        <v>235.5930743388746</v>
      </c>
      <c r="U110" s="156"/>
      <c r="V110" s="159"/>
      <c r="W110" s="159"/>
      <c r="X110" s="159"/>
      <c r="Y110" s="159"/>
      <c r="Z110" s="156"/>
      <c r="AA110" s="155"/>
      <c r="AB110" s="155"/>
      <c r="AC110" s="155"/>
      <c r="AD110" s="155"/>
    </row>
    <row r="111" spans="1:30" x14ac:dyDescent="0.25">
      <c r="A111" s="159">
        <v>1</v>
      </c>
      <c r="B111" s="159">
        <v>1993</v>
      </c>
      <c r="C111" s="159">
        <v>112.6</v>
      </c>
      <c r="D111" s="159">
        <v>96.5</v>
      </c>
      <c r="E111" s="159"/>
      <c r="F111" s="159"/>
      <c r="G111" s="159"/>
      <c r="H111" s="156"/>
      <c r="I111" s="164">
        <v>89.8</v>
      </c>
      <c r="J111" s="156">
        <v>1</v>
      </c>
      <c r="K111" s="156">
        <v>1993</v>
      </c>
      <c r="L111" s="165">
        <v>11275</v>
      </c>
      <c r="M111" s="164">
        <v>136.89999999999998</v>
      </c>
      <c r="N111" s="164">
        <f t="shared" si="3"/>
        <v>293.17286277197138</v>
      </c>
      <c r="O111" s="165">
        <v>6982</v>
      </c>
      <c r="P111" s="164">
        <v>449.4</v>
      </c>
      <c r="Q111" s="164">
        <f t="shared" si="1"/>
        <v>962.39506595853879</v>
      </c>
      <c r="R111" s="165">
        <v>10571</v>
      </c>
      <c r="S111" s="164">
        <v>175.5</v>
      </c>
      <c r="T111" s="164">
        <f t="shared" si="2"/>
        <v>375.83518930957626</v>
      </c>
      <c r="U111" s="156"/>
      <c r="V111" s="159"/>
      <c r="W111" s="163" t="str">
        <f>+W100</f>
        <v>2024</v>
      </c>
      <c r="X111" s="163" t="str">
        <f>+X100</f>
        <v>2025</v>
      </c>
      <c r="Y111" s="163" t="str">
        <f>+Y100</f>
        <v>2026</v>
      </c>
      <c r="Z111" s="156"/>
      <c r="AA111" s="155"/>
      <c r="AB111" s="155"/>
      <c r="AC111" s="155"/>
      <c r="AD111" s="155"/>
    </row>
    <row r="112" spans="1:30" x14ac:dyDescent="0.25">
      <c r="A112" s="159">
        <v>2</v>
      </c>
      <c r="B112" s="159"/>
      <c r="C112" s="159">
        <f>205.6-C111</f>
        <v>93</v>
      </c>
      <c r="D112" s="159">
        <f>176.6-D111</f>
        <v>80.099999999999994</v>
      </c>
      <c r="E112" s="159"/>
      <c r="F112" s="159"/>
      <c r="G112" s="159"/>
      <c r="H112" s="156"/>
      <c r="I112" s="164">
        <v>90.8</v>
      </c>
      <c r="J112" s="156">
        <v>2</v>
      </c>
      <c r="K112" s="156"/>
      <c r="L112" s="165">
        <v>10076</v>
      </c>
      <c r="M112" s="164">
        <v>115.20000000000002</v>
      </c>
      <c r="N112" s="164">
        <f t="shared" si="3"/>
        <v>243.98508980006744</v>
      </c>
      <c r="O112" s="165">
        <v>6332</v>
      </c>
      <c r="P112" s="164">
        <v>352.9</v>
      </c>
      <c r="Q112" s="164">
        <f t="shared" si="1"/>
        <v>747.41613012538005</v>
      </c>
      <c r="R112" s="165">
        <v>12919</v>
      </c>
      <c r="S112" s="164">
        <v>191.20000000000005</v>
      </c>
      <c r="T112" s="164">
        <f t="shared" si="2"/>
        <v>404.94747543205636</v>
      </c>
      <c r="U112" s="156"/>
      <c r="V112" s="159" t="s">
        <v>171</v>
      </c>
      <c r="W112" s="168">
        <f>IF('Tab7'!C38="",+'Tab7'!C37+'Tab11'!C37,+'Tab7'!C38+'Tab11'!C38)</f>
        <v>1770.5452152039006</v>
      </c>
      <c r="X112" s="168">
        <f>IF('Tab7'!D38="",+'Tab7'!D37+'Tab11'!D37,+'Tab7'!D38+'Tab11'!D38)</f>
        <v>2140.8457832602599</v>
      </c>
      <c r="Y112" s="168">
        <f>IF('Tab7'!E38="",+'Tab7'!E37+'Tab11'!E37,+'Tab7'!E38+'Tab11'!E38)</f>
        <v>2143.7000858441106</v>
      </c>
      <c r="Z112" s="156"/>
      <c r="AA112" s="155"/>
      <c r="AB112" s="155"/>
      <c r="AC112" s="155"/>
      <c r="AD112" s="155"/>
    </row>
    <row r="113" spans="1:30" x14ac:dyDescent="0.25">
      <c r="A113" s="159">
        <v>3</v>
      </c>
      <c r="B113" s="159"/>
      <c r="C113" s="159">
        <f>293.1-C112-C111</f>
        <v>87.500000000000028</v>
      </c>
      <c r="D113" s="159">
        <f>250.2-D112-D111</f>
        <v>73.599999999999994</v>
      </c>
      <c r="E113" s="159"/>
      <c r="F113" s="159"/>
      <c r="G113" s="159"/>
      <c r="H113" s="156"/>
      <c r="I113" s="164">
        <v>90.6</v>
      </c>
      <c r="J113" s="156">
        <v>3</v>
      </c>
      <c r="K113" s="156"/>
      <c r="L113" s="165">
        <v>11766</v>
      </c>
      <c r="M113" s="164">
        <v>132.79999999999998</v>
      </c>
      <c r="N113" s="164">
        <f t="shared" si="3"/>
        <v>281.8814739344536</v>
      </c>
      <c r="O113" s="165">
        <v>6675</v>
      </c>
      <c r="P113" s="164">
        <v>388.50000000000023</v>
      </c>
      <c r="Q113" s="164">
        <f t="shared" si="1"/>
        <v>824.63066734589836</v>
      </c>
      <c r="R113" s="165">
        <v>14800</v>
      </c>
      <c r="S113" s="164">
        <v>216.89999999999998</v>
      </c>
      <c r="T113" s="164">
        <f t="shared" si="2"/>
        <v>460.39225674987193</v>
      </c>
      <c r="U113" s="156"/>
      <c r="V113" s="159" t="s">
        <v>86</v>
      </c>
      <c r="W113" s="168">
        <f>IF('Tab7'!C40="",+'Tab7'!C39+'Tab11'!C39,+'Tab7'!C40+'Tab11'!C40)</f>
        <v>2872.2760083969697</v>
      </c>
      <c r="X113" s="168">
        <f>IF('Tab7'!D40="",+'Tab7'!D39+'Tab11'!D39,+'Tab7'!D40+'Tab11'!D40)</f>
        <v>1877.8559882720303</v>
      </c>
      <c r="Y113" s="168">
        <f>IF('Tab7'!E40="",+'Tab7'!E39+'Tab11'!E39,+'Tab7'!E40+'Tab11'!E40)</f>
        <v>2231.2531125500873</v>
      </c>
      <c r="Z113" s="156"/>
      <c r="AA113" s="155"/>
      <c r="AB113" s="155"/>
      <c r="AC113" s="155"/>
      <c r="AD113" s="155"/>
    </row>
    <row r="114" spans="1:30" x14ac:dyDescent="0.25">
      <c r="A114" s="159">
        <v>4</v>
      </c>
      <c r="B114" s="159"/>
      <c r="C114" s="159">
        <f>413.2-C113-C112-C111</f>
        <v>120.09999999999994</v>
      </c>
      <c r="D114" s="159">
        <f>356.8-D113-D112-D111</f>
        <v>106.60000000000005</v>
      </c>
      <c r="E114" s="159"/>
      <c r="F114" s="159"/>
      <c r="G114" s="159"/>
      <c r="H114" s="156"/>
      <c r="I114" s="164">
        <v>91</v>
      </c>
      <c r="J114" s="156">
        <v>4</v>
      </c>
      <c r="K114" s="156"/>
      <c r="L114" s="165">
        <v>12707</v>
      </c>
      <c r="M114" s="164">
        <v>157.79999999999995</v>
      </c>
      <c r="N114" s="164">
        <f t="shared" si="3"/>
        <v>333.47421808960206</v>
      </c>
      <c r="O114" s="165">
        <v>6319</v>
      </c>
      <c r="P114" s="164">
        <v>466.99999999999977</v>
      </c>
      <c r="Q114" s="164">
        <f t="shared" si="1"/>
        <v>986.89771766694651</v>
      </c>
      <c r="R114" s="165">
        <v>11391</v>
      </c>
      <c r="S114" s="164">
        <v>164.5</v>
      </c>
      <c r="T114" s="164">
        <f t="shared" si="2"/>
        <v>347.633136094674</v>
      </c>
      <c r="U114" s="156"/>
      <c r="V114" s="159" t="s">
        <v>63</v>
      </c>
      <c r="W114" s="168">
        <f>IF('Tab7'!C42="",+'Tab7'!C41+'Tab11'!C41,+'Tab7'!C42+'Tab11'!C42)</f>
        <v>172.94986992488302</v>
      </c>
      <c r="X114" s="168">
        <f>IF('Tab7'!D42="",+'Tab7'!D41+'Tab11'!D41,+'Tab7'!D42+'Tab11'!D42)</f>
        <v>185.42141029286324</v>
      </c>
      <c r="Y114" s="168">
        <f>IF('Tab7'!E42="",+'Tab7'!E41+'Tab11'!E41,+'Tab7'!E42+'Tab11'!E42)</f>
        <v>217.05354332936017</v>
      </c>
      <c r="Z114" s="156"/>
      <c r="AA114" s="155"/>
      <c r="AB114" s="155"/>
      <c r="AC114" s="155"/>
      <c r="AD114" s="155"/>
    </row>
    <row r="115" spans="1:30" x14ac:dyDescent="0.25">
      <c r="A115" s="159">
        <v>1</v>
      </c>
      <c r="B115" s="159">
        <v>1994</v>
      </c>
      <c r="C115" s="159">
        <v>138.4</v>
      </c>
      <c r="D115" s="159">
        <v>120</v>
      </c>
      <c r="E115" s="159"/>
      <c r="F115" s="159"/>
      <c r="G115" s="159"/>
      <c r="H115" s="156"/>
      <c r="I115" s="164">
        <v>91</v>
      </c>
      <c r="J115" s="156">
        <v>1</v>
      </c>
      <c r="K115" s="156">
        <v>1994</v>
      </c>
      <c r="L115" s="165">
        <v>15224</v>
      </c>
      <c r="M115" s="164">
        <v>189</v>
      </c>
      <c r="N115" s="164">
        <f t="shared" si="3"/>
        <v>399.40828402366805</v>
      </c>
      <c r="O115" s="165">
        <v>6291</v>
      </c>
      <c r="P115" s="164">
        <v>427.6</v>
      </c>
      <c r="Q115" s="164">
        <f t="shared" si="1"/>
        <v>903.63482671174836</v>
      </c>
      <c r="R115" s="165">
        <v>8795</v>
      </c>
      <c r="S115" s="164">
        <v>161.69999999999999</v>
      </c>
      <c r="T115" s="164">
        <f t="shared" si="2"/>
        <v>341.71597633136042</v>
      </c>
      <c r="U115" s="156"/>
      <c r="V115" s="159" t="s">
        <v>14</v>
      </c>
      <c r="W115" s="171">
        <f>+W117-SUM(W112:W114)</f>
        <v>1800.4934145930793</v>
      </c>
      <c r="X115" s="171">
        <f>+X117-SUM(X112:X114)</f>
        <v>1337.4336680203623</v>
      </c>
      <c r="Y115" s="171">
        <f>+Y117-SUM(Y112:Y114)</f>
        <v>1361.3943342289122</v>
      </c>
      <c r="Z115" s="156"/>
      <c r="AA115" s="155"/>
      <c r="AB115" s="155"/>
      <c r="AC115" s="155"/>
      <c r="AD115" s="155"/>
    </row>
    <row r="116" spans="1:30" x14ac:dyDescent="0.25">
      <c r="A116" s="159">
        <v>2</v>
      </c>
      <c r="B116" s="159"/>
      <c r="C116" s="159">
        <f>252.9-C115</f>
        <v>114.5</v>
      </c>
      <c r="D116" s="159">
        <f>218.1-D115</f>
        <v>98.1</v>
      </c>
      <c r="E116" s="159"/>
      <c r="F116" s="159"/>
      <c r="G116" s="159"/>
      <c r="H116" s="156"/>
      <c r="I116" s="164">
        <v>91.7</v>
      </c>
      <c r="J116" s="156">
        <v>2</v>
      </c>
      <c r="K116" s="156"/>
      <c r="L116" s="165">
        <v>13585</v>
      </c>
      <c r="M116" s="164">
        <v>166.5</v>
      </c>
      <c r="N116" s="164">
        <f t="shared" si="3"/>
        <v>349.17372703632191</v>
      </c>
      <c r="O116" s="165">
        <v>5517</v>
      </c>
      <c r="P116" s="164">
        <v>494.30000000000007</v>
      </c>
      <c r="Q116" s="164">
        <f t="shared" si="1"/>
        <v>1036.6160557000237</v>
      </c>
      <c r="R116" s="165">
        <v>13449</v>
      </c>
      <c r="S116" s="164">
        <v>196.2</v>
      </c>
      <c r="T116" s="164">
        <f t="shared" si="2"/>
        <v>411.45877023739553</v>
      </c>
      <c r="U116" s="156"/>
      <c r="V116" s="159"/>
      <c r="W116" s="168"/>
      <c r="X116" s="168"/>
      <c r="Y116" s="168"/>
      <c r="Z116" s="156"/>
      <c r="AA116" s="155"/>
      <c r="AB116" s="155"/>
      <c r="AC116" s="155"/>
      <c r="AD116" s="155"/>
    </row>
    <row r="117" spans="1:30" x14ac:dyDescent="0.25">
      <c r="A117" s="159">
        <v>3</v>
      </c>
      <c r="B117" s="159"/>
      <c r="C117" s="159">
        <f>365.7-C115-C116</f>
        <v>112.79999999999998</v>
      </c>
      <c r="D117" s="159">
        <f>316.9-D115-D116</f>
        <v>98.799999999999983</v>
      </c>
      <c r="E117" s="159"/>
      <c r="F117" s="159"/>
      <c r="G117" s="159"/>
      <c r="H117" s="156"/>
      <c r="I117" s="164">
        <v>92.1</v>
      </c>
      <c r="J117" s="156">
        <v>3</v>
      </c>
      <c r="K117" s="156"/>
      <c r="L117" s="165">
        <v>13956</v>
      </c>
      <c r="M117" s="164">
        <v>169.89999999999998</v>
      </c>
      <c r="N117" s="164">
        <f t="shared" si="3"/>
        <v>354.75653553829392</v>
      </c>
      <c r="O117" s="165">
        <v>8952</v>
      </c>
      <c r="P117" s="164">
        <v>425.5</v>
      </c>
      <c r="Q117" s="164">
        <f t="shared" si="1"/>
        <v>888.45736239872929</v>
      </c>
      <c r="R117" s="165">
        <v>15669</v>
      </c>
      <c r="S117" s="164">
        <v>219.80000000000007</v>
      </c>
      <c r="T117" s="164">
        <f t="shared" si="2"/>
        <v>458.94930259751055</v>
      </c>
      <c r="U117" s="156"/>
      <c r="V117" s="159" t="s">
        <v>87</v>
      </c>
      <c r="W117" s="168">
        <f>IF('Tab7'!C36="",+'Tab7'!C35+'Tab11'!C35,+'Tab7'!C36+'Tab11'!C36)</f>
        <v>6616.264508118833</v>
      </c>
      <c r="X117" s="168">
        <f>IF('Tab7'!D36="",+'Tab7'!D35+'Tab11'!D35,+'Tab7'!D36+'Tab11'!D36)</f>
        <v>5541.5568498455159</v>
      </c>
      <c r="Y117" s="168">
        <f>IF('Tab7'!E36="",+'Tab7'!E35+'Tab11'!E35,+'Tab7'!E36+'Tab11'!E36)</f>
        <v>5953.4010759524699</v>
      </c>
      <c r="Z117" s="156"/>
      <c r="AA117" s="155"/>
      <c r="AB117" s="155"/>
      <c r="AC117" s="155"/>
      <c r="AD117" s="155"/>
    </row>
    <row r="118" spans="1:30" x14ac:dyDescent="0.25">
      <c r="A118" s="159">
        <v>4</v>
      </c>
      <c r="B118" s="159"/>
      <c r="C118" s="159">
        <f>480.2-C115-C116-C117</f>
        <v>114.49999999999997</v>
      </c>
      <c r="D118" s="159">
        <f>417.1-D115-D116-D117</f>
        <v>100.20000000000005</v>
      </c>
      <c r="E118" s="159"/>
      <c r="F118" s="159"/>
      <c r="G118" s="159"/>
      <c r="H118" s="156"/>
      <c r="I118" s="164">
        <v>92.6</v>
      </c>
      <c r="J118" s="156">
        <v>4</v>
      </c>
      <c r="K118" s="156"/>
      <c r="L118" s="165">
        <v>14006</v>
      </c>
      <c r="M118" s="164">
        <v>140.80000000000007</v>
      </c>
      <c r="N118" s="164">
        <f t="shared" si="3"/>
        <v>292.40737664063766</v>
      </c>
      <c r="O118" s="165">
        <v>8189</v>
      </c>
      <c r="P118" s="164">
        <v>390.59999999999991</v>
      </c>
      <c r="Q118" s="164">
        <f t="shared" si="1"/>
        <v>811.1812593454049</v>
      </c>
      <c r="R118" s="165">
        <v>14139</v>
      </c>
      <c r="S118" s="164">
        <v>214.39999999999998</v>
      </c>
      <c r="T118" s="164">
        <f t="shared" si="2"/>
        <v>445.2566871573344</v>
      </c>
      <c r="U118" s="156"/>
      <c r="V118" s="159"/>
      <c r="W118" s="156"/>
      <c r="X118" s="159"/>
      <c r="Y118" s="156"/>
      <c r="Z118" s="156"/>
      <c r="AA118" s="155"/>
      <c r="AB118" s="155"/>
      <c r="AC118" s="155"/>
      <c r="AD118" s="155"/>
    </row>
    <row r="119" spans="1:30" x14ac:dyDescent="0.25">
      <c r="A119" s="159">
        <v>1</v>
      </c>
      <c r="B119" s="159">
        <v>1995</v>
      </c>
      <c r="C119" s="159">
        <v>137.19999999999999</v>
      </c>
      <c r="D119" s="159">
        <v>119.3</v>
      </c>
      <c r="E119" s="159"/>
      <c r="F119" s="159"/>
      <c r="G119" s="159"/>
      <c r="H119" s="156"/>
      <c r="I119" s="164">
        <v>93.4</v>
      </c>
      <c r="J119" s="156">
        <v>1</v>
      </c>
      <c r="K119" s="156">
        <v>1995</v>
      </c>
      <c r="L119" s="165">
        <v>13188</v>
      </c>
      <c r="M119" s="164">
        <v>171.1</v>
      </c>
      <c r="N119" s="164">
        <f t="shared" si="3"/>
        <v>352.28957338164992</v>
      </c>
      <c r="O119" s="165">
        <v>7699</v>
      </c>
      <c r="P119" s="164">
        <v>543</v>
      </c>
      <c r="Q119" s="164">
        <f t="shared" si="1"/>
        <v>1118.0200955361538</v>
      </c>
      <c r="R119" s="165">
        <v>11007</v>
      </c>
      <c r="S119" s="164">
        <v>183.1</v>
      </c>
      <c r="T119" s="164">
        <f t="shared" si="2"/>
        <v>376.9971998023384</v>
      </c>
      <c r="U119" s="156"/>
      <c r="V119" s="158" t="s">
        <v>180</v>
      </c>
      <c r="W119" s="156"/>
      <c r="X119" s="156"/>
      <c r="Y119" s="156"/>
      <c r="Z119" s="156"/>
      <c r="AA119" s="155"/>
      <c r="AB119" s="155"/>
      <c r="AC119" s="155"/>
      <c r="AD119" s="155"/>
    </row>
    <row r="120" spans="1:30" x14ac:dyDescent="0.25">
      <c r="A120" s="159">
        <v>2</v>
      </c>
      <c r="B120" s="159"/>
      <c r="C120" s="159">
        <f>248.2-C119</f>
        <v>111</v>
      </c>
      <c r="D120" s="159">
        <f>214.7-D119</f>
        <v>95.399999999999991</v>
      </c>
      <c r="E120" s="159"/>
      <c r="F120" s="159"/>
      <c r="G120" s="159"/>
      <c r="H120" s="156"/>
      <c r="I120" s="164">
        <v>94.1</v>
      </c>
      <c r="J120" s="156">
        <v>2</v>
      </c>
      <c r="K120" s="156"/>
      <c r="L120" s="165">
        <v>11077</v>
      </c>
      <c r="M120" s="164">
        <v>148.30000000000004</v>
      </c>
      <c r="N120" s="164">
        <f t="shared" si="3"/>
        <v>303.07365323305777</v>
      </c>
      <c r="O120" s="165">
        <v>5465</v>
      </c>
      <c r="P120" s="164">
        <v>462.40000000000009</v>
      </c>
      <c r="Q120" s="164">
        <f t="shared" si="1"/>
        <v>944.9848769721234</v>
      </c>
      <c r="R120" s="165">
        <v>13915</v>
      </c>
      <c r="S120" s="164">
        <v>213.4</v>
      </c>
      <c r="T120" s="164">
        <f t="shared" si="2"/>
        <v>436.11542548843227</v>
      </c>
      <c r="U120" s="156"/>
      <c r="V120" s="156"/>
      <c r="W120" s="156"/>
      <c r="X120" s="156"/>
      <c r="Y120" s="156"/>
      <c r="Z120" s="156"/>
      <c r="AA120" s="155"/>
      <c r="AB120" s="155"/>
      <c r="AC120" s="155"/>
      <c r="AD120" s="155"/>
    </row>
    <row r="121" spans="1:30" x14ac:dyDescent="0.25">
      <c r="A121" s="159">
        <v>3</v>
      </c>
      <c r="B121" s="159"/>
      <c r="C121" s="159">
        <f>364.1-C119-C120</f>
        <v>115.90000000000003</v>
      </c>
      <c r="D121" s="159">
        <f>315.7-D119-D120</f>
        <v>100.99999999999999</v>
      </c>
      <c r="E121" s="159"/>
      <c r="F121" s="159"/>
      <c r="G121" s="159"/>
      <c r="H121" s="156"/>
      <c r="I121" s="164">
        <v>94.1</v>
      </c>
      <c r="J121" s="156">
        <v>3</v>
      </c>
      <c r="K121" s="156"/>
      <c r="L121" s="165">
        <v>13937</v>
      </c>
      <c r="M121" s="164">
        <v>180.19999999999993</v>
      </c>
      <c r="N121" s="164">
        <f t="shared" si="3"/>
        <v>368.26616529060669</v>
      </c>
      <c r="O121" s="165">
        <v>9139</v>
      </c>
      <c r="P121" s="164">
        <v>487.89999999999986</v>
      </c>
      <c r="Q121" s="164">
        <f t="shared" si="1"/>
        <v>997.0980135698502</v>
      </c>
      <c r="R121" s="165">
        <v>17436</v>
      </c>
      <c r="S121" s="164">
        <v>224.09999999999991</v>
      </c>
      <c r="T121" s="164">
        <f t="shared" si="2"/>
        <v>457.9825063353216</v>
      </c>
      <c r="U121" s="156"/>
      <c r="V121" s="159"/>
      <c r="W121" s="163" t="str">
        <f>+'Tab3'!C6</f>
        <v>2024</v>
      </c>
      <c r="X121" s="163" t="str">
        <f>+'Tab3'!D6</f>
        <v>2025</v>
      </c>
      <c r="Y121" s="163" t="str">
        <f>+'Tab3'!E6</f>
        <v>2026</v>
      </c>
      <c r="Z121" s="156"/>
      <c r="AA121" s="155"/>
      <c r="AB121" s="155"/>
      <c r="AC121" s="155"/>
      <c r="AD121" s="155"/>
    </row>
    <row r="122" spans="1:30" x14ac:dyDescent="0.25">
      <c r="A122" s="159">
        <v>4</v>
      </c>
      <c r="B122" s="159"/>
      <c r="C122" s="159">
        <f>482.9-C119-C120-C121</f>
        <v>118.79999999999995</v>
      </c>
      <c r="D122" s="159">
        <f>420.1-D119-D120-D121</f>
        <v>104.40000000000005</v>
      </c>
      <c r="E122" s="159"/>
      <c r="F122" s="159"/>
      <c r="G122" s="159"/>
      <c r="H122" s="156"/>
      <c r="I122" s="164">
        <v>94.6</v>
      </c>
      <c r="J122" s="156">
        <v>4</v>
      </c>
      <c r="K122" s="156"/>
      <c r="L122" s="165">
        <v>13920</v>
      </c>
      <c r="M122" s="164">
        <v>172.00000000000006</v>
      </c>
      <c r="N122" s="164">
        <f t="shared" si="3"/>
        <v>349.6503496503492</v>
      </c>
      <c r="O122" s="165">
        <v>7500</v>
      </c>
      <c r="P122" s="164">
        <v>369.89999999999986</v>
      </c>
      <c r="Q122" s="164">
        <f t="shared" si="1"/>
        <v>751.95153683525643</v>
      </c>
      <c r="R122" s="165">
        <v>15130</v>
      </c>
      <c r="S122" s="164">
        <v>206.30000000000018</v>
      </c>
      <c r="T122" s="164">
        <f t="shared" si="2"/>
        <v>419.37713449341328</v>
      </c>
      <c r="U122" s="156"/>
      <c r="V122" s="159" t="s">
        <v>10</v>
      </c>
      <c r="W122" s="163">
        <f>IF('Tab3'!C22="",'Tab3'!C29,'Tab3'!C30)</f>
        <v>92765.108974358969</v>
      </c>
      <c r="X122" s="163">
        <f>IF('Tab3'!D22="",'Tab3'!D29,'Tab3'!D30)</f>
        <v>100721</v>
      </c>
      <c r="Y122" s="163">
        <f>IF('Tab3'!E22="",'Tab3'!E29,'Tab3'!E30)</f>
        <v>104963</v>
      </c>
      <c r="Z122" s="156"/>
      <c r="AA122" s="155"/>
      <c r="AB122" s="155"/>
      <c r="AC122" s="155"/>
      <c r="AD122" s="155"/>
    </row>
    <row r="123" spans="1:30" x14ac:dyDescent="0.25">
      <c r="A123" s="159">
        <v>1</v>
      </c>
      <c r="B123" s="159">
        <v>1996</v>
      </c>
      <c r="C123" s="159">
        <v>143.9</v>
      </c>
      <c r="D123" s="159">
        <v>126.9</v>
      </c>
      <c r="E123" s="159"/>
      <c r="F123" s="159"/>
      <c r="G123" s="159"/>
      <c r="H123" s="156"/>
      <c r="I123" s="164">
        <v>94.2</v>
      </c>
      <c r="J123" s="156">
        <v>1</v>
      </c>
      <c r="K123" s="156">
        <v>1996</v>
      </c>
      <c r="L123" s="165">
        <v>29850</v>
      </c>
      <c r="M123" s="164">
        <v>375.59999999999997</v>
      </c>
      <c r="N123" s="164">
        <f t="shared" si="3"/>
        <v>766.7809897109247</v>
      </c>
      <c r="O123" s="165">
        <v>7239</v>
      </c>
      <c r="P123" s="164">
        <v>479.9</v>
      </c>
      <c r="Q123" s="164">
        <f t="shared" si="1"/>
        <v>979.70765964396378</v>
      </c>
      <c r="R123" s="165">
        <v>11785</v>
      </c>
      <c r="S123" s="164">
        <v>198.60000000000002</v>
      </c>
      <c r="T123" s="164">
        <f t="shared" si="2"/>
        <v>405.43851053405132</v>
      </c>
      <c r="U123" s="156"/>
      <c r="V123" s="156" t="s">
        <v>112</v>
      </c>
      <c r="W123" s="163">
        <f>IF('Tab9'!C8="",'Tab9'!C7,'Tab9'!C8)</f>
        <v>48264.131969514638</v>
      </c>
      <c r="X123" s="163">
        <f>IF('Tab9'!D8="",'Tab9'!D7,'Tab9'!D8)</f>
        <v>36564</v>
      </c>
      <c r="Y123" s="163">
        <f>IF('Tab9'!E8="",'Tab9'!E7,'Tab9'!E8)</f>
        <v>38154</v>
      </c>
      <c r="Z123" s="156"/>
      <c r="AA123" s="155"/>
      <c r="AB123" s="155"/>
      <c r="AC123" s="155"/>
      <c r="AD123" s="155"/>
    </row>
    <row r="124" spans="1:30" x14ac:dyDescent="0.25">
      <c r="A124" s="159">
        <v>2</v>
      </c>
      <c r="B124" s="159"/>
      <c r="C124" s="159">
        <f>275.5-C123</f>
        <v>131.6</v>
      </c>
      <c r="D124" s="159">
        <f>242.6-D123</f>
        <v>115.69999999999999</v>
      </c>
      <c r="E124" s="159"/>
      <c r="F124" s="159"/>
      <c r="G124" s="159"/>
      <c r="H124" s="156"/>
      <c r="I124" s="164">
        <v>95.1</v>
      </c>
      <c r="J124" s="156">
        <v>2</v>
      </c>
      <c r="K124" s="156"/>
      <c r="L124" s="165">
        <v>17799</v>
      </c>
      <c r="M124" s="164">
        <v>234.8</v>
      </c>
      <c r="N124" s="164">
        <f t="shared" si="3"/>
        <v>474.80385019817129</v>
      </c>
      <c r="O124" s="165">
        <v>6503</v>
      </c>
      <c r="P124" s="164">
        <v>585.30000000000007</v>
      </c>
      <c r="Q124" s="164">
        <f t="shared" si="1"/>
        <v>1183.571948556174</v>
      </c>
      <c r="R124" s="165">
        <v>14642</v>
      </c>
      <c r="S124" s="164">
        <v>220.09999999999997</v>
      </c>
      <c r="T124" s="164">
        <f t="shared" si="2"/>
        <v>445.0780554881494</v>
      </c>
      <c r="U124" s="156"/>
      <c r="V124" s="156" t="s">
        <v>111</v>
      </c>
      <c r="W124" s="163">
        <f>IF('Tab8'!C8="",'Tab8'!C7,'Tab8'!C8)</f>
        <v>63559.629222693104</v>
      </c>
      <c r="X124" s="163">
        <f>IF('Tab8'!D8="",'Tab8'!D7,'Tab8'!D8)</f>
        <v>59522</v>
      </c>
      <c r="Y124" s="163">
        <f>IF('Tab8'!E8="",'Tab8'!E7,'Tab8'!E8)</f>
        <v>51475</v>
      </c>
      <c r="Z124" s="156"/>
      <c r="AA124" s="155"/>
      <c r="AB124" s="155"/>
      <c r="AC124" s="155"/>
      <c r="AD124" s="155"/>
    </row>
    <row r="125" spans="1:30" x14ac:dyDescent="0.25">
      <c r="A125" s="159">
        <v>3</v>
      </c>
      <c r="B125" s="159"/>
      <c r="C125" s="159">
        <f>387.5-C123-C124</f>
        <v>112</v>
      </c>
      <c r="D125" s="159">
        <f>339.3-D123-D124</f>
        <v>96.700000000000017</v>
      </c>
      <c r="E125" s="159"/>
      <c r="F125" s="159"/>
      <c r="G125" s="159"/>
      <c r="H125" s="156"/>
      <c r="I125" s="164">
        <v>95.5</v>
      </c>
      <c r="J125" s="156">
        <v>3</v>
      </c>
      <c r="K125" s="156"/>
      <c r="L125" s="165">
        <v>16263</v>
      </c>
      <c r="M125" s="164">
        <v>240.00000000000011</v>
      </c>
      <c r="N125" s="164">
        <f t="shared" si="3"/>
        <v>483.28634716069223</v>
      </c>
      <c r="O125" s="165">
        <v>8934</v>
      </c>
      <c r="P125" s="164">
        <v>581.89999999999986</v>
      </c>
      <c r="Q125" s="164">
        <f t="shared" si="1"/>
        <v>1171.7680225533609</v>
      </c>
      <c r="R125" s="165">
        <v>17198</v>
      </c>
      <c r="S125" s="164">
        <v>233.2</v>
      </c>
      <c r="T125" s="164">
        <f t="shared" si="2"/>
        <v>469.59323399113902</v>
      </c>
      <c r="U125" s="156"/>
      <c r="V125" s="159" t="s">
        <v>169</v>
      </c>
      <c r="W125" s="163">
        <f>IF('Tab3'!C16="",'Tab3'!C15,'Tab3'!C16)</f>
        <v>18591.561395126613</v>
      </c>
      <c r="X125" s="163">
        <f>IF('Tab3'!D16="",'Tab3'!D15,'Tab3'!D16)</f>
        <v>14088</v>
      </c>
      <c r="Y125" s="163">
        <f>IF('Tab3'!E16="",'Tab3'!E15,'Tab3'!E16)</f>
        <v>14118</v>
      </c>
      <c r="Z125" s="156"/>
      <c r="AA125" s="155"/>
      <c r="AB125" s="155"/>
      <c r="AC125" s="155"/>
      <c r="AD125" s="155"/>
    </row>
    <row r="126" spans="1:30" x14ac:dyDescent="0.25">
      <c r="A126" s="159">
        <v>4</v>
      </c>
      <c r="B126" s="159"/>
      <c r="C126" s="159">
        <f>520-C123-C124-C125</f>
        <v>132.50000000000003</v>
      </c>
      <c r="D126" s="159">
        <f>452.4-D123-D124-D125</f>
        <v>113.1</v>
      </c>
      <c r="E126" s="159"/>
      <c r="F126" s="159"/>
      <c r="G126" s="159"/>
      <c r="H126" s="156"/>
      <c r="I126" s="164">
        <v>96.3</v>
      </c>
      <c r="J126" s="156">
        <v>4</v>
      </c>
      <c r="K126" s="156"/>
      <c r="L126" s="165">
        <v>16638</v>
      </c>
      <c r="M126" s="164">
        <v>233.40000000000009</v>
      </c>
      <c r="N126" s="164">
        <f t="shared" si="3"/>
        <v>466.09154085789544</v>
      </c>
      <c r="O126" s="165">
        <v>7966</v>
      </c>
      <c r="P126" s="164">
        <v>665.80000000000018</v>
      </c>
      <c r="Q126" s="164">
        <f t="shared" si="1"/>
        <v>1329.579039859412</v>
      </c>
      <c r="R126" s="165">
        <v>13841</v>
      </c>
      <c r="S126" s="164">
        <v>188.00000000000011</v>
      </c>
      <c r="T126" s="164">
        <f t="shared" si="2"/>
        <v>375.42934739196386</v>
      </c>
      <c r="U126" s="156"/>
      <c r="V126" s="156"/>
      <c r="W126" s="156"/>
      <c r="X126" s="156"/>
      <c r="Y126" s="156"/>
      <c r="Z126" s="156"/>
      <c r="AA126" s="155"/>
      <c r="AB126" s="155"/>
      <c r="AC126" s="155"/>
      <c r="AD126" s="155"/>
    </row>
    <row r="127" spans="1:30" x14ac:dyDescent="0.25">
      <c r="A127" s="159">
        <v>1</v>
      </c>
      <c r="B127" s="159">
        <v>1997</v>
      </c>
      <c r="C127" s="159">
        <v>142.6</v>
      </c>
      <c r="D127" s="159">
        <v>124.8</v>
      </c>
      <c r="E127" s="159"/>
      <c r="F127" s="159"/>
      <c r="G127" s="159"/>
      <c r="H127" s="156"/>
      <c r="I127" s="164">
        <v>97.3</v>
      </c>
      <c r="J127" s="156">
        <v>1</v>
      </c>
      <c r="K127" s="156">
        <v>1997</v>
      </c>
      <c r="L127" s="165">
        <v>17837</v>
      </c>
      <c r="M127" s="164">
        <v>255.29999999999998</v>
      </c>
      <c r="N127" s="164">
        <f t="shared" si="3"/>
        <v>504.5853427148383</v>
      </c>
      <c r="O127" s="165">
        <v>7574</v>
      </c>
      <c r="P127" s="164">
        <v>625.70000000000005</v>
      </c>
      <c r="Q127" s="164">
        <f t="shared" si="1"/>
        <v>1236.6590244288068</v>
      </c>
      <c r="R127" s="165">
        <v>10571</v>
      </c>
      <c r="S127" s="164">
        <v>187.8</v>
      </c>
      <c r="T127" s="164">
        <f t="shared" si="2"/>
        <v>371.1755870029246</v>
      </c>
      <c r="U127" s="156"/>
      <c r="V127" s="158" t="s">
        <v>181</v>
      </c>
      <c r="W127" s="156"/>
      <c r="X127" s="156"/>
      <c r="Y127" s="156"/>
      <c r="Z127" s="156"/>
      <c r="AA127" s="155"/>
      <c r="AB127" s="155"/>
      <c r="AC127" s="155"/>
      <c r="AD127" s="155"/>
    </row>
    <row r="128" spans="1:30" x14ac:dyDescent="0.25">
      <c r="A128" s="159">
        <v>2</v>
      </c>
      <c r="B128" s="159"/>
      <c r="C128" s="159">
        <f>284.4-C127</f>
        <v>141.79999999999998</v>
      </c>
      <c r="D128" s="159">
        <f>247.3-D127</f>
        <v>122.50000000000001</v>
      </c>
      <c r="E128" s="159"/>
      <c r="F128" s="159"/>
      <c r="G128" s="159"/>
      <c r="H128" s="156"/>
      <c r="I128" s="164">
        <v>97.7</v>
      </c>
      <c r="J128" s="156">
        <v>2</v>
      </c>
      <c r="K128" s="156"/>
      <c r="L128" s="165">
        <v>16872</v>
      </c>
      <c r="M128" s="164">
        <v>281.30000000000007</v>
      </c>
      <c r="N128" s="164">
        <f t="shared" si="3"/>
        <v>553.69655932603666</v>
      </c>
      <c r="O128" s="165">
        <v>7284</v>
      </c>
      <c r="P128" s="164">
        <v>664.39999999999986</v>
      </c>
      <c r="Q128" s="164">
        <f t="shared" si="1"/>
        <v>1307.7710416502614</v>
      </c>
      <c r="R128" s="165">
        <v>14837</v>
      </c>
      <c r="S128" s="164">
        <v>224.59999999999997</v>
      </c>
      <c r="T128" s="164">
        <f t="shared" si="2"/>
        <v>442.09117392331234</v>
      </c>
      <c r="U128" s="156"/>
      <c r="V128" s="156"/>
      <c r="W128" s="163" t="str">
        <f>+'Tab3'!C6</f>
        <v>2024</v>
      </c>
      <c r="X128" s="163" t="str">
        <f>+'Tab3'!D6</f>
        <v>2025</v>
      </c>
      <c r="Y128" s="163" t="str">
        <f>+'Tab3'!E6</f>
        <v>2026</v>
      </c>
      <c r="Z128" s="156"/>
      <c r="AA128" s="155"/>
      <c r="AB128" s="155"/>
      <c r="AC128" s="155"/>
      <c r="AD128" s="155"/>
    </row>
    <row r="129" spans="1:30" x14ac:dyDescent="0.25">
      <c r="A129" s="159">
        <v>3</v>
      </c>
      <c r="B129" s="159"/>
      <c r="C129" s="159">
        <f>419.8-C127-C128</f>
        <v>135.40000000000006</v>
      </c>
      <c r="D129" s="159">
        <f>364.6-D127-D128</f>
        <v>117.3</v>
      </c>
      <c r="E129" s="159"/>
      <c r="F129" s="159" t="s">
        <v>74</v>
      </c>
      <c r="G129" s="159"/>
      <c r="H129" s="156"/>
      <c r="I129" s="164">
        <v>97.7</v>
      </c>
      <c r="J129" s="156">
        <v>3</v>
      </c>
      <c r="K129" s="156"/>
      <c r="L129" s="165">
        <v>17873</v>
      </c>
      <c r="M129" s="164">
        <v>297.89999999999998</v>
      </c>
      <c r="N129" s="164">
        <f t="shared" si="3"/>
        <v>586.37115187780387</v>
      </c>
      <c r="O129" s="165">
        <v>14581</v>
      </c>
      <c r="P129" s="164">
        <v>720.30000000000018</v>
      </c>
      <c r="Q129" s="164">
        <f t="shared" si="1"/>
        <v>1417.8017478938648</v>
      </c>
      <c r="R129" s="165">
        <v>15670</v>
      </c>
      <c r="S129" s="164">
        <v>198.80000000000007</v>
      </c>
      <c r="T129" s="164">
        <f t="shared" si="2"/>
        <v>391.3077710416498</v>
      </c>
      <c r="U129" s="156"/>
      <c r="V129" s="159" t="s">
        <v>11</v>
      </c>
      <c r="W129" s="163">
        <f>IF('Tab3'!C30="",'Tab3'!C31,'Tab3'!C32)</f>
        <v>2296.269950124688</v>
      </c>
      <c r="X129" s="163">
        <f>IF('Tab3'!D30="",'Tab3'!D31,'Tab3'!D32)</f>
        <v>1460</v>
      </c>
      <c r="Y129" s="163">
        <f>IF('Tab3'!E30="",'Tab3'!E31,'Tab3'!E32)</f>
        <v>1178</v>
      </c>
      <c r="Z129" s="156"/>
      <c r="AA129" s="155"/>
      <c r="AB129" s="155"/>
      <c r="AC129" s="155"/>
      <c r="AD129" s="155"/>
    </row>
    <row r="130" spans="1:30" x14ac:dyDescent="0.25">
      <c r="A130" s="159">
        <v>4</v>
      </c>
      <c r="B130" s="159"/>
      <c r="C130" s="159">
        <f>550.4-C127-C128-C129</f>
        <v>130.59999999999994</v>
      </c>
      <c r="D130" s="159">
        <f>478.3-D127-D128-D129</f>
        <v>113.7</v>
      </c>
      <c r="E130" s="159"/>
      <c r="F130" s="159"/>
      <c r="G130" s="159"/>
      <c r="H130" s="156"/>
      <c r="I130" s="164">
        <v>98.4</v>
      </c>
      <c r="J130" s="156">
        <v>4</v>
      </c>
      <c r="K130" s="156"/>
      <c r="L130" s="165">
        <v>15493</v>
      </c>
      <c r="M130" s="164">
        <v>267.70000000000005</v>
      </c>
      <c r="N130" s="164">
        <f t="shared" si="3"/>
        <v>523.17854909318248</v>
      </c>
      <c r="O130" s="165">
        <v>9445</v>
      </c>
      <c r="P130" s="164">
        <v>564</v>
      </c>
      <c r="Q130" s="164">
        <f t="shared" si="1"/>
        <v>1102.251407129454</v>
      </c>
      <c r="R130" s="165">
        <v>13087</v>
      </c>
      <c r="S130" s="164">
        <v>185.09999999999991</v>
      </c>
      <c r="T130" s="164">
        <f t="shared" si="2"/>
        <v>361.74953095684725</v>
      </c>
      <c r="U130" s="156"/>
      <c r="V130" s="159" t="s">
        <v>12</v>
      </c>
      <c r="W130" s="163">
        <f>IF('Tab3'!C32="",'Tab3'!C33,'Tab3'!C34)</f>
        <v>3764.605</v>
      </c>
      <c r="X130" s="163">
        <f>IF('Tab3'!D32="",'Tab3'!D33,'Tab3'!D34)</f>
        <v>3893</v>
      </c>
      <c r="Y130" s="163">
        <f>IF('Tab3'!E32="",'Tab3'!E33,'Tab3'!E34)</f>
        <v>3656</v>
      </c>
      <c r="Z130" s="156"/>
      <c r="AA130" s="155"/>
      <c r="AB130" s="155"/>
      <c r="AC130" s="155"/>
      <c r="AD130" s="155"/>
    </row>
    <row r="131" spans="1:30" x14ac:dyDescent="0.25">
      <c r="A131" s="159">
        <v>1</v>
      </c>
      <c r="B131" s="159">
        <v>1998</v>
      </c>
      <c r="C131" s="159">
        <v>150</v>
      </c>
      <c r="D131" s="159">
        <v>131.9</v>
      </c>
      <c r="E131" s="159"/>
      <c r="F131" s="159" t="s">
        <v>78</v>
      </c>
      <c r="G131" s="159"/>
      <c r="H131" s="156"/>
      <c r="I131" s="164">
        <v>99.3</v>
      </c>
      <c r="J131" s="156">
        <v>1</v>
      </c>
      <c r="K131" s="156">
        <v>1998</v>
      </c>
      <c r="L131" s="165">
        <v>17629</v>
      </c>
      <c r="M131" s="164">
        <v>285</v>
      </c>
      <c r="N131" s="164">
        <f t="shared" si="3"/>
        <v>551.94050662328516</v>
      </c>
      <c r="O131" s="165">
        <v>7614</v>
      </c>
      <c r="P131" s="164">
        <v>599.6</v>
      </c>
      <c r="Q131" s="164">
        <f t="shared" si="1"/>
        <v>1161.2053606011293</v>
      </c>
      <c r="R131" s="165">
        <v>11958</v>
      </c>
      <c r="S131" s="164">
        <v>185.4</v>
      </c>
      <c r="T131" s="164">
        <f t="shared" si="2"/>
        <v>359.05182430862135</v>
      </c>
      <c r="U131" s="156"/>
      <c r="V131" s="159" t="s">
        <v>7</v>
      </c>
      <c r="W131" s="163">
        <f>IF('Tab3'!C18="",'Tab3'!C17,'Tab3'!C18)</f>
        <v>2800.3848653061223</v>
      </c>
      <c r="X131" s="163">
        <f>IF('Tab3'!D18="",'Tab3'!D17,'Tab3'!D18)</f>
        <v>2799</v>
      </c>
      <c r="Y131" s="163">
        <f>IF('Tab3'!E18="",'Tab3'!E17,'Tab3'!E18)</f>
        <v>3283</v>
      </c>
      <c r="Z131" s="156"/>
      <c r="AA131" s="155"/>
      <c r="AB131" s="155"/>
      <c r="AC131" s="155"/>
      <c r="AD131" s="155"/>
    </row>
    <row r="132" spans="1:30" x14ac:dyDescent="0.25">
      <c r="A132" s="159">
        <v>2</v>
      </c>
      <c r="B132" s="159"/>
      <c r="C132" s="159">
        <f>289.8-C131</f>
        <v>139.80000000000001</v>
      </c>
      <c r="D132" s="159">
        <f>253.9-D131</f>
        <v>122</v>
      </c>
      <c r="E132" s="159"/>
      <c r="F132" s="159" t="s">
        <v>79</v>
      </c>
      <c r="G132" s="159" t="s">
        <v>80</v>
      </c>
      <c r="H132" s="156"/>
      <c r="I132" s="164">
        <v>99.7</v>
      </c>
      <c r="J132" s="156">
        <v>2</v>
      </c>
      <c r="K132" s="156"/>
      <c r="L132" s="165">
        <v>14484</v>
      </c>
      <c r="M132" s="164">
        <v>253.5</v>
      </c>
      <c r="N132" s="164">
        <f t="shared" si="3"/>
        <v>488.96690070210553</v>
      </c>
      <c r="O132" s="165">
        <v>6009</v>
      </c>
      <c r="P132" s="164">
        <v>576.9</v>
      </c>
      <c r="Q132" s="164">
        <f t="shared" si="1"/>
        <v>1112.7613610060935</v>
      </c>
      <c r="R132" s="165">
        <v>15060</v>
      </c>
      <c r="S132" s="164">
        <v>204.20000000000002</v>
      </c>
      <c r="T132" s="164">
        <f t="shared" si="2"/>
        <v>393.87392948074933</v>
      </c>
      <c r="U132" s="156"/>
      <c r="V132" s="156" t="s">
        <v>113</v>
      </c>
      <c r="W132" s="163">
        <f>IF('Tab10'!C8="",'Tab10'!C7,'Tab10'!C8)</f>
        <v>7686.2174959451677</v>
      </c>
      <c r="X132" s="163">
        <f>IF('Tab10'!D8="",'Tab10'!D7,'Tab10'!D8)</f>
        <v>5104</v>
      </c>
      <c r="Y132" s="163">
        <f>IF('Tab10'!E8="",'Tab10'!E7,'Tab10'!E8)</f>
        <v>6357</v>
      </c>
      <c r="Z132" s="156"/>
      <c r="AA132" s="155"/>
      <c r="AB132" s="155"/>
      <c r="AC132" s="155"/>
      <c r="AD132" s="155"/>
    </row>
    <row r="133" spans="1:30" x14ac:dyDescent="0.25">
      <c r="A133" s="159">
        <v>3</v>
      </c>
      <c r="B133" s="159"/>
      <c r="C133" s="159">
        <f>+E133-C131-C132</f>
        <v>128.09999999999997</v>
      </c>
      <c r="D133" s="159">
        <f>+G133-D131-D132</f>
        <v>112.1</v>
      </c>
      <c r="E133" s="159">
        <v>417.9</v>
      </c>
      <c r="F133" s="156"/>
      <c r="G133" s="159">
        <v>366</v>
      </c>
      <c r="H133" s="156"/>
      <c r="I133" s="168">
        <v>99.8</v>
      </c>
      <c r="J133" s="156">
        <v>3</v>
      </c>
      <c r="K133" s="156"/>
      <c r="L133" s="165">
        <v>15693</v>
      </c>
      <c r="M133" s="164">
        <v>257.89999999999998</v>
      </c>
      <c r="N133" s="164">
        <f t="shared" si="3"/>
        <v>496.95544936025817</v>
      </c>
      <c r="O133" s="165">
        <v>8328</v>
      </c>
      <c r="P133" s="164">
        <v>432.80000000000018</v>
      </c>
      <c r="Q133" s="164">
        <f t="shared" si="1"/>
        <v>833.97564359488115</v>
      </c>
      <c r="R133" s="165">
        <v>17098</v>
      </c>
      <c r="S133" s="164">
        <v>209.60000000000002</v>
      </c>
      <c r="T133" s="164">
        <f t="shared" si="2"/>
        <v>403.88469246184621</v>
      </c>
      <c r="U133" s="156"/>
      <c r="V133" s="159" t="s">
        <v>9</v>
      </c>
      <c r="W133" s="163">
        <f>IF('Tab3'!C22="",'Tab3'!C21,'Tab3'!C22)</f>
        <v>11726.093333333334</v>
      </c>
      <c r="X133" s="163">
        <f>IF('Tab3'!D22="",'Tab3'!D21,'Tab3'!D22)</f>
        <v>14056</v>
      </c>
      <c r="Y133" s="163">
        <f>IF('Tab3'!E22="",'Tab3'!E21,'Tab3'!E22)</f>
        <v>14371</v>
      </c>
      <c r="Z133" s="156"/>
      <c r="AA133" s="155"/>
      <c r="AB133" s="155"/>
      <c r="AC133" s="155"/>
      <c r="AD133" s="155"/>
    </row>
    <row r="134" spans="1:30" x14ac:dyDescent="0.25">
      <c r="A134" s="159">
        <v>4</v>
      </c>
      <c r="B134" s="159"/>
      <c r="C134" s="159">
        <f>+E134-E133</f>
        <v>141.80000000000007</v>
      </c>
      <c r="D134" s="159">
        <f>+G134-G133</f>
        <v>125.60000000000002</v>
      </c>
      <c r="E134" s="159">
        <v>559.70000000000005</v>
      </c>
      <c r="F134" s="156"/>
      <c r="G134" s="159">
        <v>491.6</v>
      </c>
      <c r="H134" s="156"/>
      <c r="I134" s="168">
        <v>100.7</v>
      </c>
      <c r="J134" s="156">
        <v>4</v>
      </c>
      <c r="K134" s="156"/>
      <c r="L134" s="165">
        <v>16502</v>
      </c>
      <c r="M134" s="164">
        <v>299.10000000000002</v>
      </c>
      <c r="N134" s="164">
        <f t="shared" si="3"/>
        <v>571.19395004201272</v>
      </c>
      <c r="O134" s="165">
        <v>7526</v>
      </c>
      <c r="P134" s="164">
        <v>738.59999999999945</v>
      </c>
      <c r="Q134" s="164">
        <f t="shared" si="1"/>
        <v>1410.5110381177876</v>
      </c>
      <c r="R134" s="165">
        <v>14647</v>
      </c>
      <c r="S134" s="164">
        <v>205.79999999999995</v>
      </c>
      <c r="T134" s="164">
        <f t="shared" si="2"/>
        <v>393.01810404094346</v>
      </c>
      <c r="U134" s="156"/>
      <c r="V134" s="156"/>
      <c r="W134" s="156"/>
      <c r="X134" s="156"/>
      <c r="Y134" s="156"/>
      <c r="Z134" s="156"/>
      <c r="AA134" s="155"/>
      <c r="AB134" s="155"/>
      <c r="AC134" s="155"/>
      <c r="AD134" s="155"/>
    </row>
    <row r="135" spans="1:30" x14ac:dyDescent="0.25">
      <c r="A135" s="159">
        <v>1</v>
      </c>
      <c r="B135" s="159">
        <v>1999</v>
      </c>
      <c r="C135" s="159">
        <f>+E135</f>
        <v>154.19999999999999</v>
      </c>
      <c r="D135" s="159">
        <f>+G135</f>
        <v>137.1</v>
      </c>
      <c r="E135" s="159">
        <v>154.19999999999999</v>
      </c>
      <c r="F135" s="156"/>
      <c r="G135" s="159">
        <v>137.1</v>
      </c>
      <c r="H135" s="156"/>
      <c r="I135" s="168">
        <v>101.4</v>
      </c>
      <c r="J135" s="156">
        <v>1</v>
      </c>
      <c r="K135" s="156">
        <v>1999</v>
      </c>
      <c r="L135" s="165">
        <v>18095</v>
      </c>
      <c r="M135" s="164">
        <v>328.50000000000006</v>
      </c>
      <c r="N135" s="164">
        <f t="shared" si="3"/>
        <v>623.00864815657621</v>
      </c>
      <c r="O135" s="165">
        <v>8863</v>
      </c>
      <c r="P135" s="164">
        <v>689.1</v>
      </c>
      <c r="Q135" s="164">
        <f t="shared" si="1"/>
        <v>1306.8957669549366</v>
      </c>
      <c r="R135" s="165">
        <v>11175</v>
      </c>
      <c r="S135" s="164">
        <v>162.80000000000001</v>
      </c>
      <c r="T135" s="164">
        <f t="shared" si="2"/>
        <v>308.75436200879938</v>
      </c>
      <c r="U135" s="156"/>
      <c r="V135" s="156"/>
      <c r="W135" s="156"/>
      <c r="X135" s="156"/>
      <c r="Y135" s="156"/>
      <c r="Z135" s="156"/>
      <c r="AA135" s="155"/>
      <c r="AB135" s="155"/>
      <c r="AC135" s="155"/>
      <c r="AD135" s="155"/>
    </row>
    <row r="136" spans="1:30" x14ac:dyDescent="0.25">
      <c r="A136" s="159">
        <v>2</v>
      </c>
      <c r="B136" s="159"/>
      <c r="C136" s="159">
        <f>+E136-E135</f>
        <v>159.30000000000001</v>
      </c>
      <c r="D136" s="159">
        <f>+G136-G135</f>
        <v>140.70000000000002</v>
      </c>
      <c r="E136" s="159">
        <v>313.5</v>
      </c>
      <c r="F136" s="156"/>
      <c r="G136" s="159">
        <v>277.8</v>
      </c>
      <c r="H136" s="156"/>
      <c r="I136" s="168">
        <v>102.2</v>
      </c>
      <c r="J136" s="156">
        <v>2</v>
      </c>
      <c r="K136" s="156"/>
      <c r="L136" s="165">
        <v>12899</v>
      </c>
      <c r="M136" s="164">
        <v>332.7</v>
      </c>
      <c r="N136" s="164">
        <f t="shared" si="3"/>
        <v>626.0349239801285</v>
      </c>
      <c r="O136" s="165">
        <v>5920</v>
      </c>
      <c r="P136" s="164">
        <v>874.6</v>
      </c>
      <c r="Q136" s="164">
        <f t="shared" si="1"/>
        <v>1645.7172964022254</v>
      </c>
      <c r="R136" s="165">
        <v>12451</v>
      </c>
      <c r="S136" s="164">
        <v>199.09999999999997</v>
      </c>
      <c r="T136" s="164">
        <f t="shared" si="2"/>
        <v>374.64248080686372</v>
      </c>
      <c r="U136" s="156"/>
      <c r="V136" s="156"/>
      <c r="W136" s="156"/>
      <c r="X136" s="156"/>
      <c r="Y136" s="156"/>
      <c r="Z136" s="156"/>
      <c r="AA136" s="155"/>
      <c r="AB136" s="155"/>
      <c r="AC136" s="155"/>
      <c r="AD136" s="155"/>
    </row>
    <row r="137" spans="1:30" x14ac:dyDescent="0.25">
      <c r="A137" s="159">
        <v>3</v>
      </c>
      <c r="B137" s="159"/>
      <c r="C137" s="159">
        <f>+E137-E136</f>
        <v>146.30000000000001</v>
      </c>
      <c r="D137" s="159">
        <f>+G137-G136</f>
        <v>128.69999999999999</v>
      </c>
      <c r="E137" s="159">
        <v>459.8</v>
      </c>
      <c r="F137" s="156"/>
      <c r="G137" s="159">
        <v>406.5</v>
      </c>
      <c r="H137" s="156"/>
      <c r="I137" s="168">
        <v>101.7</v>
      </c>
      <c r="J137" s="156">
        <v>3</v>
      </c>
      <c r="K137" s="156"/>
      <c r="L137" s="165">
        <v>23305</v>
      </c>
      <c r="M137" s="164">
        <v>445.5</v>
      </c>
      <c r="N137" s="164">
        <f t="shared" si="3"/>
        <v>842.40980258679235</v>
      </c>
      <c r="O137" s="165">
        <v>11181</v>
      </c>
      <c r="P137" s="164">
        <v>566.99999999999977</v>
      </c>
      <c r="Q137" s="164">
        <f t="shared" si="1"/>
        <v>1072.157930565008</v>
      </c>
      <c r="R137" s="165">
        <v>18817</v>
      </c>
      <c r="S137" s="164">
        <v>227.70000000000005</v>
      </c>
      <c r="T137" s="164">
        <f t="shared" si="2"/>
        <v>430.56501021102736</v>
      </c>
      <c r="U137" s="156"/>
      <c r="V137" s="156"/>
      <c r="W137" s="156"/>
      <c r="X137" s="156"/>
      <c r="Y137" s="156"/>
      <c r="Z137" s="156"/>
      <c r="AA137" s="155"/>
      <c r="AB137" s="155"/>
      <c r="AC137" s="155"/>
      <c r="AD137" s="155"/>
    </row>
    <row r="138" spans="1:30" x14ac:dyDescent="0.25">
      <c r="A138" s="159">
        <v>4</v>
      </c>
      <c r="B138" s="159"/>
      <c r="C138" s="159">
        <f>+E138-E137</f>
        <v>141.90000000000003</v>
      </c>
      <c r="D138" s="159">
        <f>+G138-G137</f>
        <v>126.39999999999998</v>
      </c>
      <c r="E138" s="159">
        <v>601.70000000000005</v>
      </c>
      <c r="F138" s="156"/>
      <c r="G138" s="159">
        <v>532.9</v>
      </c>
      <c r="H138" s="156"/>
      <c r="I138" s="164">
        <v>103.5</v>
      </c>
      <c r="J138" s="156">
        <v>4</v>
      </c>
      <c r="K138" s="156"/>
      <c r="L138" s="165">
        <v>18359</v>
      </c>
      <c r="M138" s="164">
        <v>410.59999999999968</v>
      </c>
      <c r="N138" s="164">
        <f t="shared" si="3"/>
        <v>762.91341508732637</v>
      </c>
      <c r="O138" s="165">
        <v>9544</v>
      </c>
      <c r="P138" s="164">
        <v>935.5</v>
      </c>
      <c r="Q138" s="164">
        <f t="shared" si="1"/>
        <v>1738.201412114453</v>
      </c>
      <c r="R138" s="165">
        <v>13692</v>
      </c>
      <c r="S138" s="164">
        <v>192.19999999999993</v>
      </c>
      <c r="T138" s="164">
        <f t="shared" si="2"/>
        <v>357.11631363805208</v>
      </c>
      <c r="U138" s="156"/>
      <c r="V138" s="156"/>
      <c r="W138" s="156"/>
      <c r="X138" s="156"/>
      <c r="Y138" s="156"/>
      <c r="Z138" s="156"/>
      <c r="AA138" s="155"/>
      <c r="AB138" s="155"/>
      <c r="AC138" s="155"/>
      <c r="AD138" s="155"/>
    </row>
    <row r="139" spans="1:30" x14ac:dyDescent="0.25">
      <c r="A139" s="159">
        <v>1</v>
      </c>
      <c r="B139" s="159">
        <v>2000</v>
      </c>
      <c r="C139" s="159">
        <f>+E139</f>
        <v>169.1</v>
      </c>
      <c r="D139" s="159">
        <f>+G139</f>
        <v>150.9</v>
      </c>
      <c r="E139" s="159">
        <v>169.1</v>
      </c>
      <c r="F139" s="156"/>
      <c r="G139" s="159">
        <v>150.9</v>
      </c>
      <c r="H139" s="156"/>
      <c r="I139" s="164">
        <v>104.6</v>
      </c>
      <c r="J139" s="156">
        <v>1</v>
      </c>
      <c r="K139" s="156">
        <v>2000</v>
      </c>
      <c r="L139" s="165">
        <v>17570</v>
      </c>
      <c r="M139" s="164">
        <v>345.9</v>
      </c>
      <c r="N139" s="164">
        <f t="shared" si="3"/>
        <v>635.93910869245371</v>
      </c>
      <c r="O139" s="165">
        <v>9154</v>
      </c>
      <c r="P139" s="164">
        <v>819.9</v>
      </c>
      <c r="Q139" s="164">
        <f t="shared" si="1"/>
        <v>1507.3907927636394</v>
      </c>
      <c r="R139" s="165">
        <v>12421</v>
      </c>
      <c r="S139" s="164">
        <v>198</v>
      </c>
      <c r="T139" s="164">
        <f t="shared" si="2"/>
        <v>364.02412119429272</v>
      </c>
      <c r="U139" s="156"/>
      <c r="V139" s="156"/>
      <c r="W139" s="156"/>
      <c r="X139" s="156"/>
      <c r="Y139" s="156"/>
      <c r="Z139" s="156"/>
      <c r="AA139" s="155"/>
      <c r="AB139" s="155"/>
      <c r="AC139" s="155"/>
      <c r="AD139" s="155"/>
    </row>
    <row r="140" spans="1:30" x14ac:dyDescent="0.25">
      <c r="A140" s="159">
        <v>2</v>
      </c>
      <c r="B140" s="159"/>
      <c r="C140" s="159">
        <f>+E140-E139</f>
        <v>151.50000000000003</v>
      </c>
      <c r="D140" s="159">
        <f>+G140-G139</f>
        <v>133.4</v>
      </c>
      <c r="E140" s="159">
        <v>320.60000000000002</v>
      </c>
      <c r="F140" s="156"/>
      <c r="G140" s="159">
        <v>284.3</v>
      </c>
      <c r="H140" s="156"/>
      <c r="I140" s="164">
        <v>105.1</v>
      </c>
      <c r="J140" s="156">
        <v>2</v>
      </c>
      <c r="K140" s="156"/>
      <c r="L140" s="165">
        <v>14069</v>
      </c>
      <c r="M140" s="164">
        <v>252.39999999999998</v>
      </c>
      <c r="N140" s="164">
        <f t="shared" si="3"/>
        <v>461.83122301105101</v>
      </c>
      <c r="O140" s="165">
        <v>10238</v>
      </c>
      <c r="P140" s="164">
        <v>674.19999999999993</v>
      </c>
      <c r="Q140" s="164">
        <f t="shared" si="1"/>
        <v>1233.6236551269833</v>
      </c>
      <c r="R140" s="165">
        <v>13950</v>
      </c>
      <c r="S140" s="164">
        <v>184.5</v>
      </c>
      <c r="T140" s="164">
        <f t="shared" si="2"/>
        <v>337.59057308058209</v>
      </c>
      <c r="U140" s="156"/>
      <c r="V140" s="156"/>
      <c r="W140" s="156"/>
      <c r="X140" s="156"/>
      <c r="Y140" s="156"/>
      <c r="Z140" s="156"/>
      <c r="AA140" s="155"/>
      <c r="AB140" s="155"/>
      <c r="AC140" s="155"/>
      <c r="AD140" s="155"/>
    </row>
    <row r="141" spans="1:30" x14ac:dyDescent="0.25">
      <c r="A141" s="159">
        <v>3</v>
      </c>
      <c r="B141" s="159"/>
      <c r="C141" s="159">
        <f>+E141-E140</f>
        <v>139</v>
      </c>
      <c r="D141" s="159">
        <f>+G141-G140</f>
        <v>123.5</v>
      </c>
      <c r="E141" s="159">
        <v>459.6</v>
      </c>
      <c r="F141" s="156"/>
      <c r="G141" s="159">
        <v>407.8</v>
      </c>
      <c r="H141" s="156"/>
      <c r="I141" s="164">
        <v>105.3</v>
      </c>
      <c r="J141" s="156">
        <v>3</v>
      </c>
      <c r="K141" s="156"/>
      <c r="L141" s="165">
        <v>16329</v>
      </c>
      <c r="M141" s="164">
        <v>313.5</v>
      </c>
      <c r="N141" s="164">
        <f t="shared" si="3"/>
        <v>572.53999561691774</v>
      </c>
      <c r="O141" s="165">
        <v>13877</v>
      </c>
      <c r="P141" s="164">
        <v>706.20000000000027</v>
      </c>
      <c r="Q141" s="164">
        <f t="shared" si="1"/>
        <v>1289.7216743370575</v>
      </c>
      <c r="R141" s="165">
        <v>14850</v>
      </c>
      <c r="S141" s="164">
        <v>193.89999999999998</v>
      </c>
      <c r="T141" s="164">
        <f t="shared" si="2"/>
        <v>354.11644386003303</v>
      </c>
      <c r="U141" s="156"/>
      <c r="V141" s="156"/>
      <c r="W141" s="156"/>
      <c r="X141" s="156"/>
      <c r="Y141" s="156"/>
      <c r="Z141" s="156"/>
      <c r="AA141" s="155"/>
      <c r="AB141" s="155"/>
      <c r="AC141" s="155"/>
      <c r="AD141" s="155"/>
    </row>
    <row r="142" spans="1:30" x14ac:dyDescent="0.25">
      <c r="A142" s="159">
        <v>4</v>
      </c>
      <c r="B142" s="159"/>
      <c r="C142" s="159">
        <f>+E142-E141</f>
        <v>135.10000000000002</v>
      </c>
      <c r="D142" s="159">
        <f>+G142-G141</f>
        <v>121.40000000000003</v>
      </c>
      <c r="E142" s="159">
        <v>594.70000000000005</v>
      </c>
      <c r="F142" s="156"/>
      <c r="G142" s="159">
        <v>529.20000000000005</v>
      </c>
      <c r="H142" s="156"/>
      <c r="I142" s="164">
        <v>106.8</v>
      </c>
      <c r="J142" s="156">
        <v>4</v>
      </c>
      <c r="K142" s="156"/>
      <c r="L142" s="165">
        <v>21735</v>
      </c>
      <c r="M142" s="164">
        <v>484.79999999999995</v>
      </c>
      <c r="N142" s="164">
        <f t="shared" si="3"/>
        <v>872.947277441658</v>
      </c>
      <c r="O142" s="165">
        <v>9978</v>
      </c>
      <c r="P142" s="164">
        <v>739.19999999999982</v>
      </c>
      <c r="Q142" s="164">
        <f t="shared" si="1"/>
        <v>1331.0285220397557</v>
      </c>
      <c r="R142" s="165">
        <v>13212</v>
      </c>
      <c r="S142" s="164">
        <v>215</v>
      </c>
      <c r="T142" s="164">
        <f t="shared" si="2"/>
        <v>387.13627196773206</v>
      </c>
      <c r="U142" s="156"/>
      <c r="V142" s="156"/>
      <c r="W142" s="156"/>
      <c r="X142" s="156"/>
      <c r="Y142" s="156"/>
      <c r="Z142" s="156"/>
      <c r="AA142" s="155"/>
      <c r="AB142" s="155"/>
      <c r="AC142" s="155"/>
      <c r="AD142" s="155"/>
    </row>
    <row r="143" spans="1:30" x14ac:dyDescent="0.25">
      <c r="A143" s="159">
        <v>1</v>
      </c>
      <c r="B143" s="159">
        <v>2001</v>
      </c>
      <c r="C143" s="159">
        <f>+E143</f>
        <v>158.5</v>
      </c>
      <c r="D143" s="159">
        <f>+G143</f>
        <v>143.1</v>
      </c>
      <c r="E143" s="159">
        <v>158.5</v>
      </c>
      <c r="F143" s="156"/>
      <c r="G143" s="159">
        <v>143.1</v>
      </c>
      <c r="H143" s="156"/>
      <c r="I143" s="164">
        <v>108.4</v>
      </c>
      <c r="J143" s="156">
        <v>1</v>
      </c>
      <c r="K143" s="156">
        <v>2001</v>
      </c>
      <c r="L143" s="165">
        <v>27280</v>
      </c>
      <c r="M143" s="164">
        <v>675.3</v>
      </c>
      <c r="N143" s="164">
        <f t="shared" si="3"/>
        <v>1198.0201532784538</v>
      </c>
      <c r="O143" s="165">
        <v>7776</v>
      </c>
      <c r="P143" s="164">
        <v>877</v>
      </c>
      <c r="Q143" s="164">
        <f t="shared" si="1"/>
        <v>1555.8472892421205</v>
      </c>
      <c r="R143" s="165">
        <v>10538</v>
      </c>
      <c r="S143" s="164">
        <v>164.1</v>
      </c>
      <c r="T143" s="164">
        <f t="shared" si="2"/>
        <v>291.12262276468869</v>
      </c>
      <c r="U143" s="156"/>
      <c r="V143" s="156"/>
      <c r="W143" s="156"/>
      <c r="X143" s="156"/>
      <c r="Y143" s="156"/>
      <c r="Z143" s="156"/>
      <c r="AA143" s="155"/>
      <c r="AB143" s="155"/>
      <c r="AC143" s="155"/>
      <c r="AD143" s="155"/>
    </row>
    <row r="144" spans="1:30" x14ac:dyDescent="0.25">
      <c r="A144" s="159">
        <v>2</v>
      </c>
      <c r="B144" s="159"/>
      <c r="C144" s="159">
        <f>+E144-E143</f>
        <v>140.45999999999998</v>
      </c>
      <c r="D144" s="159">
        <f>+G144-G143</f>
        <v>125.70000000000002</v>
      </c>
      <c r="E144" s="159">
        <v>298.95999999999998</v>
      </c>
      <c r="F144" s="156"/>
      <c r="G144" s="159">
        <v>268.8</v>
      </c>
      <c r="H144" s="156"/>
      <c r="I144" s="164">
        <v>109.6</v>
      </c>
      <c r="J144" s="156">
        <v>2</v>
      </c>
      <c r="K144" s="156"/>
      <c r="L144" s="165">
        <v>17111</v>
      </c>
      <c r="M144" s="164">
        <v>452</v>
      </c>
      <c r="N144" s="164">
        <f t="shared" si="3"/>
        <v>793.09376754632115</v>
      </c>
      <c r="O144" s="165">
        <v>5711</v>
      </c>
      <c r="P144" s="164">
        <v>923</v>
      </c>
      <c r="Q144" s="164">
        <f t="shared" si="1"/>
        <v>1619.5255474452529</v>
      </c>
      <c r="R144" s="165">
        <v>11841</v>
      </c>
      <c r="S144" s="164">
        <v>190.29999999999998</v>
      </c>
      <c r="T144" s="164">
        <f t="shared" si="2"/>
        <v>333.90651319483379</v>
      </c>
      <c r="U144" s="156"/>
      <c r="V144" s="156"/>
      <c r="W144" s="156"/>
      <c r="X144" s="156"/>
      <c r="Y144" s="156"/>
      <c r="Z144" s="156"/>
      <c r="AA144" s="155"/>
      <c r="AB144" s="155"/>
      <c r="AC144" s="155"/>
      <c r="AD144" s="155"/>
    </row>
    <row r="145" spans="1:30" x14ac:dyDescent="0.25">
      <c r="A145" s="159">
        <v>3</v>
      </c>
      <c r="B145" s="156"/>
      <c r="C145" s="159">
        <f>+E145-E144</f>
        <v>134.24</v>
      </c>
      <c r="D145" s="159">
        <f>+G145-G144</f>
        <v>119.19999999999999</v>
      </c>
      <c r="E145" s="159">
        <v>433.2</v>
      </c>
      <c r="F145" s="156"/>
      <c r="G145" s="159">
        <v>388</v>
      </c>
      <c r="H145" s="156"/>
      <c r="I145" s="164">
        <v>108.1</v>
      </c>
      <c r="J145" s="156">
        <v>3</v>
      </c>
      <c r="K145" s="156"/>
      <c r="L145" s="165">
        <v>16407</v>
      </c>
      <c r="M145" s="164">
        <v>400.40000000000009</v>
      </c>
      <c r="N145" s="164">
        <f t="shared" si="3"/>
        <v>712.3034227567058</v>
      </c>
      <c r="O145" s="165">
        <v>15359</v>
      </c>
      <c r="P145" s="164">
        <v>1172.1999999999998</v>
      </c>
      <c r="Q145" s="164">
        <f t="shared" si="1"/>
        <v>2085.3198605279977</v>
      </c>
      <c r="R145" s="165">
        <v>13534</v>
      </c>
      <c r="S145" s="164">
        <v>158.5</v>
      </c>
      <c r="T145" s="164">
        <f t="shared" si="2"/>
        <v>281.96826300434026</v>
      </c>
      <c r="U145" s="156"/>
      <c r="V145" s="156"/>
      <c r="W145" s="156"/>
      <c r="X145" s="156"/>
      <c r="Y145" s="156"/>
      <c r="Z145" s="156"/>
      <c r="AA145" s="155"/>
      <c r="AB145" s="155"/>
      <c r="AC145" s="155"/>
      <c r="AD145" s="155"/>
    </row>
    <row r="146" spans="1:30" x14ac:dyDescent="0.25">
      <c r="A146" s="159">
        <v>4</v>
      </c>
      <c r="B146" s="156"/>
      <c r="C146" s="159">
        <f>+E146-E145</f>
        <v>137.49520000000001</v>
      </c>
      <c r="D146" s="159">
        <f>+G146-G145</f>
        <v>124.07220000000007</v>
      </c>
      <c r="E146" s="167">
        <v>570.6952</v>
      </c>
      <c r="F146" s="172"/>
      <c r="G146" s="167">
        <v>512.07220000000007</v>
      </c>
      <c r="H146" s="156"/>
      <c r="I146" s="164">
        <v>108.7</v>
      </c>
      <c r="J146" s="156">
        <v>4</v>
      </c>
      <c r="K146" s="156"/>
      <c r="L146" s="165">
        <v>16945</v>
      </c>
      <c r="M146" s="164">
        <v>509.39999999999986</v>
      </c>
      <c r="N146" s="164">
        <f t="shared" si="3"/>
        <v>901.21010544193439</v>
      </c>
      <c r="O146" s="165">
        <v>9601</v>
      </c>
      <c r="P146" s="164">
        <v>803.30000000000018</v>
      </c>
      <c r="Q146" s="164">
        <f t="shared" si="1"/>
        <v>1421.1662302738641</v>
      </c>
      <c r="R146" s="165">
        <v>12341</v>
      </c>
      <c r="S146" s="164">
        <v>258.5</v>
      </c>
      <c r="T146" s="164">
        <f t="shared" si="2"/>
        <v>457.32786073172383</v>
      </c>
      <c r="U146" s="156"/>
      <c r="V146" s="156"/>
      <c r="W146" s="156"/>
      <c r="X146" s="156"/>
      <c r="Y146" s="156"/>
      <c r="Z146" s="156"/>
      <c r="AA146" s="155"/>
      <c r="AB146" s="155"/>
      <c r="AC146" s="155"/>
      <c r="AD146" s="155"/>
    </row>
    <row r="147" spans="1:30" x14ac:dyDescent="0.25">
      <c r="A147" s="159">
        <v>1</v>
      </c>
      <c r="B147" s="159">
        <v>2002</v>
      </c>
      <c r="C147" s="159">
        <f>+E147</f>
        <v>155.81399999999999</v>
      </c>
      <c r="D147" s="159">
        <f>+G147</f>
        <v>141.72399999999999</v>
      </c>
      <c r="E147" s="167">
        <v>155.81399999999999</v>
      </c>
      <c r="F147" s="172"/>
      <c r="G147" s="167">
        <v>141.72399999999999</v>
      </c>
      <c r="H147" s="156"/>
      <c r="I147" s="164">
        <v>109.3</v>
      </c>
      <c r="J147" s="156">
        <v>1</v>
      </c>
      <c r="K147" s="156">
        <v>2002</v>
      </c>
      <c r="L147" s="165">
        <v>17523</v>
      </c>
      <c r="M147" s="164">
        <v>466.5</v>
      </c>
      <c r="N147" s="164">
        <f t="shared" si="3"/>
        <v>820.78260257583088</v>
      </c>
      <c r="O147" s="165">
        <v>6856</v>
      </c>
      <c r="P147" s="164">
        <v>820.40000000000009</v>
      </c>
      <c r="Q147" s="164">
        <f t="shared" si="1"/>
        <v>1443.4513336617617</v>
      </c>
      <c r="R147" s="165">
        <v>9371</v>
      </c>
      <c r="S147" s="164">
        <v>197.9</v>
      </c>
      <c r="T147" s="164">
        <f t="shared" si="2"/>
        <v>348.19480610880373</v>
      </c>
      <c r="U147" s="156"/>
      <c r="V147" s="156"/>
      <c r="W147" s="156"/>
      <c r="X147" s="156"/>
      <c r="Y147" s="156"/>
      <c r="Z147" s="156"/>
      <c r="AA147" s="155"/>
      <c r="AB147" s="155"/>
      <c r="AC147" s="155"/>
      <c r="AD147" s="155"/>
    </row>
    <row r="148" spans="1:30" x14ac:dyDescent="0.25">
      <c r="A148" s="159">
        <v>2</v>
      </c>
      <c r="B148" s="159"/>
      <c r="C148" s="159">
        <f>+E148-E147</f>
        <v>146.54300000000003</v>
      </c>
      <c r="D148" s="159">
        <f>+G148-G147</f>
        <v>133.19</v>
      </c>
      <c r="E148" s="159">
        <v>302.35700000000003</v>
      </c>
      <c r="F148" s="156"/>
      <c r="G148" s="159">
        <v>274.91399999999999</v>
      </c>
      <c r="H148" s="156"/>
      <c r="I148" s="164">
        <v>110</v>
      </c>
      <c r="J148" s="156">
        <v>2</v>
      </c>
      <c r="K148" s="156"/>
      <c r="L148" s="165">
        <v>17469</v>
      </c>
      <c r="M148" s="164">
        <v>408.5</v>
      </c>
      <c r="N148" s="164">
        <f t="shared" si="3"/>
        <v>714.16083916083812</v>
      </c>
      <c r="O148" s="165">
        <v>9323</v>
      </c>
      <c r="P148" s="164">
        <v>689.09999999999991</v>
      </c>
      <c r="Q148" s="164">
        <f t="shared" si="1"/>
        <v>1204.7202797202776</v>
      </c>
      <c r="R148" s="165">
        <v>14749</v>
      </c>
      <c r="S148" s="164">
        <v>233.49999999999997</v>
      </c>
      <c r="T148" s="164">
        <f t="shared" si="2"/>
        <v>408.21678321678257</v>
      </c>
      <c r="U148" s="156"/>
      <c r="V148" s="156"/>
      <c r="W148" s="156"/>
      <c r="X148" s="156"/>
      <c r="Y148" s="156"/>
      <c r="Z148" s="156"/>
      <c r="AA148" s="155"/>
      <c r="AB148" s="155"/>
      <c r="AC148" s="155"/>
      <c r="AD148" s="155"/>
    </row>
    <row r="149" spans="1:30" x14ac:dyDescent="0.25">
      <c r="A149" s="159">
        <v>3</v>
      </c>
      <c r="B149" s="156"/>
      <c r="C149" s="159">
        <f>+E149-E148</f>
        <v>146.23099999999999</v>
      </c>
      <c r="D149" s="159">
        <f>+G149-G148</f>
        <v>127.14100000000002</v>
      </c>
      <c r="E149" s="159">
        <v>448.58800000000002</v>
      </c>
      <c r="F149" s="156"/>
      <c r="G149" s="159">
        <v>402.05500000000001</v>
      </c>
      <c r="H149" s="156"/>
      <c r="I149" s="164">
        <v>109.6</v>
      </c>
      <c r="J149" s="156">
        <v>3</v>
      </c>
      <c r="K149" s="156"/>
      <c r="L149" s="165">
        <v>19641</v>
      </c>
      <c r="M149" s="164">
        <v>503</v>
      </c>
      <c r="N149" s="164">
        <f t="shared" si="3"/>
        <v>882.58001122964492</v>
      </c>
      <c r="O149" s="165">
        <v>17422</v>
      </c>
      <c r="P149" s="164">
        <v>895.90000000000009</v>
      </c>
      <c r="Q149" s="164">
        <f t="shared" si="1"/>
        <v>1571.9750140370556</v>
      </c>
      <c r="R149" s="165">
        <v>14722</v>
      </c>
      <c r="S149" s="164">
        <v>184.5</v>
      </c>
      <c r="T149" s="164">
        <f t="shared" si="2"/>
        <v>323.72964626614214</v>
      </c>
      <c r="U149" s="156"/>
      <c r="V149" s="156"/>
      <c r="W149" s="156"/>
      <c r="X149" s="156"/>
      <c r="Y149" s="156"/>
      <c r="Z149" s="156"/>
      <c r="AA149" s="155"/>
      <c r="AB149" s="155"/>
      <c r="AC149" s="155"/>
      <c r="AD149" s="155"/>
    </row>
    <row r="150" spans="1:30" x14ac:dyDescent="0.25">
      <c r="A150" s="159">
        <v>4</v>
      </c>
      <c r="B150" s="156"/>
      <c r="C150" s="159">
        <f>+E150-E149</f>
        <v>137.96699999999993</v>
      </c>
      <c r="D150" s="159">
        <f>+G150-G149</f>
        <v>124.64100000000002</v>
      </c>
      <c r="E150" s="167">
        <v>586.55499999999995</v>
      </c>
      <c r="F150" s="172"/>
      <c r="G150" s="167">
        <v>526.69600000000003</v>
      </c>
      <c r="H150" s="156"/>
      <c r="I150" s="164">
        <v>111</v>
      </c>
      <c r="J150" s="156">
        <v>4</v>
      </c>
      <c r="K150" s="156"/>
      <c r="L150" s="165">
        <v>17442</v>
      </c>
      <c r="M150" s="164">
        <v>464.20000000000005</v>
      </c>
      <c r="N150" s="164">
        <f t="shared" si="3"/>
        <v>804.22730422730308</v>
      </c>
      <c r="O150" s="165">
        <v>8123</v>
      </c>
      <c r="P150" s="164">
        <v>938.5</v>
      </c>
      <c r="Q150" s="164">
        <f t="shared" si="1"/>
        <v>1625.9528759528735</v>
      </c>
      <c r="R150" s="165">
        <v>14689</v>
      </c>
      <c r="S150" s="164">
        <v>194.00000000000011</v>
      </c>
      <c r="T150" s="164">
        <f t="shared" si="2"/>
        <v>336.10533610533577</v>
      </c>
      <c r="U150" s="156"/>
      <c r="V150" s="156"/>
      <c r="W150" s="156"/>
      <c r="X150" s="156"/>
      <c r="Y150" s="156"/>
      <c r="Z150" s="156"/>
      <c r="AA150" s="155"/>
      <c r="AB150" s="155"/>
      <c r="AC150" s="155"/>
      <c r="AD150" s="155"/>
    </row>
    <row r="151" spans="1:30" x14ac:dyDescent="0.25">
      <c r="A151" s="159">
        <v>1</v>
      </c>
      <c r="B151" s="159">
        <v>2003</v>
      </c>
      <c r="C151" s="167">
        <f>+E151</f>
        <v>165.679</v>
      </c>
      <c r="D151" s="159">
        <f>+G151</f>
        <v>150.81100000000001</v>
      </c>
      <c r="E151" s="167">
        <v>165.679</v>
      </c>
      <c r="F151" s="172"/>
      <c r="G151" s="167">
        <v>150.81100000000001</v>
      </c>
      <c r="H151" s="156"/>
      <c r="I151" s="164">
        <v>114.6</v>
      </c>
      <c r="J151" s="156">
        <v>1</v>
      </c>
      <c r="K151" s="156">
        <v>2003</v>
      </c>
      <c r="L151" s="165">
        <v>22781</v>
      </c>
      <c r="M151" s="164">
        <v>626.79999999999995</v>
      </c>
      <c r="N151" s="164">
        <f t="shared" si="3"/>
        <v>1051.8190361122281</v>
      </c>
      <c r="O151" s="165">
        <v>6823</v>
      </c>
      <c r="P151" s="164">
        <v>1087.2</v>
      </c>
      <c r="Q151" s="164">
        <f t="shared" si="1"/>
        <v>1824.4059605316122</v>
      </c>
      <c r="R151" s="165">
        <v>10626</v>
      </c>
      <c r="S151" s="164">
        <v>183</v>
      </c>
      <c r="T151" s="164">
        <f t="shared" si="2"/>
        <v>307.08819975835638</v>
      </c>
      <c r="U151" s="156"/>
      <c r="V151" s="156"/>
      <c r="W151" s="156"/>
      <c r="X151" s="156"/>
      <c r="Y151" s="156"/>
      <c r="Z151" s="156"/>
      <c r="AA151" s="155"/>
      <c r="AB151" s="155"/>
      <c r="AC151" s="155"/>
      <c r="AD151" s="155"/>
    </row>
    <row r="152" spans="1:30" x14ac:dyDescent="0.25">
      <c r="A152" s="159">
        <v>2</v>
      </c>
      <c r="B152" s="159"/>
      <c r="C152" s="167">
        <f>+E152-E151</f>
        <v>135.02099999999999</v>
      </c>
      <c r="D152" s="159">
        <f>+G152-G151</f>
        <v>121.10099999999997</v>
      </c>
      <c r="E152" s="159">
        <v>300.7</v>
      </c>
      <c r="F152" s="156"/>
      <c r="G152" s="159">
        <v>271.91199999999998</v>
      </c>
      <c r="H152" s="156"/>
      <c r="I152" s="164">
        <v>112.3</v>
      </c>
      <c r="J152" s="156">
        <v>2</v>
      </c>
      <c r="K152" s="156"/>
      <c r="L152" s="165">
        <v>15417</v>
      </c>
      <c r="M152" s="164">
        <v>406.10000000000014</v>
      </c>
      <c r="N152" s="164">
        <f t="shared" si="3"/>
        <v>695.42434413315891</v>
      </c>
      <c r="O152" s="165">
        <v>5618</v>
      </c>
      <c r="P152" s="164">
        <v>817.8</v>
      </c>
      <c r="Q152" s="164">
        <f t="shared" si="1"/>
        <v>1400.4383861908327</v>
      </c>
      <c r="R152" s="165">
        <v>12719</v>
      </c>
      <c r="S152" s="164">
        <v>203.2</v>
      </c>
      <c r="T152" s="164">
        <f t="shared" si="2"/>
        <v>347.9690389752717</v>
      </c>
      <c r="U152" s="156"/>
      <c r="V152" s="156"/>
      <c r="W152" s="156"/>
      <c r="X152" s="156"/>
      <c r="Y152" s="156"/>
      <c r="Z152" s="156"/>
      <c r="AA152" s="155"/>
      <c r="AB152" s="155"/>
      <c r="AC152" s="155"/>
      <c r="AD152" s="155"/>
    </row>
    <row r="153" spans="1:30" x14ac:dyDescent="0.25">
      <c r="A153" s="159">
        <v>3</v>
      </c>
      <c r="B153" s="159"/>
      <c r="C153" s="167">
        <f>+E153-E152</f>
        <v>134.11099999999999</v>
      </c>
      <c r="D153" s="159">
        <f>+G153-G152</f>
        <v>119.49100000000004</v>
      </c>
      <c r="E153" s="159">
        <v>434.81099999999998</v>
      </c>
      <c r="F153" s="156"/>
      <c r="G153" s="159">
        <v>391.40300000000002</v>
      </c>
      <c r="H153" s="156"/>
      <c r="I153" s="164">
        <v>111.9</v>
      </c>
      <c r="J153" s="156">
        <v>3</v>
      </c>
      <c r="K153" s="156"/>
      <c r="L153" s="165">
        <v>18848</v>
      </c>
      <c r="M153" s="164">
        <v>430.5</v>
      </c>
      <c r="N153" s="164">
        <f t="shared" si="3"/>
        <v>739.8432666529169</v>
      </c>
      <c r="O153" s="165">
        <v>16056</v>
      </c>
      <c r="P153" s="164">
        <v>860.19999999999982</v>
      </c>
      <c r="Q153" s="164">
        <f t="shared" si="1"/>
        <v>1478.3116793840627</v>
      </c>
      <c r="R153" s="165">
        <v>13690</v>
      </c>
      <c r="S153" s="164">
        <v>188.8</v>
      </c>
      <c r="T153" s="164">
        <f t="shared" si="2"/>
        <v>324.46552553791111</v>
      </c>
      <c r="U153" s="156"/>
      <c r="V153" s="156"/>
      <c r="W153" s="156"/>
      <c r="X153" s="156"/>
      <c r="Y153" s="156"/>
      <c r="Z153" s="156"/>
      <c r="AA153" s="155"/>
      <c r="AB153" s="155"/>
      <c r="AC153" s="155"/>
      <c r="AD153" s="155"/>
    </row>
    <row r="154" spans="1:30" x14ac:dyDescent="0.25">
      <c r="A154" s="159">
        <v>4</v>
      </c>
      <c r="B154" s="159"/>
      <c r="C154" s="167">
        <f>+E154-E153</f>
        <v>142.01299999999998</v>
      </c>
      <c r="D154" s="159">
        <f>+G154-G153</f>
        <v>125.95899999999995</v>
      </c>
      <c r="E154" s="159">
        <v>576.82399999999996</v>
      </c>
      <c r="F154" s="156"/>
      <c r="G154" s="159">
        <v>517.36199999999997</v>
      </c>
      <c r="H154" s="156"/>
      <c r="I154" s="164">
        <v>112.6</v>
      </c>
      <c r="J154" s="156">
        <v>4</v>
      </c>
      <c r="K154" s="156"/>
      <c r="L154" s="165">
        <v>16096</v>
      </c>
      <c r="M154" s="164">
        <v>471.89999999999986</v>
      </c>
      <c r="N154" s="164">
        <f t="shared" si="3"/>
        <v>805.95026642983873</v>
      </c>
      <c r="O154" s="165">
        <v>7652</v>
      </c>
      <c r="P154" s="164">
        <v>762.30000000000018</v>
      </c>
      <c r="Q154" s="164">
        <f t="shared" si="1"/>
        <v>1301.9196611558939</v>
      </c>
      <c r="R154" s="165">
        <v>11607</v>
      </c>
      <c r="S154" s="164">
        <v>220.90000000000009</v>
      </c>
      <c r="T154" s="164">
        <f t="shared" si="2"/>
        <v>377.27148517557004</v>
      </c>
      <c r="U154" s="156"/>
      <c r="V154" s="156"/>
      <c r="W154" s="156"/>
      <c r="X154" s="156"/>
      <c r="Y154" s="156"/>
      <c r="Z154" s="156"/>
      <c r="AA154" s="155"/>
      <c r="AB154" s="155"/>
      <c r="AC154" s="155"/>
      <c r="AD154" s="155"/>
    </row>
    <row r="155" spans="1:30" x14ac:dyDescent="0.25">
      <c r="A155" s="159">
        <v>1</v>
      </c>
      <c r="B155" s="159">
        <v>2004</v>
      </c>
      <c r="C155" s="167">
        <f>+E155</f>
        <v>168.309</v>
      </c>
      <c r="D155" s="159">
        <f>+G155</f>
        <v>153.04300000000001</v>
      </c>
      <c r="E155" s="159">
        <v>168.309</v>
      </c>
      <c r="F155" s="156"/>
      <c r="G155" s="159">
        <v>153.04300000000001</v>
      </c>
      <c r="H155" s="156"/>
      <c r="I155" s="164">
        <v>112.6</v>
      </c>
      <c r="J155" s="156">
        <v>1</v>
      </c>
      <c r="K155" s="156">
        <v>2004</v>
      </c>
      <c r="L155" s="165">
        <v>17805</v>
      </c>
      <c r="M155" s="164">
        <v>517.69999999999993</v>
      </c>
      <c r="N155" s="164">
        <f t="shared" si="3"/>
        <v>884.17133488181298</v>
      </c>
      <c r="O155" s="165">
        <v>7033</v>
      </c>
      <c r="P155" s="164">
        <v>735.2</v>
      </c>
      <c r="Q155" s="164">
        <f t="shared" si="1"/>
        <v>1255.636015849158</v>
      </c>
      <c r="R155" s="165">
        <v>8913</v>
      </c>
      <c r="S155" s="164">
        <v>178.89999999999998</v>
      </c>
      <c r="T155" s="164">
        <f t="shared" si="2"/>
        <v>305.54037436808255</v>
      </c>
      <c r="U155" s="156"/>
      <c r="V155" s="156"/>
      <c r="W155" s="156"/>
      <c r="X155" s="156"/>
      <c r="Y155" s="156"/>
      <c r="Z155" s="156"/>
      <c r="AA155" s="155"/>
      <c r="AB155" s="155"/>
      <c r="AC155" s="155"/>
      <c r="AD155" s="155"/>
    </row>
    <row r="156" spans="1:30" x14ac:dyDescent="0.25">
      <c r="A156" s="159">
        <v>2</v>
      </c>
      <c r="B156" s="159"/>
      <c r="C156" s="167">
        <f>+E156-E155</f>
        <v>140.26700000000002</v>
      </c>
      <c r="D156" s="159">
        <f>+G156-G155</f>
        <v>125.56799999999998</v>
      </c>
      <c r="E156" s="159">
        <v>308.57600000000002</v>
      </c>
      <c r="F156" s="156"/>
      <c r="G156" s="159">
        <v>278.61099999999999</v>
      </c>
      <c r="H156" s="156"/>
      <c r="I156" s="164">
        <v>113.4</v>
      </c>
      <c r="J156" s="156">
        <v>2</v>
      </c>
      <c r="K156" s="156"/>
      <c r="L156" s="165">
        <v>13855</v>
      </c>
      <c r="M156" s="164">
        <v>344.69999999999993</v>
      </c>
      <c r="N156" s="164">
        <f t="shared" si="3"/>
        <v>584.55433455433354</v>
      </c>
      <c r="O156" s="165">
        <v>6436</v>
      </c>
      <c r="P156" s="164">
        <v>708.3</v>
      </c>
      <c r="Q156" s="164">
        <f t="shared" si="1"/>
        <v>1201.1599511599491</v>
      </c>
      <c r="R156" s="165">
        <v>10802</v>
      </c>
      <c r="S156" s="164">
        <v>228.40000000000003</v>
      </c>
      <c r="T156" s="164">
        <f t="shared" si="2"/>
        <v>387.3287206620534</v>
      </c>
      <c r="U156" s="156"/>
      <c r="V156" s="156"/>
      <c r="W156" s="156"/>
      <c r="X156" s="156"/>
      <c r="Y156" s="156"/>
      <c r="Z156" s="156"/>
      <c r="AA156" s="155"/>
      <c r="AB156" s="155"/>
      <c r="AC156" s="155"/>
      <c r="AD156" s="155"/>
    </row>
    <row r="157" spans="1:30" x14ac:dyDescent="0.25">
      <c r="A157" s="159">
        <v>3</v>
      </c>
      <c r="B157" s="159"/>
      <c r="C157" s="167">
        <f>+E157-E156</f>
        <v>137.76999999999998</v>
      </c>
      <c r="D157" s="159">
        <f>+G157-G156</f>
        <v>123.12100000000004</v>
      </c>
      <c r="E157" s="159">
        <v>446.346</v>
      </c>
      <c r="F157" s="156"/>
      <c r="G157" s="159">
        <v>401.73200000000003</v>
      </c>
      <c r="H157" s="156"/>
      <c r="I157" s="164">
        <v>113</v>
      </c>
      <c r="J157" s="156">
        <v>3</v>
      </c>
      <c r="K157" s="156"/>
      <c r="L157" s="165">
        <v>17630</v>
      </c>
      <c r="M157" s="164">
        <v>454.09999999999991</v>
      </c>
      <c r="N157" s="164">
        <f t="shared" si="3"/>
        <v>772.80462899931786</v>
      </c>
      <c r="O157" s="165">
        <v>11805</v>
      </c>
      <c r="P157" s="164">
        <v>652.69999999999982</v>
      </c>
      <c r="Q157" s="164">
        <f t="shared" si="1"/>
        <v>1110.7896528250492</v>
      </c>
      <c r="R157" s="165">
        <v>11365</v>
      </c>
      <c r="S157" s="164">
        <v>160.7999999999999</v>
      </c>
      <c r="T157" s="164">
        <f t="shared" si="2"/>
        <v>273.65554799183059</v>
      </c>
      <c r="U157" s="156"/>
      <c r="V157" s="156"/>
      <c r="W157" s="156"/>
      <c r="X157" s="156"/>
      <c r="Y157" s="156"/>
      <c r="Z157" s="156"/>
      <c r="AA157" s="155"/>
      <c r="AB157" s="155"/>
      <c r="AC157" s="155"/>
      <c r="AD157" s="155"/>
    </row>
    <row r="158" spans="1:30" x14ac:dyDescent="0.25">
      <c r="A158" s="159">
        <v>4</v>
      </c>
      <c r="B158" s="159"/>
      <c r="C158" s="167">
        <f>+E158-E157</f>
        <v>137.68499999999995</v>
      </c>
      <c r="D158" s="159">
        <f>+G158-G157</f>
        <v>124.50600000000003</v>
      </c>
      <c r="E158" s="159">
        <v>584.03099999999995</v>
      </c>
      <c r="F158" s="156"/>
      <c r="G158" s="159">
        <v>526.23800000000006</v>
      </c>
      <c r="H158" s="156"/>
      <c r="I158" s="164">
        <v>114</v>
      </c>
      <c r="J158" s="156">
        <v>4</v>
      </c>
      <c r="K158" s="156"/>
      <c r="L158" s="165">
        <v>16674</v>
      </c>
      <c r="M158" s="164">
        <v>428.20000000000027</v>
      </c>
      <c r="N158" s="164">
        <f t="shared" si="3"/>
        <v>722.33468286099799</v>
      </c>
      <c r="O158" s="165">
        <v>10088</v>
      </c>
      <c r="P158" s="164">
        <v>709.40000000000055</v>
      </c>
      <c r="Q158" s="164">
        <f t="shared" si="1"/>
        <v>1196.693657219972</v>
      </c>
      <c r="R158" s="165">
        <v>9276</v>
      </c>
      <c r="S158" s="164">
        <v>162.90000000000009</v>
      </c>
      <c r="T158" s="164">
        <f t="shared" si="2"/>
        <v>274.79757085020213</v>
      </c>
      <c r="U158" s="156"/>
      <c r="V158" s="156"/>
      <c r="W158" s="156"/>
      <c r="X158" s="156"/>
      <c r="Y158" s="156"/>
      <c r="Z158" s="156"/>
      <c r="AA158" s="155"/>
      <c r="AB158" s="155"/>
      <c r="AC158" s="155"/>
      <c r="AD158" s="155"/>
    </row>
    <row r="159" spans="1:30" x14ac:dyDescent="0.25">
      <c r="A159" s="159">
        <v>1</v>
      </c>
      <c r="B159" s="159">
        <v>2005</v>
      </c>
      <c r="C159" s="167">
        <f>+E159</f>
        <v>147.31100000000001</v>
      </c>
      <c r="D159" s="159">
        <f>+G159</f>
        <v>133.756</v>
      </c>
      <c r="E159" s="159">
        <v>147.31100000000001</v>
      </c>
      <c r="F159" s="156"/>
      <c r="G159" s="159">
        <v>133.756</v>
      </c>
      <c r="H159" s="156"/>
      <c r="I159" s="164">
        <v>113.7</v>
      </c>
      <c r="J159" s="156">
        <v>1</v>
      </c>
      <c r="K159" s="156">
        <v>2005</v>
      </c>
      <c r="L159" s="165">
        <v>15151</v>
      </c>
      <c r="M159" s="164">
        <v>418</v>
      </c>
      <c r="N159" s="164">
        <f t="shared" si="3"/>
        <v>706.98870171165572</v>
      </c>
      <c r="O159" s="165">
        <v>7287</v>
      </c>
      <c r="P159" s="164">
        <v>715.2</v>
      </c>
      <c r="Q159" s="164">
        <f t="shared" si="1"/>
        <v>1209.6610513497037</v>
      </c>
      <c r="R159" s="165">
        <v>7498</v>
      </c>
      <c r="S159" s="164">
        <v>159.69999999999999</v>
      </c>
      <c r="T159" s="164">
        <f t="shared" si="2"/>
        <v>270.11027670658234</v>
      </c>
      <c r="U159" s="156"/>
      <c r="V159" s="156"/>
      <c r="W159" s="156"/>
      <c r="X159" s="156"/>
      <c r="Y159" s="156"/>
      <c r="Z159" s="156"/>
      <c r="AA159" s="155"/>
      <c r="AB159" s="155"/>
      <c r="AC159" s="155"/>
      <c r="AD159" s="155"/>
    </row>
    <row r="160" spans="1:30" x14ac:dyDescent="0.25">
      <c r="A160" s="159">
        <v>2</v>
      </c>
      <c r="B160" s="159"/>
      <c r="C160" s="167">
        <f>+E160-E159</f>
        <v>143.51699999999997</v>
      </c>
      <c r="D160" s="159">
        <f>+G160-G159</f>
        <v>128.79</v>
      </c>
      <c r="E160" s="159">
        <v>290.82799999999997</v>
      </c>
      <c r="F160" s="156"/>
      <c r="G160" s="159">
        <v>262.54599999999999</v>
      </c>
      <c r="H160" s="156"/>
      <c r="I160" s="164">
        <v>115.2</v>
      </c>
      <c r="J160" s="156">
        <v>2</v>
      </c>
      <c r="K160" s="156"/>
      <c r="L160" s="165">
        <v>14855</v>
      </c>
      <c r="M160" s="164">
        <v>323.20000000000005</v>
      </c>
      <c r="N160" s="164">
        <f t="shared" si="3"/>
        <v>539.52991452991375</v>
      </c>
      <c r="O160" s="165">
        <v>6172</v>
      </c>
      <c r="P160" s="164">
        <v>745.5</v>
      </c>
      <c r="Q160" s="164">
        <f t="shared" si="1"/>
        <v>1244.4911858974338</v>
      </c>
      <c r="R160" s="165">
        <v>11610</v>
      </c>
      <c r="S160" s="164">
        <v>152.50000000000006</v>
      </c>
      <c r="T160" s="164">
        <f t="shared" si="2"/>
        <v>254.57398504273476</v>
      </c>
      <c r="U160" s="156"/>
      <c r="V160" s="156"/>
      <c r="W160" s="156"/>
      <c r="X160" s="156"/>
      <c r="Y160" s="156"/>
      <c r="Z160" s="156"/>
      <c r="AA160" s="155"/>
      <c r="AB160" s="155"/>
      <c r="AC160" s="155"/>
      <c r="AD160" s="155"/>
    </row>
    <row r="161" spans="1:30" x14ac:dyDescent="0.25">
      <c r="A161" s="159">
        <v>3</v>
      </c>
      <c r="B161" s="159"/>
      <c r="C161" s="167">
        <f>+E161-E160</f>
        <v>134.78300000000002</v>
      </c>
      <c r="D161" s="159">
        <f>+G161-G160</f>
        <v>120.57100000000003</v>
      </c>
      <c r="E161" s="159">
        <v>425.61099999999999</v>
      </c>
      <c r="F161" s="156"/>
      <c r="G161" s="159">
        <v>383.11700000000002</v>
      </c>
      <c r="H161" s="156"/>
      <c r="I161" s="164">
        <v>115.1</v>
      </c>
      <c r="J161" s="156">
        <v>3</v>
      </c>
      <c r="K161" s="156"/>
      <c r="L161" s="165">
        <v>13014</v>
      </c>
      <c r="M161" s="164">
        <v>448.29999999999995</v>
      </c>
      <c r="N161" s="164">
        <f t="shared" si="3"/>
        <v>749.01423511327812</v>
      </c>
      <c r="O161" s="165">
        <v>6734</v>
      </c>
      <c r="P161" s="164">
        <v>832.10000000000014</v>
      </c>
      <c r="Q161" s="164">
        <f t="shared" si="1"/>
        <v>1390.2626478647312</v>
      </c>
      <c r="R161" s="165">
        <v>8742</v>
      </c>
      <c r="S161" s="164">
        <v>152.99999999999994</v>
      </c>
      <c r="T161" s="164">
        <f t="shared" si="2"/>
        <v>255.63055536991195</v>
      </c>
      <c r="U161" s="156"/>
      <c r="V161" s="156"/>
      <c r="W161" s="156"/>
      <c r="X161" s="156"/>
      <c r="Y161" s="156"/>
      <c r="Z161" s="156"/>
      <c r="AA161" s="155"/>
      <c r="AB161" s="155"/>
      <c r="AC161" s="155"/>
      <c r="AD161" s="155"/>
    </row>
    <row r="162" spans="1:30" x14ac:dyDescent="0.25">
      <c r="A162" s="159">
        <v>4</v>
      </c>
      <c r="B162" s="159"/>
      <c r="C162" s="167">
        <f>+E162-E161</f>
        <v>137.37</v>
      </c>
      <c r="D162" s="159">
        <f>+G162-G161</f>
        <v>124.38200000000001</v>
      </c>
      <c r="E162" s="159">
        <v>562.98099999999999</v>
      </c>
      <c r="F162" s="156"/>
      <c r="G162" s="159">
        <v>507.49900000000002</v>
      </c>
      <c r="H162" s="156"/>
      <c r="I162" s="164">
        <v>116</v>
      </c>
      <c r="J162" s="156">
        <v>4</v>
      </c>
      <c r="K162" s="156"/>
      <c r="L162" s="165">
        <v>22745</v>
      </c>
      <c r="M162" s="164">
        <v>478.79999999999995</v>
      </c>
      <c r="N162" s="164">
        <f t="shared" si="3"/>
        <v>793.76657824933557</v>
      </c>
      <c r="O162" s="165">
        <v>8144</v>
      </c>
      <c r="P162" s="164">
        <v>795.79999999999973</v>
      </c>
      <c r="Q162" s="164">
        <f t="shared" si="1"/>
        <v>1319.2970822281143</v>
      </c>
      <c r="R162" s="165">
        <v>11407</v>
      </c>
      <c r="S162" s="164">
        <v>142.00000000000006</v>
      </c>
      <c r="T162" s="164">
        <f t="shared" si="2"/>
        <v>235.41114058355413</v>
      </c>
      <c r="U162" s="156"/>
      <c r="V162" s="156"/>
      <c r="W162" s="156"/>
      <c r="X162" s="156"/>
      <c r="Y162" s="156"/>
      <c r="Z162" s="156"/>
      <c r="AA162" s="155"/>
      <c r="AB162" s="155"/>
      <c r="AC162" s="155"/>
      <c r="AD162" s="155"/>
    </row>
    <row r="163" spans="1:30" x14ac:dyDescent="0.25">
      <c r="A163" s="159">
        <v>1</v>
      </c>
      <c r="B163" s="159">
        <v>2006</v>
      </c>
      <c r="C163" s="167">
        <f>+E163</f>
        <v>155.21299999999999</v>
      </c>
      <c r="D163" s="159">
        <f>+G163</f>
        <v>139.72800000000001</v>
      </c>
      <c r="E163" s="159">
        <v>155.21299999999999</v>
      </c>
      <c r="F163" s="156"/>
      <c r="G163" s="159">
        <v>139.72800000000001</v>
      </c>
      <c r="H163" s="156"/>
      <c r="I163" s="164">
        <v>116.6</v>
      </c>
      <c r="J163" s="156">
        <v>1</v>
      </c>
      <c r="K163" s="156">
        <v>2006</v>
      </c>
      <c r="L163" s="165">
        <v>18196</v>
      </c>
      <c r="M163" s="164">
        <v>585</v>
      </c>
      <c r="N163" s="164">
        <f t="shared" si="3"/>
        <v>964.8370497427087</v>
      </c>
      <c r="O163" s="165">
        <v>6106</v>
      </c>
      <c r="P163" s="164">
        <v>947.2</v>
      </c>
      <c r="Q163" s="164">
        <f t="shared" si="1"/>
        <v>1562.2113735321261</v>
      </c>
      <c r="R163" s="165">
        <v>7106</v>
      </c>
      <c r="S163" s="164">
        <v>150.6</v>
      </c>
      <c r="T163" s="164">
        <f t="shared" si="2"/>
        <v>248.3836917799178</v>
      </c>
      <c r="U163" s="156"/>
      <c r="V163" s="156"/>
      <c r="W163" s="156"/>
      <c r="X163" s="156"/>
      <c r="Y163" s="156"/>
      <c r="Z163" s="156"/>
      <c r="AA163" s="155"/>
      <c r="AB163" s="155"/>
      <c r="AC163" s="155"/>
      <c r="AD163" s="155"/>
    </row>
    <row r="164" spans="1:30" x14ac:dyDescent="0.25">
      <c r="A164" s="159">
        <v>2</v>
      </c>
      <c r="B164" s="159"/>
      <c r="C164" s="167">
        <f>+E164-E163</f>
        <v>147.44399999999999</v>
      </c>
      <c r="D164" s="159">
        <f>+G164-G163</f>
        <v>129.572</v>
      </c>
      <c r="E164" s="159">
        <v>302.65699999999998</v>
      </c>
      <c r="F164" s="156"/>
      <c r="G164" s="159">
        <v>269.3</v>
      </c>
      <c r="H164" s="156"/>
      <c r="I164" s="164">
        <v>117.9</v>
      </c>
      <c r="J164" s="156">
        <v>2</v>
      </c>
      <c r="K164" s="156"/>
      <c r="L164" s="165">
        <v>13943</v>
      </c>
      <c r="M164" s="164">
        <v>433.79999999999995</v>
      </c>
      <c r="N164" s="164">
        <f t="shared" si="3"/>
        <v>707.57486788021015</v>
      </c>
      <c r="O164" s="165">
        <v>5246</v>
      </c>
      <c r="P164" s="164">
        <v>811.2</v>
      </c>
      <c r="Q164" s="164">
        <f t="shared" si="1"/>
        <v>1323.1552162849853</v>
      </c>
      <c r="R164" s="165">
        <v>9193</v>
      </c>
      <c r="S164" s="164">
        <v>176.1</v>
      </c>
      <c r="T164" s="164">
        <f t="shared" si="2"/>
        <v>287.23820708553484</v>
      </c>
      <c r="U164" s="156"/>
      <c r="V164" s="156"/>
      <c r="W164" s="156"/>
      <c r="X164" s="156"/>
      <c r="Y164" s="156"/>
      <c r="Z164" s="156"/>
      <c r="AA164" s="155"/>
      <c r="AB164" s="155"/>
      <c r="AC164" s="155"/>
      <c r="AD164" s="155"/>
    </row>
    <row r="165" spans="1:30" x14ac:dyDescent="0.25">
      <c r="A165" s="159">
        <v>3</v>
      </c>
      <c r="B165" s="159"/>
      <c r="C165" s="167">
        <f>+E165-E164</f>
        <v>143.45100000000002</v>
      </c>
      <c r="D165" s="159">
        <f>+G165-G164</f>
        <v>126.00599999999997</v>
      </c>
      <c r="E165" s="159">
        <v>446.108</v>
      </c>
      <c r="F165" s="156"/>
      <c r="G165" s="159">
        <v>395.30599999999998</v>
      </c>
      <c r="H165" s="156"/>
      <c r="I165" s="168">
        <v>117.3</v>
      </c>
      <c r="J165" s="156">
        <v>3</v>
      </c>
      <c r="K165" s="156"/>
      <c r="L165" s="165">
        <v>13690</v>
      </c>
      <c r="M165" s="164">
        <v>496.59999999999991</v>
      </c>
      <c r="N165" s="164">
        <f t="shared" si="3"/>
        <v>814.15174765558254</v>
      </c>
      <c r="O165" s="165">
        <v>9450</v>
      </c>
      <c r="P165" s="164">
        <v>855.90000000000009</v>
      </c>
      <c r="Q165" s="164">
        <f t="shared" si="1"/>
        <v>1403.2067676568936</v>
      </c>
      <c r="R165" s="165">
        <v>10840</v>
      </c>
      <c r="S165" s="164">
        <v>167.10000000000002</v>
      </c>
      <c r="T165" s="164">
        <f t="shared" si="2"/>
        <v>273.95239032067639</v>
      </c>
      <c r="U165" s="156"/>
      <c r="V165" s="156"/>
      <c r="W165" s="156"/>
      <c r="X165" s="156"/>
      <c r="Y165" s="156"/>
      <c r="Z165" s="156"/>
      <c r="AA165" s="155"/>
      <c r="AB165" s="155"/>
      <c r="AC165" s="155"/>
      <c r="AD165" s="155"/>
    </row>
    <row r="166" spans="1:30" x14ac:dyDescent="0.25">
      <c r="A166" s="159">
        <v>4</v>
      </c>
      <c r="B166" s="159"/>
      <c r="C166" s="167">
        <f>+E166-E165</f>
        <v>148.56090999999998</v>
      </c>
      <c r="D166" s="159">
        <f>+G166-G165</f>
        <v>131.19532799999996</v>
      </c>
      <c r="E166" s="159">
        <v>594.66890999999998</v>
      </c>
      <c r="F166" s="156"/>
      <c r="G166" s="159">
        <v>526.50132799999994</v>
      </c>
      <c r="H166" s="156"/>
      <c r="I166" s="168">
        <v>119</v>
      </c>
      <c r="J166" s="156">
        <v>4</v>
      </c>
      <c r="K166" s="156"/>
      <c r="L166" s="165">
        <v>16682</v>
      </c>
      <c r="M166" s="164">
        <v>525.60000000000014</v>
      </c>
      <c r="N166" s="164">
        <f t="shared" si="3"/>
        <v>849.38590820943648</v>
      </c>
      <c r="O166" s="165">
        <v>10233</v>
      </c>
      <c r="P166" s="164">
        <v>826</v>
      </c>
      <c r="Q166" s="164">
        <f t="shared" si="1"/>
        <v>1334.841628959274</v>
      </c>
      <c r="R166" s="165">
        <v>9520</v>
      </c>
      <c r="S166" s="164">
        <v>144.09999999999997</v>
      </c>
      <c r="T166" s="164">
        <f t="shared" si="2"/>
        <v>232.87007110536481</v>
      </c>
      <c r="U166" s="156"/>
      <c r="V166" s="156"/>
      <c r="W166" s="156"/>
      <c r="X166" s="156"/>
      <c r="Y166" s="156"/>
      <c r="Z166" s="156"/>
      <c r="AA166" s="155"/>
      <c r="AB166" s="155"/>
      <c r="AC166" s="155"/>
      <c r="AD166" s="155"/>
    </row>
    <row r="167" spans="1:30" x14ac:dyDescent="0.25">
      <c r="A167" s="159">
        <v>1</v>
      </c>
      <c r="B167" s="159">
        <v>2007</v>
      </c>
      <c r="C167" s="167">
        <f>+E167</f>
        <v>158.09976</v>
      </c>
      <c r="D167" s="159">
        <f>+G167</f>
        <v>141.08400800000001</v>
      </c>
      <c r="E167" s="159">
        <v>158.09976</v>
      </c>
      <c r="F167" s="156"/>
      <c r="G167" s="159">
        <v>141.08400800000001</v>
      </c>
      <c r="H167" s="156"/>
      <c r="I167" s="168">
        <v>117.5</v>
      </c>
      <c r="J167" s="156">
        <v>1</v>
      </c>
      <c r="K167" s="156">
        <v>2007</v>
      </c>
      <c r="L167" s="165">
        <v>18623</v>
      </c>
      <c r="M167" s="164">
        <v>649.6</v>
      </c>
      <c r="N167" s="164">
        <f t="shared" si="3"/>
        <v>1063.175122749589</v>
      </c>
      <c r="O167" s="165">
        <v>7737</v>
      </c>
      <c r="P167" s="164">
        <v>1092.1999999999998</v>
      </c>
      <c r="Q167" s="164">
        <f t="shared" si="1"/>
        <v>1787.5613747954144</v>
      </c>
      <c r="R167" s="165">
        <v>8112</v>
      </c>
      <c r="S167" s="164">
        <v>167.4</v>
      </c>
      <c r="T167" s="164">
        <f t="shared" si="2"/>
        <v>273.97708674304374</v>
      </c>
      <c r="U167" s="156"/>
      <c r="V167" s="156"/>
      <c r="W167" s="156"/>
      <c r="X167" s="156"/>
      <c r="Y167" s="156"/>
      <c r="Z167" s="156"/>
      <c r="AA167" s="155"/>
      <c r="AB167" s="155"/>
      <c r="AC167" s="155"/>
      <c r="AD167" s="155"/>
    </row>
    <row r="168" spans="1:30" x14ac:dyDescent="0.25">
      <c r="A168" s="159">
        <v>2</v>
      </c>
      <c r="B168" s="159"/>
      <c r="C168" s="167">
        <f>+E168-E167</f>
        <v>161.61276000000004</v>
      </c>
      <c r="D168" s="159">
        <f>+G168-G167</f>
        <v>142.897008</v>
      </c>
      <c r="E168" s="159">
        <v>319.71252000000004</v>
      </c>
      <c r="F168" s="156"/>
      <c r="G168" s="159">
        <v>283.98101600000001</v>
      </c>
      <c r="H168" s="156"/>
      <c r="I168" s="168">
        <v>118.3</v>
      </c>
      <c r="J168" s="156">
        <v>2</v>
      </c>
      <c r="K168" s="156"/>
      <c r="L168" s="165">
        <v>15831</v>
      </c>
      <c r="M168" s="164">
        <v>514.19999999999993</v>
      </c>
      <c r="N168" s="164">
        <f t="shared" si="3"/>
        <v>835.88009623512448</v>
      </c>
      <c r="O168" s="165">
        <v>5067</v>
      </c>
      <c r="P168" s="164">
        <v>1041.6999999999998</v>
      </c>
      <c r="Q168" s="164">
        <f t="shared" ref="Q168:Q231" si="4">P168/I168*$I$69</f>
        <v>1693.3805839131255</v>
      </c>
      <c r="R168" s="165">
        <v>10608</v>
      </c>
      <c r="S168" s="164">
        <v>160.99999999999997</v>
      </c>
      <c r="T168" s="164">
        <f t="shared" ref="T168:T231" si="5">S168/I168*$I$69</f>
        <v>261.72052799271688</v>
      </c>
      <c r="U168" s="156"/>
      <c r="V168" s="156"/>
      <c r="W168" s="156"/>
      <c r="X168" s="156"/>
      <c r="Y168" s="156"/>
      <c r="Z168" s="156"/>
      <c r="AA168" s="155"/>
      <c r="AB168" s="155"/>
      <c r="AC168" s="155"/>
      <c r="AD168" s="155"/>
    </row>
    <row r="169" spans="1:30" x14ac:dyDescent="0.25">
      <c r="A169" s="159">
        <v>3</v>
      </c>
      <c r="B169" s="159"/>
      <c r="C169" s="167">
        <f>+E169-E168</f>
        <v>135.82058024999998</v>
      </c>
      <c r="D169" s="159">
        <f>+G169-G168</f>
        <v>119.75308425000003</v>
      </c>
      <c r="E169" s="159">
        <v>455.53310025000002</v>
      </c>
      <c r="F169" s="156"/>
      <c r="G169" s="159">
        <v>403.73410025000004</v>
      </c>
      <c r="H169" s="156"/>
      <c r="I169" s="168">
        <v>117.8</v>
      </c>
      <c r="J169" s="156">
        <v>3</v>
      </c>
      <c r="K169" s="156"/>
      <c r="L169" s="165">
        <v>18428</v>
      </c>
      <c r="M169" s="164">
        <v>654.20000000000027</v>
      </c>
      <c r="N169" s="164">
        <f t="shared" si="3"/>
        <v>1067.977014496538</v>
      </c>
      <c r="O169" s="165">
        <v>6417</v>
      </c>
      <c r="P169" s="164">
        <v>679.60000000000036</v>
      </c>
      <c r="Q169" s="164">
        <f t="shared" si="4"/>
        <v>1109.4423403421695</v>
      </c>
      <c r="R169" s="165">
        <v>10319</v>
      </c>
      <c r="S169" s="164">
        <v>152.89999999999998</v>
      </c>
      <c r="T169" s="164">
        <f t="shared" si="5"/>
        <v>249.60820164555264</v>
      </c>
      <c r="U169" s="156"/>
      <c r="V169" s="156"/>
      <c r="W169" s="156"/>
      <c r="X169" s="156"/>
      <c r="Y169" s="156"/>
      <c r="Z169" s="156"/>
      <c r="AA169" s="155"/>
      <c r="AB169" s="155"/>
      <c r="AC169" s="155"/>
      <c r="AD169" s="155"/>
    </row>
    <row r="170" spans="1:30" x14ac:dyDescent="0.25">
      <c r="A170" s="159">
        <v>4</v>
      </c>
      <c r="B170" s="159"/>
      <c r="C170" s="167">
        <f>+E170-E169</f>
        <v>149.79139924999998</v>
      </c>
      <c r="D170" s="159">
        <f>+G170-G169</f>
        <v>133.49839924999998</v>
      </c>
      <c r="E170" s="159">
        <v>605.3244995</v>
      </c>
      <c r="F170" s="156"/>
      <c r="G170" s="159">
        <v>537.23249950000002</v>
      </c>
      <c r="H170" s="156"/>
      <c r="I170" s="168">
        <v>120.8</v>
      </c>
      <c r="J170" s="156">
        <v>4</v>
      </c>
      <c r="K170" s="156"/>
      <c r="L170" s="165">
        <v>15870</v>
      </c>
      <c r="M170" s="164">
        <v>567.19999999999959</v>
      </c>
      <c r="N170" s="164">
        <f t="shared" si="3"/>
        <v>902.95466123280494</v>
      </c>
      <c r="O170" s="165">
        <v>5114</v>
      </c>
      <c r="P170" s="164">
        <v>911.69999999999982</v>
      </c>
      <c r="Q170" s="164">
        <f t="shared" si="4"/>
        <v>1451.3818135506851</v>
      </c>
      <c r="R170" s="165">
        <v>8645</v>
      </c>
      <c r="S170" s="164">
        <v>142.80000000000007</v>
      </c>
      <c r="T170" s="164">
        <f t="shared" si="5"/>
        <v>227.33061640346384</v>
      </c>
      <c r="U170" s="156"/>
      <c r="V170" s="156"/>
      <c r="W170" s="156"/>
      <c r="X170" s="156"/>
      <c r="Y170" s="156"/>
      <c r="Z170" s="156"/>
      <c r="AA170" s="155"/>
      <c r="AB170" s="155"/>
      <c r="AC170" s="155"/>
      <c r="AD170" s="155"/>
    </row>
    <row r="171" spans="1:30" x14ac:dyDescent="0.25">
      <c r="A171" s="159">
        <v>1</v>
      </c>
      <c r="B171" s="159">
        <v>2008</v>
      </c>
      <c r="C171" s="167">
        <f>+E171</f>
        <v>164.64169099999998</v>
      </c>
      <c r="D171" s="159">
        <f>+G171</f>
        <v>148.61369099999999</v>
      </c>
      <c r="E171" s="159">
        <v>164.64169099999998</v>
      </c>
      <c r="F171" s="156"/>
      <c r="G171" s="159">
        <v>148.61369099999999</v>
      </c>
      <c r="H171" s="156"/>
      <c r="I171" s="168">
        <v>121.9</v>
      </c>
      <c r="J171" s="156">
        <v>1</v>
      </c>
      <c r="K171" s="156">
        <v>2008</v>
      </c>
      <c r="L171" s="165">
        <v>17004</v>
      </c>
      <c r="M171" s="164">
        <v>591.9</v>
      </c>
      <c r="N171" s="164">
        <f t="shared" si="3"/>
        <v>933.77295387139361</v>
      </c>
      <c r="O171" s="165">
        <v>6274</v>
      </c>
      <c r="P171" s="164">
        <v>963.6</v>
      </c>
      <c r="Q171" s="164">
        <f t="shared" si="4"/>
        <v>1520.1615447718789</v>
      </c>
      <c r="R171" s="165">
        <v>7939</v>
      </c>
      <c r="S171" s="164">
        <v>160.1</v>
      </c>
      <c r="T171" s="164">
        <f t="shared" si="5"/>
        <v>252.57146463052902</v>
      </c>
      <c r="U171" s="156"/>
      <c r="V171" s="156"/>
      <c r="W171" s="156"/>
      <c r="X171" s="156"/>
      <c r="Y171" s="156"/>
      <c r="Z171" s="156"/>
      <c r="AA171" s="155"/>
      <c r="AB171" s="155"/>
      <c r="AC171" s="155"/>
      <c r="AD171" s="155"/>
    </row>
    <row r="172" spans="1:30" x14ac:dyDescent="0.25">
      <c r="A172" s="159">
        <v>2</v>
      </c>
      <c r="B172" s="159"/>
      <c r="C172" s="167">
        <f>+E172-E171</f>
        <v>197.28657850000002</v>
      </c>
      <c r="D172" s="159">
        <f>+G172-G171</f>
        <v>175.71357850000001</v>
      </c>
      <c r="E172" s="159">
        <v>361.9282695</v>
      </c>
      <c r="F172" s="156"/>
      <c r="G172" s="159">
        <v>324.3272695</v>
      </c>
      <c r="H172" s="156"/>
      <c r="I172" s="168">
        <v>122</v>
      </c>
      <c r="J172" s="156">
        <v>2</v>
      </c>
      <c r="K172" s="156"/>
      <c r="L172" s="165">
        <v>14987</v>
      </c>
      <c r="M172" s="164">
        <v>548.4</v>
      </c>
      <c r="N172" s="164">
        <f t="shared" ref="N172:N193" si="6">M172/I172*$I$69</f>
        <v>864.43883984867455</v>
      </c>
      <c r="O172" s="165">
        <v>5831</v>
      </c>
      <c r="P172" s="164">
        <v>1153.8000000000002</v>
      </c>
      <c r="Q172" s="164">
        <f t="shared" si="4"/>
        <v>1818.726355611599</v>
      </c>
      <c r="R172" s="165">
        <v>10207</v>
      </c>
      <c r="S172" s="164">
        <v>188.4</v>
      </c>
      <c r="T172" s="164">
        <f t="shared" si="5"/>
        <v>296.97351828499325</v>
      </c>
      <c r="U172" s="156"/>
      <c r="V172" s="156"/>
      <c r="W172" s="156"/>
      <c r="X172" s="156"/>
      <c r="Y172" s="156"/>
      <c r="Z172" s="156"/>
      <c r="AA172" s="155"/>
      <c r="AB172" s="155"/>
      <c r="AC172" s="155"/>
      <c r="AD172" s="155"/>
    </row>
    <row r="173" spans="1:30" x14ac:dyDescent="0.25">
      <c r="A173" s="159">
        <v>3</v>
      </c>
      <c r="B173" s="159"/>
      <c r="C173" s="167">
        <f>+E173-E172</f>
        <v>159.71767174999997</v>
      </c>
      <c r="D173" s="159">
        <f>+G173-G172</f>
        <v>141.40667174999999</v>
      </c>
      <c r="E173" s="159">
        <v>521.64594124999996</v>
      </c>
      <c r="F173" s="156"/>
      <c r="G173" s="159">
        <v>465.73394124999999</v>
      </c>
      <c r="H173" s="156"/>
      <c r="I173" s="168">
        <v>123.1</v>
      </c>
      <c r="J173" s="156">
        <v>3</v>
      </c>
      <c r="K173" s="156"/>
      <c r="L173" s="165">
        <v>19290</v>
      </c>
      <c r="M173" s="164">
        <v>722.70000000000027</v>
      </c>
      <c r="N173" s="164">
        <f t="shared" si="6"/>
        <v>1129.0070611760282</v>
      </c>
      <c r="O173" s="165">
        <v>12252</v>
      </c>
      <c r="P173" s="164">
        <v>1486.4999999999995</v>
      </c>
      <c r="Q173" s="164">
        <f t="shared" si="4"/>
        <v>2322.2208335936971</v>
      </c>
      <c r="R173" s="165">
        <v>11007</v>
      </c>
      <c r="S173" s="164">
        <v>186.29999999999995</v>
      </c>
      <c r="T173" s="164">
        <f t="shared" si="5"/>
        <v>291.03918015372068</v>
      </c>
      <c r="U173" s="156"/>
      <c r="V173" s="156"/>
      <c r="W173" s="156"/>
      <c r="X173" s="156"/>
      <c r="Y173" s="156"/>
      <c r="Z173" s="156"/>
      <c r="AA173" s="155"/>
      <c r="AB173" s="155"/>
      <c r="AC173" s="155"/>
      <c r="AD173" s="155"/>
    </row>
    <row r="174" spans="1:30" x14ac:dyDescent="0.25">
      <c r="A174" s="159">
        <v>4</v>
      </c>
      <c r="B174" s="159"/>
      <c r="C174" s="167">
        <f>+E174-E173</f>
        <v>170.05706974999998</v>
      </c>
      <c r="D174" s="159">
        <f>+G174-G173</f>
        <v>152.54014889999991</v>
      </c>
      <c r="E174" s="159">
        <v>691.70301099999995</v>
      </c>
      <c r="F174" s="156"/>
      <c r="G174" s="159">
        <v>618.27409014999989</v>
      </c>
      <c r="H174" s="156"/>
      <c r="I174" s="164">
        <v>124.7</v>
      </c>
      <c r="J174" s="156">
        <v>4</v>
      </c>
      <c r="K174" s="156"/>
      <c r="L174" s="165">
        <v>16976</v>
      </c>
      <c r="M174" s="164">
        <v>703.10000000000014</v>
      </c>
      <c r="N174" s="164">
        <f t="shared" si="6"/>
        <v>1084.294614767749</v>
      </c>
      <c r="O174" s="165">
        <v>7247</v>
      </c>
      <c r="P174" s="164">
        <v>1160</v>
      </c>
      <c r="Q174" s="164">
        <f t="shared" si="4"/>
        <v>1788.9087656529491</v>
      </c>
      <c r="R174" s="165">
        <v>10145</v>
      </c>
      <c r="S174" s="164">
        <v>269.60000000000014</v>
      </c>
      <c r="T174" s="164">
        <f t="shared" si="5"/>
        <v>415.76707174140972</v>
      </c>
      <c r="U174" s="156"/>
      <c r="V174" s="156"/>
      <c r="W174" s="156"/>
      <c r="X174" s="156"/>
      <c r="Y174" s="156"/>
      <c r="Z174" s="156"/>
      <c r="AA174" s="155"/>
      <c r="AB174" s="155"/>
      <c r="AC174" s="155"/>
      <c r="AD174" s="155"/>
    </row>
    <row r="175" spans="1:30" x14ac:dyDescent="0.25">
      <c r="A175" s="159">
        <v>1</v>
      </c>
      <c r="B175" s="159">
        <v>2009</v>
      </c>
      <c r="C175" s="167">
        <f>+E175</f>
        <v>191.37959499999999</v>
      </c>
      <c r="D175" s="159">
        <f>+G175</f>
        <v>172.55938714999999</v>
      </c>
      <c r="E175" s="159">
        <v>191.37959499999999</v>
      </c>
      <c r="F175" s="156"/>
      <c r="G175" s="159">
        <v>172.55938714999999</v>
      </c>
      <c r="H175" s="156"/>
      <c r="I175" s="164">
        <v>125</v>
      </c>
      <c r="J175" s="156">
        <v>1</v>
      </c>
      <c r="K175" s="156">
        <v>2009</v>
      </c>
      <c r="L175" s="165">
        <v>18865</v>
      </c>
      <c r="M175" s="164">
        <v>739.59999999999991</v>
      </c>
      <c r="N175" s="164">
        <f t="shared" si="6"/>
        <v>1137.846153846152</v>
      </c>
      <c r="O175" s="165">
        <v>6194</v>
      </c>
      <c r="P175" s="164">
        <v>1049.9000000000001</v>
      </c>
      <c r="Q175" s="164">
        <f t="shared" si="4"/>
        <v>1615.2307692307668</v>
      </c>
      <c r="R175" s="165">
        <v>8619</v>
      </c>
      <c r="S175" s="164">
        <v>213.2</v>
      </c>
      <c r="T175" s="164">
        <f t="shared" si="5"/>
        <v>327.99999999999949</v>
      </c>
      <c r="U175" s="156"/>
      <c r="V175" s="156"/>
      <c r="W175" s="156"/>
      <c r="X175" s="156"/>
      <c r="Y175" s="156"/>
      <c r="Z175" s="156"/>
      <c r="AA175" s="155"/>
      <c r="AB175" s="155"/>
      <c r="AC175" s="155"/>
      <c r="AD175" s="155"/>
    </row>
    <row r="176" spans="1:30" x14ac:dyDescent="0.25">
      <c r="A176" s="159">
        <v>2</v>
      </c>
      <c r="B176" s="159"/>
      <c r="C176" s="167">
        <f>+E176-E175</f>
        <v>178.90604250000001</v>
      </c>
      <c r="D176" s="159">
        <f>+G176-G175</f>
        <v>160.765232725</v>
      </c>
      <c r="E176" s="159">
        <v>370.28563750000001</v>
      </c>
      <c r="F176" s="156"/>
      <c r="G176" s="159">
        <v>333.324619875</v>
      </c>
      <c r="H176" s="156"/>
      <c r="I176" s="164">
        <v>125.7</v>
      </c>
      <c r="J176" s="156">
        <v>2</v>
      </c>
      <c r="K176" s="156"/>
      <c r="L176" s="165">
        <v>14610</v>
      </c>
      <c r="M176" s="164">
        <v>603.80000000000018</v>
      </c>
      <c r="N176" s="164">
        <f t="shared" si="6"/>
        <v>923.75007649470535</v>
      </c>
      <c r="O176" s="165">
        <v>5486</v>
      </c>
      <c r="P176" s="164">
        <v>1077.9000000000001</v>
      </c>
      <c r="Q176" s="164">
        <f t="shared" si="4"/>
        <v>1649.0728841564139</v>
      </c>
      <c r="R176" s="165">
        <v>11296</v>
      </c>
      <c r="S176" s="164">
        <v>235.3</v>
      </c>
      <c r="T176" s="164">
        <f t="shared" si="5"/>
        <v>359.98408910103365</v>
      </c>
      <c r="U176" s="156"/>
      <c r="V176" s="156"/>
      <c r="W176" s="156"/>
      <c r="X176" s="156"/>
      <c r="Y176" s="156"/>
      <c r="Z176" s="156"/>
      <c r="AA176" s="155"/>
      <c r="AB176" s="155"/>
      <c r="AC176" s="155"/>
      <c r="AD176" s="155"/>
    </row>
    <row r="177" spans="1:30" x14ac:dyDescent="0.25">
      <c r="A177" s="159">
        <v>3</v>
      </c>
      <c r="B177" s="159"/>
      <c r="C177" s="167">
        <f>+E177-E176</f>
        <v>160.23377500000004</v>
      </c>
      <c r="D177" s="159">
        <f>+G177-G176</f>
        <v>142.31202375000004</v>
      </c>
      <c r="E177" s="159">
        <v>530.51941250000004</v>
      </c>
      <c r="F177" s="156"/>
      <c r="G177" s="159">
        <v>475.63664362500003</v>
      </c>
      <c r="H177" s="156"/>
      <c r="I177" s="164">
        <v>125.4</v>
      </c>
      <c r="J177" s="156">
        <v>3</v>
      </c>
      <c r="K177" s="156"/>
      <c r="L177" s="165">
        <v>19220</v>
      </c>
      <c r="M177" s="164">
        <v>795.69999999999982</v>
      </c>
      <c r="N177" s="164">
        <f t="shared" si="6"/>
        <v>1220.2490491964154</v>
      </c>
      <c r="O177" s="165">
        <v>13278</v>
      </c>
      <c r="P177" s="164">
        <v>1278.0999999999999</v>
      </c>
      <c r="Q177" s="164">
        <f t="shared" si="4"/>
        <v>1960.0355784566277</v>
      </c>
      <c r="R177" s="165">
        <v>11383</v>
      </c>
      <c r="S177" s="164">
        <v>231.79999999999995</v>
      </c>
      <c r="T177" s="164">
        <f t="shared" si="5"/>
        <v>355.4778554778548</v>
      </c>
      <c r="U177" s="156"/>
      <c r="V177" s="156"/>
      <c r="W177" s="156"/>
      <c r="X177" s="156"/>
      <c r="Y177" s="156"/>
      <c r="Z177" s="156"/>
      <c r="AA177" s="155"/>
      <c r="AB177" s="155"/>
      <c r="AC177" s="155"/>
      <c r="AD177" s="155"/>
    </row>
    <row r="178" spans="1:30" x14ac:dyDescent="0.25">
      <c r="A178" s="159">
        <v>4</v>
      </c>
      <c r="B178" s="159"/>
      <c r="C178" s="167">
        <f>+E178-E177</f>
        <v>179.8571388695641</v>
      </c>
      <c r="D178" s="159">
        <f>+G178-G177</f>
        <v>163.53199924456408</v>
      </c>
      <c r="E178" s="159">
        <v>710.37655136956414</v>
      </c>
      <c r="F178" s="156"/>
      <c r="G178" s="159">
        <v>639.16864286956411</v>
      </c>
      <c r="H178" s="156"/>
      <c r="I178" s="164">
        <v>126.6</v>
      </c>
      <c r="J178" s="156">
        <v>4</v>
      </c>
      <c r="K178" s="156"/>
      <c r="L178" s="165">
        <v>16838</v>
      </c>
      <c r="M178" s="164">
        <v>759.30000000000018</v>
      </c>
      <c r="N178" s="164">
        <f t="shared" si="6"/>
        <v>1153.3904484141435</v>
      </c>
      <c r="O178" s="165">
        <v>6227</v>
      </c>
      <c r="P178" s="164">
        <v>1192.2000000000003</v>
      </c>
      <c r="Q178" s="164">
        <f t="shared" si="4"/>
        <v>1810.9733868027686</v>
      </c>
      <c r="R178" s="165">
        <v>10409</v>
      </c>
      <c r="S178" s="164">
        <v>276.40000000000009</v>
      </c>
      <c r="T178" s="164">
        <f t="shared" si="5"/>
        <v>419.85660469072741</v>
      </c>
      <c r="U178" s="156"/>
      <c r="V178" s="156"/>
      <c r="W178" s="156"/>
      <c r="X178" s="156"/>
      <c r="Y178" s="156"/>
      <c r="Z178" s="156"/>
      <c r="AA178" s="155"/>
      <c r="AB178" s="155"/>
      <c r="AC178" s="155"/>
      <c r="AD178" s="155"/>
    </row>
    <row r="179" spans="1:30" x14ac:dyDescent="0.25">
      <c r="A179" s="159">
        <v>1</v>
      </c>
      <c r="B179" s="159">
        <v>2010</v>
      </c>
      <c r="C179" s="167">
        <f>+E179</f>
        <v>204.63648875000001</v>
      </c>
      <c r="D179" s="159">
        <f>+G179</f>
        <v>186.506571025</v>
      </c>
      <c r="E179" s="159">
        <v>204.63648875000001</v>
      </c>
      <c r="F179" s="156"/>
      <c r="G179" s="159">
        <v>186.506571025</v>
      </c>
      <c r="H179" s="156"/>
      <c r="I179" s="164">
        <v>128.69999999999999</v>
      </c>
      <c r="J179" s="156">
        <v>1</v>
      </c>
      <c r="K179" s="156">
        <v>2010</v>
      </c>
      <c r="L179" s="165">
        <v>40484.70904761905</v>
      </c>
      <c r="M179" s="164">
        <v>1693.2251146266974</v>
      </c>
      <c r="N179" s="164">
        <f t="shared" si="6"/>
        <v>2530.0715955810992</v>
      </c>
      <c r="O179" s="165">
        <v>6690</v>
      </c>
      <c r="P179" s="164">
        <v>1648.5</v>
      </c>
      <c r="Q179" s="164">
        <f t="shared" si="4"/>
        <v>2463.2418863188059</v>
      </c>
      <c r="R179" s="165">
        <v>7227</v>
      </c>
      <c r="S179" s="164">
        <v>243.10000000000002</v>
      </c>
      <c r="T179" s="164">
        <f t="shared" si="5"/>
        <v>363.24786324786277</v>
      </c>
      <c r="U179" s="156"/>
      <c r="V179" s="156"/>
      <c r="W179" s="156"/>
      <c r="X179" s="156"/>
      <c r="Y179" s="156"/>
      <c r="Z179" s="156"/>
      <c r="AA179" s="155"/>
      <c r="AB179" s="155"/>
      <c r="AC179" s="155"/>
      <c r="AD179" s="155"/>
    </row>
    <row r="180" spans="1:30" x14ac:dyDescent="0.25">
      <c r="A180" s="159">
        <v>2</v>
      </c>
      <c r="B180" s="159"/>
      <c r="C180" s="167">
        <f>+E180-E179</f>
        <v>188.95691625000001</v>
      </c>
      <c r="D180" s="159">
        <f>+G180-G179</f>
        <v>170.46253197500002</v>
      </c>
      <c r="E180" s="159">
        <v>393.59340500000002</v>
      </c>
      <c r="F180" s="156"/>
      <c r="G180" s="159">
        <v>356.96910300000002</v>
      </c>
      <c r="H180" s="156"/>
      <c r="I180" s="164">
        <v>128.9</v>
      </c>
      <c r="J180" s="156">
        <v>2</v>
      </c>
      <c r="K180" s="156"/>
      <c r="L180" s="165">
        <v>20633.79583333333</v>
      </c>
      <c r="M180" s="164">
        <v>864.97098885712671</v>
      </c>
      <c r="N180" s="164">
        <f t="shared" si="6"/>
        <v>1290.4621782794136</v>
      </c>
      <c r="O180" s="165">
        <v>5716</v>
      </c>
      <c r="P180" s="164">
        <v>1381.6999999999998</v>
      </c>
      <c r="Q180" s="164">
        <f t="shared" si="4"/>
        <v>2061.3773348451359</v>
      </c>
      <c r="R180" s="165">
        <v>10696</v>
      </c>
      <c r="S180" s="164">
        <v>201.60000000000002</v>
      </c>
      <c r="T180" s="164">
        <f t="shared" si="5"/>
        <v>300.76982753476113</v>
      </c>
      <c r="U180" s="156"/>
      <c r="V180" s="156"/>
      <c r="W180" s="156"/>
      <c r="X180" s="156"/>
      <c r="Y180" s="156"/>
      <c r="Z180" s="156"/>
      <c r="AA180" s="155"/>
      <c r="AB180" s="155"/>
      <c r="AC180" s="155"/>
      <c r="AD180" s="155"/>
    </row>
    <row r="181" spans="1:30" x14ac:dyDescent="0.25">
      <c r="A181" s="159">
        <v>3</v>
      </c>
      <c r="B181" s="159"/>
      <c r="C181" s="167">
        <f>+E181-E180</f>
        <v>172.07737875000004</v>
      </c>
      <c r="D181" s="159">
        <f>+G181-G180</f>
        <v>154.15607493749997</v>
      </c>
      <c r="E181" s="159">
        <v>565.67078375000006</v>
      </c>
      <c r="F181" s="156"/>
      <c r="G181" s="159">
        <v>511.12517793749998</v>
      </c>
      <c r="H181" s="156"/>
      <c r="I181" s="164">
        <v>127.8</v>
      </c>
      <c r="J181" s="156">
        <v>3</v>
      </c>
      <c r="K181" s="156"/>
      <c r="L181" s="165">
        <v>19149.335833333338</v>
      </c>
      <c r="M181" s="164">
        <v>861.71516601647909</v>
      </c>
      <c r="N181" s="164">
        <f t="shared" si="6"/>
        <v>1296.6702269418529</v>
      </c>
      <c r="O181" s="165">
        <v>9089</v>
      </c>
      <c r="P181" s="164">
        <v>1286.1999999999998</v>
      </c>
      <c r="Q181" s="164">
        <f t="shared" si="4"/>
        <v>1935.4159142891506</v>
      </c>
      <c r="R181" s="165">
        <v>11532</v>
      </c>
      <c r="S181" s="164">
        <v>200.69999999999993</v>
      </c>
      <c r="T181" s="164">
        <f t="shared" si="5"/>
        <v>302.00433369447398</v>
      </c>
      <c r="U181" s="156"/>
      <c r="V181" s="156"/>
      <c r="W181" s="156"/>
      <c r="X181" s="156"/>
      <c r="Y181" s="156"/>
      <c r="Z181" s="156"/>
      <c r="AA181" s="155"/>
      <c r="AB181" s="155"/>
      <c r="AC181" s="155"/>
      <c r="AD181" s="155"/>
    </row>
    <row r="182" spans="1:30" x14ac:dyDescent="0.25">
      <c r="A182" s="159">
        <v>4</v>
      </c>
      <c r="B182" s="159"/>
      <c r="C182" s="167">
        <f>+E182-E181</f>
        <v>192.96143124999992</v>
      </c>
      <c r="D182" s="159">
        <f>+G182-G181</f>
        <v>174.39946771249993</v>
      </c>
      <c r="E182" s="159">
        <v>758.63221499999997</v>
      </c>
      <c r="F182" s="156"/>
      <c r="G182" s="159">
        <v>685.52464564999991</v>
      </c>
      <c r="H182" s="156"/>
      <c r="I182" s="164">
        <v>129</v>
      </c>
      <c r="J182" s="156">
        <v>4</v>
      </c>
      <c r="K182" s="156"/>
      <c r="L182" s="165">
        <v>22322.361666666664</v>
      </c>
      <c r="M182" s="164">
        <v>889.84894905372039</v>
      </c>
      <c r="N182" s="164">
        <f t="shared" si="6"/>
        <v>1326.548820891054</v>
      </c>
      <c r="O182" s="165">
        <v>5858</v>
      </c>
      <c r="P182" s="164">
        <v>1310.8000000000011</v>
      </c>
      <c r="Q182" s="164">
        <f t="shared" si="4"/>
        <v>1954.084675014906</v>
      </c>
      <c r="R182" s="165">
        <v>9548</v>
      </c>
      <c r="S182" s="164">
        <v>205</v>
      </c>
      <c r="T182" s="164">
        <f t="shared" si="5"/>
        <v>305.60524746571207</v>
      </c>
      <c r="U182" s="156"/>
      <c r="V182" s="156"/>
      <c r="W182" s="156"/>
      <c r="X182" s="156"/>
      <c r="Y182" s="156"/>
      <c r="Z182" s="156"/>
      <c r="AA182" s="155"/>
      <c r="AB182" s="155"/>
      <c r="AC182" s="155"/>
      <c r="AD182" s="155"/>
    </row>
    <row r="183" spans="1:30" x14ac:dyDescent="0.25">
      <c r="A183" s="159">
        <v>1</v>
      </c>
      <c r="B183" s="159">
        <v>2011</v>
      </c>
      <c r="C183" s="167">
        <f>+E183</f>
        <v>204.00503875000001</v>
      </c>
      <c r="D183" s="159">
        <f>+G183</f>
        <v>184.8599929625</v>
      </c>
      <c r="E183" s="159">
        <v>204.00503875000001</v>
      </c>
      <c r="F183" s="156"/>
      <c r="G183" s="159">
        <v>184.8599929625</v>
      </c>
      <c r="H183" s="156"/>
      <c r="I183" s="164">
        <v>130.19999999999999</v>
      </c>
      <c r="J183" s="156">
        <v>1</v>
      </c>
      <c r="K183" s="156">
        <v>2011</v>
      </c>
      <c r="L183" s="165">
        <v>26141.662648809524</v>
      </c>
      <c r="M183" s="164">
        <v>1061.4209517567813</v>
      </c>
      <c r="N183" s="164">
        <f t="shared" si="6"/>
        <v>1567.737433174967</v>
      </c>
      <c r="O183" s="165">
        <v>5959</v>
      </c>
      <c r="P183" s="164">
        <v>1698.7</v>
      </c>
      <c r="Q183" s="164">
        <f t="shared" si="4"/>
        <v>2509.0098073969007</v>
      </c>
      <c r="R183" s="165">
        <v>6732</v>
      </c>
      <c r="S183" s="164">
        <v>156.5</v>
      </c>
      <c r="T183" s="164">
        <f t="shared" si="5"/>
        <v>231.15325534680341</v>
      </c>
      <c r="U183" s="156"/>
      <c r="V183" s="156"/>
      <c r="W183" s="156"/>
      <c r="X183" s="156"/>
      <c r="Y183" s="156"/>
      <c r="Z183" s="156"/>
      <c r="AA183" s="155"/>
      <c r="AB183" s="155"/>
      <c r="AC183" s="155"/>
      <c r="AD183" s="155"/>
    </row>
    <row r="184" spans="1:30" x14ac:dyDescent="0.25">
      <c r="A184" s="159">
        <v>2</v>
      </c>
      <c r="B184" s="159"/>
      <c r="C184" s="167">
        <f>+E184-E183</f>
        <v>188.74104374999999</v>
      </c>
      <c r="D184" s="159">
        <f>+G184-G183</f>
        <v>171.33320521249996</v>
      </c>
      <c r="E184" s="156">
        <v>392.7460825</v>
      </c>
      <c r="F184" s="156"/>
      <c r="G184" s="156">
        <v>356.19319817499996</v>
      </c>
      <c r="H184" s="156"/>
      <c r="I184" s="164">
        <v>131</v>
      </c>
      <c r="J184" s="156">
        <v>2</v>
      </c>
      <c r="K184" s="156"/>
      <c r="L184" s="165">
        <v>18851.951101190472</v>
      </c>
      <c r="M184" s="164">
        <v>776.58308820124375</v>
      </c>
      <c r="N184" s="164">
        <f t="shared" si="6"/>
        <v>1140.022149443985</v>
      </c>
      <c r="O184" s="165">
        <v>7524</v>
      </c>
      <c r="P184" s="164">
        <v>1533.4000000000003</v>
      </c>
      <c r="Q184" s="164">
        <f t="shared" si="4"/>
        <v>2251.0275983558395</v>
      </c>
      <c r="R184" s="165">
        <v>10017</v>
      </c>
      <c r="S184" s="164">
        <v>197.79999999999995</v>
      </c>
      <c r="T184" s="164">
        <f t="shared" si="5"/>
        <v>290.36993540810283</v>
      </c>
      <c r="U184" s="156"/>
      <c r="V184" s="156"/>
      <c r="W184" s="156"/>
      <c r="X184" s="156"/>
      <c r="Y184" s="156"/>
      <c r="Z184" s="156"/>
      <c r="AA184" s="155"/>
      <c r="AB184" s="155"/>
      <c r="AC184" s="155"/>
      <c r="AD184" s="155"/>
    </row>
    <row r="185" spans="1:30" x14ac:dyDescent="0.25">
      <c r="A185" s="159">
        <v>3</v>
      </c>
      <c r="B185" s="156"/>
      <c r="C185" s="167">
        <f>+E185-E184</f>
        <v>169.93391749999995</v>
      </c>
      <c r="D185" s="159">
        <f>+G185-G184</f>
        <v>151.69380182500004</v>
      </c>
      <c r="E185" s="156">
        <v>562.67999999999995</v>
      </c>
      <c r="F185" s="156"/>
      <c r="G185" s="156">
        <v>507.887</v>
      </c>
      <c r="H185" s="156"/>
      <c r="I185" s="164">
        <v>129.4</v>
      </c>
      <c r="J185" s="156">
        <v>3</v>
      </c>
      <c r="K185" s="156"/>
      <c r="L185" s="165">
        <v>24107.386250000007</v>
      </c>
      <c r="M185" s="164">
        <v>914.64669811090494</v>
      </c>
      <c r="N185" s="164">
        <f t="shared" si="6"/>
        <v>1359.3013585050878</v>
      </c>
      <c r="O185" s="165">
        <v>10171</v>
      </c>
      <c r="P185" s="164">
        <v>1285.3999999999996</v>
      </c>
      <c r="Q185" s="164">
        <f t="shared" si="4"/>
        <v>1910.2960408988195</v>
      </c>
      <c r="R185" s="165">
        <v>10339</v>
      </c>
      <c r="S185" s="164">
        <v>167.29999999999995</v>
      </c>
      <c r="T185" s="164">
        <f t="shared" si="5"/>
        <v>248.63274283676091</v>
      </c>
      <c r="U185" s="156"/>
      <c r="V185" s="156"/>
      <c r="W185" s="156"/>
      <c r="X185" s="156"/>
      <c r="Y185" s="156"/>
      <c r="Z185" s="156"/>
      <c r="AA185" s="155"/>
      <c r="AB185" s="155"/>
      <c r="AC185" s="155"/>
      <c r="AD185" s="155"/>
    </row>
    <row r="186" spans="1:30" x14ac:dyDescent="0.25">
      <c r="A186" s="156">
        <v>4</v>
      </c>
      <c r="B186" s="156"/>
      <c r="C186" s="167">
        <f>+E186-E185</f>
        <v>202.17554500000006</v>
      </c>
      <c r="D186" s="159">
        <f>+G186-G185</f>
        <v>178.91908595000001</v>
      </c>
      <c r="E186" s="156">
        <v>764.85554500000001</v>
      </c>
      <c r="F186" s="156"/>
      <c r="G186" s="156">
        <v>686.80608595000001</v>
      </c>
      <c r="H186" s="156"/>
      <c r="I186" s="156">
        <v>130.5</v>
      </c>
      <c r="J186" s="156">
        <v>4</v>
      </c>
      <c r="K186" s="156"/>
      <c r="L186" s="165">
        <v>18022.572976190484</v>
      </c>
      <c r="M186" s="164">
        <v>777.38419736292576</v>
      </c>
      <c r="N186" s="164">
        <f t="shared" si="6"/>
        <v>1145.5705826155681</v>
      </c>
      <c r="O186" s="165">
        <v>8775.7956028314002</v>
      </c>
      <c r="P186" s="164">
        <v>1286.8626975018997</v>
      </c>
      <c r="Q186" s="164">
        <f t="shared" si="4"/>
        <v>1896.3493921336542</v>
      </c>
      <c r="R186" s="165">
        <v>9645.4866500746648</v>
      </c>
      <c r="S186" s="164">
        <v>181.103452008619</v>
      </c>
      <c r="T186" s="164">
        <f t="shared" si="5"/>
        <v>266.87806072593389</v>
      </c>
      <c r="U186" s="156"/>
      <c r="V186" s="156"/>
      <c r="W186" s="156"/>
      <c r="X186" s="156"/>
      <c r="Y186" s="156"/>
      <c r="Z186" s="156"/>
      <c r="AA186" s="155"/>
      <c r="AB186" s="155"/>
      <c r="AC186" s="155"/>
      <c r="AD186" s="155"/>
    </row>
    <row r="187" spans="1:30" x14ac:dyDescent="0.25">
      <c r="A187" s="156">
        <v>1</v>
      </c>
      <c r="B187" s="156">
        <v>2012</v>
      </c>
      <c r="C187" s="167">
        <f>+E187</f>
        <v>195.82938625</v>
      </c>
      <c r="D187" s="159">
        <f>+G187</f>
        <v>177.0717714875</v>
      </c>
      <c r="E187" s="156">
        <v>195.82938625</v>
      </c>
      <c r="F187" s="156"/>
      <c r="G187" s="156">
        <v>177.0717714875</v>
      </c>
      <c r="H187" s="156"/>
      <c r="I187" s="156">
        <v>131.69999999999999</v>
      </c>
      <c r="J187" s="156">
        <v>1</v>
      </c>
      <c r="K187" s="156">
        <v>2012</v>
      </c>
      <c r="L187" s="165">
        <v>18517.39324404762</v>
      </c>
      <c r="M187" s="164">
        <v>869.15461769403078</v>
      </c>
      <c r="N187" s="164">
        <f t="shared" si="6"/>
        <v>1269.1352983091372</v>
      </c>
      <c r="O187" s="165">
        <v>6822.44890070785</v>
      </c>
      <c r="P187" s="164">
        <v>1150.314057295883</v>
      </c>
      <c r="Q187" s="164">
        <f t="shared" si="4"/>
        <v>1679.6829292913401</v>
      </c>
      <c r="R187" s="165">
        <v>7564.3716625186662</v>
      </c>
      <c r="S187" s="164">
        <v>175.73767321176348</v>
      </c>
      <c r="T187" s="164">
        <f t="shared" si="5"/>
        <v>256.61128615700488</v>
      </c>
      <c r="U187" s="156"/>
      <c r="V187" s="156"/>
      <c r="W187" s="156"/>
      <c r="X187" s="156"/>
      <c r="Y187" s="156"/>
      <c r="Z187" s="156"/>
      <c r="AA187" s="155"/>
      <c r="AB187" s="155"/>
      <c r="AC187" s="155"/>
      <c r="AD187" s="155"/>
    </row>
    <row r="188" spans="1:30" x14ac:dyDescent="0.25">
      <c r="A188" s="156">
        <v>2</v>
      </c>
      <c r="B188" s="156"/>
      <c r="C188" s="167">
        <f>+E188-E187</f>
        <v>182.75061374999999</v>
      </c>
      <c r="D188" s="159">
        <f>+G188-G187</f>
        <v>165.12822851249999</v>
      </c>
      <c r="E188" s="173">
        <v>378.58</v>
      </c>
      <c r="F188" s="156"/>
      <c r="G188" s="173">
        <v>342.2</v>
      </c>
      <c r="H188" s="156"/>
      <c r="I188" s="156">
        <v>131.69999999999999</v>
      </c>
      <c r="J188" s="156">
        <v>2</v>
      </c>
      <c r="K188" s="156"/>
      <c r="L188" s="165">
        <v>14087.60675595238</v>
      </c>
      <c r="M188" s="164">
        <v>635.43152402028181</v>
      </c>
      <c r="N188" s="164">
        <f t="shared" si="6"/>
        <v>927.85398636218815</v>
      </c>
      <c r="O188" s="165">
        <v>4838.55109929215</v>
      </c>
      <c r="P188" s="164">
        <v>1037.7970664905204</v>
      </c>
      <c r="Q188" s="164">
        <f t="shared" si="4"/>
        <v>1515.386172668826</v>
      </c>
      <c r="R188" s="165">
        <v>10002.628337481334</v>
      </c>
      <c r="S188" s="164">
        <v>184.20744441885319</v>
      </c>
      <c r="T188" s="164">
        <f t="shared" si="5"/>
        <v>268.97880441979578</v>
      </c>
      <c r="U188" s="156"/>
      <c r="V188" s="156"/>
      <c r="W188" s="156"/>
      <c r="X188" s="156"/>
      <c r="Y188" s="156"/>
      <c r="Z188" s="156"/>
      <c r="AA188" s="155"/>
      <c r="AB188" s="155"/>
      <c r="AC188" s="155"/>
      <c r="AD188" s="155"/>
    </row>
    <row r="189" spans="1:30" x14ac:dyDescent="0.25">
      <c r="A189" s="159">
        <v>3</v>
      </c>
      <c r="B189" s="156"/>
      <c r="C189" s="167">
        <f>+E189-E188</f>
        <v>165.72960875000007</v>
      </c>
      <c r="D189" s="159">
        <f>+G189-G188</f>
        <v>148.24155396250001</v>
      </c>
      <c r="E189" s="156">
        <v>544.30960875000005</v>
      </c>
      <c r="F189" s="156"/>
      <c r="G189" s="156">
        <v>490.4415539625</v>
      </c>
      <c r="H189" s="156"/>
      <c r="I189" s="156">
        <v>130</v>
      </c>
      <c r="J189" s="156">
        <v>3</v>
      </c>
      <c r="K189" s="156"/>
      <c r="L189" s="174">
        <v>20999.460714285713</v>
      </c>
      <c r="M189" s="175">
        <v>864.77367174435972</v>
      </c>
      <c r="N189" s="164">
        <f t="shared" si="6"/>
        <v>1279.2509937046721</v>
      </c>
      <c r="O189" s="174">
        <v>6828.0536397386386</v>
      </c>
      <c r="P189" s="175">
        <v>1132.0609213635664</v>
      </c>
      <c r="Q189" s="164">
        <f t="shared" si="4"/>
        <v>1674.6463333780544</v>
      </c>
      <c r="R189" s="174">
        <v>10877.781177428844</v>
      </c>
      <c r="S189" s="175">
        <v>190.02859425457928</v>
      </c>
      <c r="T189" s="164">
        <f t="shared" si="5"/>
        <v>281.10738795056062</v>
      </c>
      <c r="U189" s="156"/>
      <c r="V189" s="156"/>
      <c r="W189" s="156"/>
      <c r="X189" s="156"/>
      <c r="Y189" s="156"/>
      <c r="Z189" s="156"/>
      <c r="AA189" s="155"/>
      <c r="AB189" s="155"/>
      <c r="AC189" s="155"/>
      <c r="AD189" s="155"/>
    </row>
    <row r="190" spans="1:30" x14ac:dyDescent="0.25">
      <c r="A190" s="159">
        <v>4</v>
      </c>
      <c r="B190" s="156"/>
      <c r="C190" s="167">
        <f>+E190-E189</f>
        <v>166.80539124999996</v>
      </c>
      <c r="D190" s="159">
        <f>+G190-G189</f>
        <v>151.72844603749996</v>
      </c>
      <c r="E190" s="156">
        <v>711.11500000000001</v>
      </c>
      <c r="F190" s="156"/>
      <c r="G190" s="156">
        <v>642.16999999999996</v>
      </c>
      <c r="H190" s="156"/>
      <c r="I190" s="156">
        <v>132</v>
      </c>
      <c r="J190" s="156">
        <v>4</v>
      </c>
      <c r="K190" s="156"/>
      <c r="L190" s="174">
        <v>17946.539285714287</v>
      </c>
      <c r="M190" s="175">
        <v>826.79347775776318</v>
      </c>
      <c r="N190" s="164">
        <f t="shared" si="6"/>
        <v>1204.5359524442918</v>
      </c>
      <c r="O190" s="174">
        <v>5621.9463602613596</v>
      </c>
      <c r="P190" s="175">
        <v>1071.0118577206574</v>
      </c>
      <c r="Q190" s="164">
        <f t="shared" si="4"/>
        <v>1560.3319605487409</v>
      </c>
      <c r="R190" s="174">
        <v>8525.2188225711561</v>
      </c>
      <c r="S190" s="175">
        <v>190.41732478586363</v>
      </c>
      <c r="T190" s="164">
        <f t="shared" si="5"/>
        <v>277.41451746192206</v>
      </c>
      <c r="U190" s="156"/>
      <c r="V190" s="156"/>
      <c r="W190" s="156"/>
      <c r="X190" s="156"/>
      <c r="Y190" s="156"/>
      <c r="Z190" s="156"/>
      <c r="AA190" s="155"/>
      <c r="AB190" s="155"/>
      <c r="AC190" s="155"/>
      <c r="AD190" s="155"/>
    </row>
    <row r="191" spans="1:30" x14ac:dyDescent="0.25">
      <c r="A191" s="156">
        <v>1</v>
      </c>
      <c r="B191" s="156">
        <v>2013</v>
      </c>
      <c r="C191" s="167">
        <f>+E191</f>
        <v>199.180995</v>
      </c>
      <c r="D191" s="159">
        <f>+G191</f>
        <v>183.65288545000001</v>
      </c>
      <c r="E191" s="156">
        <v>199.180995</v>
      </c>
      <c r="F191" s="156"/>
      <c r="G191" s="156">
        <v>183.65288545000001</v>
      </c>
      <c r="H191" s="156"/>
      <c r="I191" s="156">
        <v>133</v>
      </c>
      <c r="J191" s="156">
        <v>1</v>
      </c>
      <c r="K191" s="156">
        <f>B191</f>
        <v>2013</v>
      </c>
      <c r="L191" s="174">
        <v>21974.571815476189</v>
      </c>
      <c r="M191" s="175">
        <v>1023.0812127444322</v>
      </c>
      <c r="N191" s="164">
        <f t="shared" si="6"/>
        <v>1479.2961433551627</v>
      </c>
      <c r="O191" s="174">
        <v>5520.4451678348678</v>
      </c>
      <c r="P191" s="175">
        <v>1148.1840804128565</v>
      </c>
      <c r="Q191" s="164">
        <f t="shared" si="4"/>
        <v>1660.1851943505708</v>
      </c>
      <c r="R191" s="174">
        <v>5958.3970505452735</v>
      </c>
      <c r="S191" s="175">
        <v>167.84779905693762</v>
      </c>
      <c r="T191" s="164">
        <f t="shared" si="5"/>
        <v>242.69490898920961</v>
      </c>
      <c r="U191" s="156"/>
      <c r="V191" s="156"/>
      <c r="W191" s="156"/>
      <c r="X191" s="156"/>
      <c r="Y191" s="156"/>
      <c r="Z191" s="156"/>
      <c r="AA191" s="155"/>
      <c r="AB191" s="155"/>
      <c r="AC191" s="155"/>
      <c r="AD191" s="155"/>
    </row>
    <row r="192" spans="1:30" x14ac:dyDescent="0.25">
      <c r="A192" s="156">
        <v>2</v>
      </c>
      <c r="B192" s="156"/>
      <c r="C192" s="167">
        <f>+E192-E191</f>
        <v>205.01500500000003</v>
      </c>
      <c r="D192" s="159">
        <f>+G192-G191</f>
        <v>185.63411454999996</v>
      </c>
      <c r="E192" s="156">
        <v>404.19600000000003</v>
      </c>
      <c r="F192" s="156"/>
      <c r="G192" s="156">
        <v>369.28699999999998</v>
      </c>
      <c r="H192" s="156"/>
      <c r="I192" s="156">
        <v>134.30000000000001</v>
      </c>
      <c r="J192" s="156">
        <v>2</v>
      </c>
      <c r="K192" s="156"/>
      <c r="L192" s="174">
        <v>23960.428184523811</v>
      </c>
      <c r="M192" s="175">
        <v>1011.581560458749</v>
      </c>
      <c r="N192" s="164">
        <f t="shared" si="6"/>
        <v>1448.5101673331053</v>
      </c>
      <c r="O192" s="174">
        <v>6388.5548321651322</v>
      </c>
      <c r="P192" s="175">
        <v>1133.7065185307133</v>
      </c>
      <c r="Q192" s="164">
        <f t="shared" si="4"/>
        <v>1623.3840977872608</v>
      </c>
      <c r="R192" s="174">
        <v>10154.602949454726</v>
      </c>
      <c r="S192" s="175">
        <v>176.1673175310234</v>
      </c>
      <c r="T192" s="164">
        <f t="shared" si="5"/>
        <v>252.25860234123246</v>
      </c>
      <c r="U192" s="156"/>
      <c r="V192" s="156"/>
      <c r="W192" s="156"/>
      <c r="X192" s="156"/>
      <c r="Y192" s="156"/>
      <c r="Z192" s="156"/>
      <c r="AA192" s="155"/>
      <c r="AB192" s="155"/>
      <c r="AC192" s="155"/>
      <c r="AD192" s="155"/>
    </row>
    <row r="193" spans="1:30" x14ac:dyDescent="0.25">
      <c r="A193" s="156">
        <v>3</v>
      </c>
      <c r="B193" s="156"/>
      <c r="C193" s="167">
        <f>+E193-E192</f>
        <v>172.04383408071794</v>
      </c>
      <c r="D193" s="159">
        <f>+G193-G192</f>
        <v>153.21019910313902</v>
      </c>
      <c r="E193" s="156">
        <v>576.23983408071797</v>
      </c>
      <c r="F193" s="156"/>
      <c r="G193" s="156">
        <v>522.497199103139</v>
      </c>
      <c r="H193" s="156"/>
      <c r="I193" s="156">
        <v>134.19999999999999</v>
      </c>
      <c r="J193" s="156">
        <v>3</v>
      </c>
      <c r="K193" s="156"/>
      <c r="L193" s="174">
        <v>18388.581422924897</v>
      </c>
      <c r="M193" s="175">
        <v>735.52528494140915</v>
      </c>
      <c r="N193" s="164">
        <f t="shared" si="6"/>
        <v>1054.0027584280178</v>
      </c>
      <c r="O193" s="174">
        <v>11492.955434782609</v>
      </c>
      <c r="P193" s="175">
        <v>1323.3889549928699</v>
      </c>
      <c r="Q193" s="164">
        <f t="shared" si="4"/>
        <v>1896.4074214617503</v>
      </c>
      <c r="R193" s="174">
        <v>11786.02326086957</v>
      </c>
      <c r="S193" s="175">
        <v>172.41802435151402</v>
      </c>
      <c r="T193" s="164">
        <f t="shared" si="5"/>
        <v>247.07386270708727</v>
      </c>
      <c r="U193" s="156"/>
      <c r="V193" s="156"/>
      <c r="W193" s="156"/>
      <c r="X193" s="156"/>
      <c r="Y193" s="156"/>
      <c r="Z193" s="156"/>
      <c r="AA193" s="155"/>
      <c r="AB193" s="155"/>
      <c r="AC193" s="155"/>
      <c r="AD193" s="155"/>
    </row>
    <row r="194" spans="1:30" x14ac:dyDescent="0.25">
      <c r="A194" s="159">
        <v>4</v>
      </c>
      <c r="B194" s="156"/>
      <c r="C194" s="167">
        <f>+E194-E193</f>
        <v>204.099832585949</v>
      </c>
      <c r="D194" s="159">
        <f>+G194-G193</f>
        <v>188.07946756352794</v>
      </c>
      <c r="E194" s="156">
        <v>780.33966666666697</v>
      </c>
      <c r="F194" s="156"/>
      <c r="G194" s="156">
        <v>710.57666666666694</v>
      </c>
      <c r="H194" s="156"/>
      <c r="I194" s="156">
        <v>135.30000000000001</v>
      </c>
      <c r="J194" s="156">
        <v>4</v>
      </c>
      <c r="K194" s="156"/>
      <c r="L194" s="174">
        <v>18420.418577075106</v>
      </c>
      <c r="M194" s="174">
        <v>895.71090498583999</v>
      </c>
      <c r="N194" s="164">
        <f>M194/I194*$I$69</f>
        <v>1273.1123216013395</v>
      </c>
      <c r="O194" s="174">
        <v>7745.0445652173912</v>
      </c>
      <c r="P194" s="174">
        <v>1212.6630411771803</v>
      </c>
      <c r="Q194" s="164">
        <f t="shared" si="4"/>
        <v>1723.6099851855965</v>
      </c>
      <c r="R194" s="174">
        <v>11621.97673913043</v>
      </c>
      <c r="S194" s="174">
        <v>180.100371437175</v>
      </c>
      <c r="T194" s="164">
        <f t="shared" si="5"/>
        <v>255.98438148441454</v>
      </c>
      <c r="U194" s="156"/>
      <c r="V194" s="156"/>
      <c r="W194" s="156"/>
      <c r="X194" s="156"/>
      <c r="Y194" s="156"/>
      <c r="Z194" s="156"/>
      <c r="AA194" s="155"/>
      <c r="AB194" s="155"/>
      <c r="AC194" s="155"/>
      <c r="AD194" s="155"/>
    </row>
    <row r="195" spans="1:30" x14ac:dyDescent="0.25">
      <c r="A195" s="159">
        <v>1</v>
      </c>
      <c r="B195" s="156">
        <v>2014</v>
      </c>
      <c r="C195" s="167">
        <f>E195</f>
        <v>196.17699999999999</v>
      </c>
      <c r="D195" s="159">
        <f>G195</f>
        <v>179.55199999999999</v>
      </c>
      <c r="E195" s="156">
        <v>196.17699999999999</v>
      </c>
      <c r="F195" s="156"/>
      <c r="G195" s="156">
        <v>179.55199999999999</v>
      </c>
      <c r="H195" s="156"/>
      <c r="I195" s="156">
        <v>135.80000000000001</v>
      </c>
      <c r="J195" s="156">
        <f>A195</f>
        <v>1</v>
      </c>
      <c r="K195" s="156">
        <f>B195</f>
        <v>2014</v>
      </c>
      <c r="L195" s="174">
        <v>19713</v>
      </c>
      <c r="M195" s="174">
        <v>886.67647724495987</v>
      </c>
      <c r="N195" s="164">
        <f>M195/I195*$I$69</f>
        <v>1255.6311278534022</v>
      </c>
      <c r="O195" s="174">
        <v>7032</v>
      </c>
      <c r="P195" s="174">
        <v>1484.9150299297401</v>
      </c>
      <c r="Q195" s="164">
        <f t="shared" si="4"/>
        <v>2102.8025234079214</v>
      </c>
      <c r="R195" s="174">
        <v>8004</v>
      </c>
      <c r="S195" s="174">
        <v>165.16263465729782</v>
      </c>
      <c r="T195" s="164">
        <f t="shared" si="5"/>
        <v>233.88840299266107</v>
      </c>
      <c r="U195" s="156"/>
      <c r="V195" s="156"/>
      <c r="W195" s="156"/>
      <c r="X195" s="156"/>
      <c r="Y195" s="156"/>
      <c r="Z195" s="156"/>
      <c r="AA195" s="155"/>
      <c r="AB195" s="155"/>
      <c r="AC195" s="155"/>
      <c r="AD195" s="155"/>
    </row>
    <row r="196" spans="1:30" x14ac:dyDescent="0.25">
      <c r="A196" s="156">
        <v>2</v>
      </c>
      <c r="B196" s="156"/>
      <c r="C196" s="167">
        <f>+E196-E195</f>
        <v>197.965</v>
      </c>
      <c r="D196" s="159">
        <f>+G196-G195</f>
        <v>179.76700000000002</v>
      </c>
      <c r="E196" s="156">
        <v>394.142</v>
      </c>
      <c r="F196" s="156"/>
      <c r="G196" s="156">
        <v>359.31900000000002</v>
      </c>
      <c r="H196" s="156"/>
      <c r="I196" s="156">
        <v>136.69999999999999</v>
      </c>
      <c r="J196" s="156">
        <v>2</v>
      </c>
      <c r="K196" s="156"/>
      <c r="L196" s="174">
        <v>16691</v>
      </c>
      <c r="M196" s="174">
        <v>732.96206934555016</v>
      </c>
      <c r="N196" s="164">
        <f t="shared" ref="N196:N239" si="7">M196/I196*$I$69</f>
        <v>1031.1210249079245</v>
      </c>
      <c r="O196" s="174">
        <v>6228</v>
      </c>
      <c r="P196" s="174">
        <v>1158.7677611998799</v>
      </c>
      <c r="Q196" s="164">
        <f t="shared" si="4"/>
        <v>1630.1386545493756</v>
      </c>
      <c r="R196" s="174">
        <v>11579</v>
      </c>
      <c r="S196" s="174">
        <v>167.32102845142202</v>
      </c>
      <c r="T196" s="164">
        <f t="shared" si="5"/>
        <v>235.38493676695427</v>
      </c>
      <c r="U196" s="156"/>
      <c r="V196" s="156"/>
      <c r="W196" s="156"/>
      <c r="X196" s="156"/>
      <c r="Y196" s="156"/>
      <c r="Z196" s="156"/>
      <c r="AA196" s="155"/>
      <c r="AB196" s="155"/>
      <c r="AC196" s="155"/>
      <c r="AD196" s="155"/>
    </row>
    <row r="197" spans="1:30" x14ac:dyDescent="0.25">
      <c r="A197" s="156">
        <v>3</v>
      </c>
      <c r="B197" s="156"/>
      <c r="C197" s="167">
        <f>+E197-E196</f>
        <v>192.10452006852</v>
      </c>
      <c r="D197" s="159">
        <f>+G197-G196</f>
        <v>173.47352006851992</v>
      </c>
      <c r="E197" s="156">
        <v>586.24652006852</v>
      </c>
      <c r="F197" s="156"/>
      <c r="G197" s="156">
        <v>532.79252006851993</v>
      </c>
      <c r="H197" s="156"/>
      <c r="I197" s="156">
        <v>137</v>
      </c>
      <c r="J197" s="156">
        <v>3</v>
      </c>
      <c r="K197" s="156"/>
      <c r="L197" s="174">
        <v>21817</v>
      </c>
      <c r="M197" s="174">
        <v>1080.59231996894</v>
      </c>
      <c r="N197" s="164">
        <f t="shared" si="7"/>
        <v>1516.8336888951969</v>
      </c>
      <c r="O197" s="174">
        <v>20407</v>
      </c>
      <c r="P197" s="174">
        <v>1259.8740491119995</v>
      </c>
      <c r="Q197" s="164">
        <f t="shared" si="4"/>
        <v>1768.4924889275653</v>
      </c>
      <c r="R197" s="174">
        <v>11684</v>
      </c>
      <c r="S197" s="174">
        <v>177.03184293206914</v>
      </c>
      <c r="T197" s="164">
        <f t="shared" si="5"/>
        <v>248.50062174630665</v>
      </c>
      <c r="U197" s="156"/>
      <c r="V197" s="156"/>
      <c r="W197" s="156"/>
      <c r="X197" s="156"/>
      <c r="Y197" s="156"/>
      <c r="Z197" s="156"/>
      <c r="AA197" s="155"/>
      <c r="AB197" s="155"/>
      <c r="AC197" s="155"/>
      <c r="AD197" s="155"/>
    </row>
    <row r="198" spans="1:30" x14ac:dyDescent="0.25">
      <c r="A198" s="156">
        <v>4</v>
      </c>
      <c r="B198" s="156"/>
      <c r="C198" s="167">
        <f>+E198-E197</f>
        <v>196.808833167682</v>
      </c>
      <c r="D198" s="159">
        <f>+G198-G197</f>
        <v>184.73883316768206</v>
      </c>
      <c r="E198" s="156">
        <v>783.055353236202</v>
      </c>
      <c r="F198" s="156"/>
      <c r="G198" s="156">
        <v>717.53135323620199</v>
      </c>
      <c r="H198" s="156"/>
      <c r="I198" s="156">
        <v>137.9</v>
      </c>
      <c r="J198" s="156">
        <v>4</v>
      </c>
      <c r="K198" s="156"/>
      <c r="L198" s="174">
        <v>20183</v>
      </c>
      <c r="M198" s="174">
        <v>869.67426416194962</v>
      </c>
      <c r="N198" s="164">
        <f t="shared" si="7"/>
        <v>1212.7994981898091</v>
      </c>
      <c r="O198" s="174">
        <v>12863</v>
      </c>
      <c r="P198" s="174">
        <v>1106.850761909501</v>
      </c>
      <c r="Q198" s="164">
        <f t="shared" si="4"/>
        <v>1543.552688555669</v>
      </c>
      <c r="R198" s="174">
        <v>9690</v>
      </c>
      <c r="S198" s="174">
        <v>175.42101671448501</v>
      </c>
      <c r="T198" s="164">
        <f t="shared" si="5"/>
        <v>244.63242136788745</v>
      </c>
      <c r="U198" s="156"/>
      <c r="V198" s="156"/>
      <c r="W198" s="156"/>
      <c r="X198" s="156"/>
      <c r="Y198" s="156"/>
      <c r="Z198" s="156"/>
      <c r="AA198" s="155"/>
      <c r="AB198" s="155"/>
      <c r="AC198" s="155"/>
      <c r="AD198" s="155"/>
    </row>
    <row r="199" spans="1:30" x14ac:dyDescent="0.25">
      <c r="A199" s="156">
        <v>1</v>
      </c>
      <c r="B199" s="156">
        <v>2015</v>
      </c>
      <c r="C199" s="167">
        <f>E199</f>
        <v>219.418599054541</v>
      </c>
      <c r="D199" s="159">
        <f>G199</f>
        <v>202.59159905454101</v>
      </c>
      <c r="E199" s="156">
        <v>219.418599054541</v>
      </c>
      <c r="F199" s="156"/>
      <c r="G199" s="156">
        <v>202.59159905454101</v>
      </c>
      <c r="H199" s="156"/>
      <c r="I199" s="156">
        <v>138.4</v>
      </c>
      <c r="J199" s="156">
        <v>1</v>
      </c>
      <c r="K199" s="156">
        <v>2015</v>
      </c>
      <c r="L199" s="174">
        <v>19630</v>
      </c>
      <c r="M199" s="174">
        <v>957.60520650282388</v>
      </c>
      <c r="N199" s="164">
        <f t="shared" si="7"/>
        <v>1330.5986084132148</v>
      </c>
      <c r="O199" s="174">
        <v>9848</v>
      </c>
      <c r="P199" s="174">
        <v>1279.8360091262539</v>
      </c>
      <c r="Q199" s="164">
        <f t="shared" si="4"/>
        <v>1778.3403861803188</v>
      </c>
      <c r="R199" s="174">
        <v>7135</v>
      </c>
      <c r="S199" s="174">
        <v>155.36971992416409</v>
      </c>
      <c r="T199" s="164">
        <f t="shared" si="5"/>
        <v>215.88722755136152</v>
      </c>
      <c r="U199" s="156"/>
      <c r="V199" s="156"/>
      <c r="W199" s="156"/>
      <c r="X199" s="156"/>
      <c r="Y199" s="156"/>
      <c r="Z199" s="156"/>
      <c r="AA199" s="155"/>
      <c r="AB199" s="155"/>
      <c r="AC199" s="155"/>
      <c r="AD199" s="155"/>
    </row>
    <row r="200" spans="1:30" x14ac:dyDescent="0.25">
      <c r="A200" s="156">
        <v>2</v>
      </c>
      <c r="B200" s="156"/>
      <c r="C200" s="167">
        <f>+E200-E199</f>
        <v>188.69592411436798</v>
      </c>
      <c r="D200" s="159">
        <f>+G200-G199</f>
        <v>171.45081948058601</v>
      </c>
      <c r="E200" s="156">
        <v>408.11452316890899</v>
      </c>
      <c r="F200" s="156"/>
      <c r="G200" s="156">
        <v>374.04241853512701</v>
      </c>
      <c r="H200" s="156"/>
      <c r="I200" s="156">
        <v>139.6</v>
      </c>
      <c r="J200" s="156">
        <v>2</v>
      </c>
      <c r="K200" s="156"/>
      <c r="L200" s="174">
        <v>15703.949675889351</v>
      </c>
      <c r="M200" s="174">
        <v>739.71582874915612</v>
      </c>
      <c r="N200" s="164">
        <f t="shared" si="7"/>
        <v>1019.0046131104735</v>
      </c>
      <c r="O200" s="174">
        <v>5422.7168724637304</v>
      </c>
      <c r="P200" s="174">
        <v>1206.7408437095464</v>
      </c>
      <c r="Q200" s="164">
        <f t="shared" si="4"/>
        <v>1662.360650911319</v>
      </c>
      <c r="R200" s="174">
        <v>9988.3050621118018</v>
      </c>
      <c r="S200" s="174">
        <v>168.85276765034422</v>
      </c>
      <c r="T200" s="164">
        <f t="shared" si="5"/>
        <v>232.60520119344275</v>
      </c>
      <c r="U200" s="156"/>
      <c r="V200" s="156"/>
      <c r="W200" s="156"/>
      <c r="X200" s="156"/>
      <c r="Y200" s="156"/>
      <c r="Z200" s="156"/>
      <c r="AA200" s="155"/>
      <c r="AB200" s="155"/>
      <c r="AC200" s="155"/>
      <c r="AD200" s="155"/>
    </row>
    <row r="201" spans="1:30" x14ac:dyDescent="0.25">
      <c r="A201" s="156">
        <v>3</v>
      </c>
      <c r="B201" s="156"/>
      <c r="C201" s="167">
        <f>+E201-E200</f>
        <v>180.38826158445403</v>
      </c>
      <c r="D201" s="159">
        <f>+G201-G200</f>
        <v>162.29720926756397</v>
      </c>
      <c r="E201" s="156">
        <v>588.50278475336302</v>
      </c>
      <c r="F201" s="156"/>
      <c r="G201" s="156">
        <v>536.33962780269098</v>
      </c>
      <c r="H201" s="156"/>
      <c r="I201" s="156">
        <v>139.69999999999999</v>
      </c>
      <c r="J201" s="156">
        <v>3</v>
      </c>
      <c r="K201" s="156"/>
      <c r="L201" s="174">
        <v>22728.974837944646</v>
      </c>
      <c r="M201" s="174">
        <v>979.87465749478997</v>
      </c>
      <c r="N201" s="164">
        <f t="shared" si="7"/>
        <v>1348.872112624289</v>
      </c>
      <c r="O201" s="174">
        <v>8619.8584362319707</v>
      </c>
      <c r="P201" s="174">
        <v>1341.1049733657396</v>
      </c>
      <c r="Q201" s="164">
        <f t="shared" si="4"/>
        <v>1846.1331608470591</v>
      </c>
      <c r="R201" s="174">
        <v>10649.652531055901</v>
      </c>
      <c r="S201" s="174">
        <v>131.16322330640469</v>
      </c>
      <c r="T201" s="164">
        <f t="shared" si="5"/>
        <v>180.55616885965048</v>
      </c>
      <c r="U201" s="156"/>
      <c r="V201" s="156"/>
      <c r="W201" s="156"/>
      <c r="X201" s="156"/>
      <c r="Y201" s="156"/>
      <c r="Z201" s="156"/>
      <c r="AA201" s="155"/>
      <c r="AB201" s="155"/>
      <c r="AC201" s="155"/>
      <c r="AD201" s="155"/>
    </row>
    <row r="202" spans="1:30" x14ac:dyDescent="0.25">
      <c r="A202" s="156">
        <v>4</v>
      </c>
      <c r="B202" s="156"/>
      <c r="C202" s="167">
        <f>+E202-E201</f>
        <v>195.22963867497901</v>
      </c>
      <c r="D202" s="159">
        <f>+G202-G201</f>
        <v>179.89113138755602</v>
      </c>
      <c r="E202" s="156">
        <v>783.73242342834203</v>
      </c>
      <c r="F202" s="156"/>
      <c r="G202" s="156">
        <v>716.230759190247</v>
      </c>
      <c r="H202" s="156"/>
      <c r="I202" s="156">
        <v>141.69999999999999</v>
      </c>
      <c r="J202" s="156">
        <v>4</v>
      </c>
      <c r="K202" s="156"/>
      <c r="L202" s="174">
        <v>17661.404213438705</v>
      </c>
      <c r="M202" s="174">
        <v>882.4718984768997</v>
      </c>
      <c r="N202" s="164">
        <f t="shared" si="7"/>
        <v>1197.6438554868064</v>
      </c>
      <c r="O202" s="174">
        <v>7193.856491304301</v>
      </c>
      <c r="P202" s="174">
        <v>1425.3376484527203</v>
      </c>
      <c r="Q202" s="164">
        <f t="shared" si="4"/>
        <v>1934.3923354496474</v>
      </c>
      <c r="R202" s="174">
        <v>9159.825978260902</v>
      </c>
      <c r="S202" s="174">
        <v>158.55842389179503</v>
      </c>
      <c r="T202" s="164">
        <f t="shared" si="5"/>
        <v>215.18704724471363</v>
      </c>
      <c r="U202" s="156"/>
      <c r="V202" s="156"/>
      <c r="W202" s="156"/>
      <c r="X202" s="156"/>
      <c r="Y202" s="156"/>
      <c r="Z202" s="156"/>
      <c r="AA202" s="155"/>
      <c r="AB202" s="155"/>
      <c r="AC202" s="155"/>
      <c r="AD202" s="155"/>
    </row>
    <row r="203" spans="1:30" x14ac:dyDescent="0.25">
      <c r="A203" s="156">
        <v>1</v>
      </c>
      <c r="B203" s="156">
        <v>2016</v>
      </c>
      <c r="C203" s="167">
        <f>E203</f>
        <v>217.297581707322</v>
      </c>
      <c r="D203" s="159">
        <f>G203</f>
        <v>201.19677375494101</v>
      </c>
      <c r="E203" s="156">
        <v>217.297581707322</v>
      </c>
      <c r="F203" s="156"/>
      <c r="G203" s="156">
        <v>201.19677375494101</v>
      </c>
      <c r="H203" s="156"/>
      <c r="I203" s="156">
        <v>142.69999999999999</v>
      </c>
      <c r="J203" s="156">
        <v>1</v>
      </c>
      <c r="K203" s="156">
        <v>2016</v>
      </c>
      <c r="L203" s="174">
        <v>20668.165818181998</v>
      </c>
      <c r="M203" s="174">
        <v>1021.6300324660001</v>
      </c>
      <c r="N203" s="164">
        <f t="shared" si="7"/>
        <v>1376.7856617783389</v>
      </c>
      <c r="O203" s="174">
        <v>6682.5362000000005</v>
      </c>
      <c r="P203" s="174">
        <v>1267.176908724</v>
      </c>
      <c r="Q203" s="164">
        <f t="shared" si="4"/>
        <v>1707.6935323217051</v>
      </c>
      <c r="R203" s="174">
        <v>6340.7358571430004</v>
      </c>
      <c r="S203" s="174">
        <v>128.592957756</v>
      </c>
      <c r="T203" s="164">
        <f t="shared" si="5"/>
        <v>173.29653085547923</v>
      </c>
      <c r="U203" s="156"/>
      <c r="V203" s="156"/>
      <c r="W203" s="156"/>
      <c r="X203" s="156"/>
      <c r="Y203" s="156"/>
      <c r="Z203" s="156"/>
      <c r="AA203" s="155"/>
      <c r="AB203" s="155"/>
      <c r="AC203" s="155"/>
      <c r="AD203" s="155"/>
    </row>
    <row r="204" spans="1:30" x14ac:dyDescent="0.25">
      <c r="A204" s="156">
        <v>2</v>
      </c>
      <c r="B204" s="156"/>
      <c r="C204" s="167">
        <f>+E204-E203</f>
        <v>210.94903078835901</v>
      </c>
      <c r="D204" s="159">
        <f>+G204-G203</f>
        <v>192.89311593057502</v>
      </c>
      <c r="E204" s="156">
        <v>428.24661249568101</v>
      </c>
      <c r="F204" s="156"/>
      <c r="G204" s="156">
        <v>394.08988968551603</v>
      </c>
      <c r="H204" s="156"/>
      <c r="I204" s="156">
        <v>144.30000000000001</v>
      </c>
      <c r="J204" s="156">
        <v>2</v>
      </c>
      <c r="K204" s="156"/>
      <c r="L204" s="174">
        <v>19039.287573122998</v>
      </c>
      <c r="M204" s="174">
        <v>795.20392340999979</v>
      </c>
      <c r="N204" s="164">
        <f t="shared" si="7"/>
        <v>1059.7632115384595</v>
      </c>
      <c r="O204" s="174">
        <v>5385.3991579709982</v>
      </c>
      <c r="P204" s="174">
        <v>991.5183596400002</v>
      </c>
      <c r="Q204" s="164">
        <f t="shared" si="4"/>
        <v>1321.3902122181335</v>
      </c>
      <c r="R204" s="174">
        <v>10107.700518632999</v>
      </c>
      <c r="S204" s="174">
        <v>152.61472035099999</v>
      </c>
      <c r="T204" s="164">
        <f t="shared" si="5"/>
        <v>203.38866724105728</v>
      </c>
      <c r="U204" s="156"/>
      <c r="V204" s="156"/>
      <c r="W204" s="156"/>
      <c r="X204" s="156"/>
      <c r="Y204" s="156"/>
      <c r="Z204" s="156"/>
      <c r="AA204" s="155"/>
      <c r="AB204" s="155"/>
      <c r="AC204" s="155"/>
      <c r="AD204" s="155"/>
    </row>
    <row r="205" spans="1:30" x14ac:dyDescent="0.25">
      <c r="A205" s="156">
        <v>3</v>
      </c>
      <c r="B205" s="156"/>
      <c r="C205" s="167">
        <f>+E205-E204</f>
        <v>193.64755294266695</v>
      </c>
      <c r="D205" s="159">
        <f>+G205-G204</f>
        <v>175.641874720337</v>
      </c>
      <c r="E205" s="156">
        <v>621.89416543834795</v>
      </c>
      <c r="F205" s="156"/>
      <c r="G205" s="156">
        <v>569.73176440585303</v>
      </c>
      <c r="H205" s="156"/>
      <c r="I205" s="156">
        <v>145.30000000000001</v>
      </c>
      <c r="J205" s="156">
        <v>3</v>
      </c>
      <c r="K205" s="156"/>
      <c r="L205" s="174">
        <v>25325.005330874006</v>
      </c>
      <c r="M205" s="174">
        <v>1404.3111468839998</v>
      </c>
      <c r="N205" s="164">
        <f t="shared" si="7"/>
        <v>1858.6361730160377</v>
      </c>
      <c r="O205" s="174">
        <v>9666.7747891530034</v>
      </c>
      <c r="P205" s="174">
        <v>1492.4533452979995</v>
      </c>
      <c r="Q205" s="164">
        <f t="shared" si="4"/>
        <v>1975.2942788104149</v>
      </c>
      <c r="R205" s="174">
        <v>10325.156290487997</v>
      </c>
      <c r="S205" s="174">
        <v>149.15188867200001</v>
      </c>
      <c r="T205" s="164">
        <f t="shared" si="5"/>
        <v>197.40575026735104</v>
      </c>
      <c r="U205" s="156"/>
      <c r="V205" s="156"/>
      <c r="W205" s="156"/>
      <c r="X205" s="156"/>
      <c r="Y205" s="156"/>
      <c r="Z205" s="156"/>
      <c r="AA205" s="155"/>
      <c r="AB205" s="155"/>
      <c r="AC205" s="155"/>
      <c r="AD205" s="155"/>
    </row>
    <row r="206" spans="1:30" x14ac:dyDescent="0.25">
      <c r="A206" s="156">
        <v>4</v>
      </c>
      <c r="B206" s="156"/>
      <c r="C206" s="167">
        <f>+E206-E205</f>
        <v>194.66297676649504</v>
      </c>
      <c r="D206" s="159">
        <f>+G206-G205</f>
        <v>178.45454935802093</v>
      </c>
      <c r="E206" s="156">
        <v>816.55714220484299</v>
      </c>
      <c r="F206" s="156"/>
      <c r="G206" s="156">
        <v>748.18631376387395</v>
      </c>
      <c r="H206" s="156"/>
      <c r="I206" s="156">
        <v>146.69999999999999</v>
      </c>
      <c r="J206" s="156">
        <v>4</v>
      </c>
      <c r="K206" s="156"/>
      <c r="L206" s="174">
        <v>18369.446222722992</v>
      </c>
      <c r="M206" s="174">
        <v>962.00640138500057</v>
      </c>
      <c r="N206" s="164">
        <f t="shared" si="7"/>
        <v>1261.0854194654175</v>
      </c>
      <c r="O206" s="174">
        <v>6575.4640743699983</v>
      </c>
      <c r="P206" s="174">
        <v>1222.1149542560006</v>
      </c>
      <c r="Q206" s="164">
        <f t="shared" si="4"/>
        <v>1602.0593496093529</v>
      </c>
      <c r="R206" s="174">
        <v>7957.0224983410008</v>
      </c>
      <c r="S206" s="174">
        <v>147.86469469900001</v>
      </c>
      <c r="T206" s="164">
        <f t="shared" si="5"/>
        <v>193.83447996827618</v>
      </c>
      <c r="U206" s="156"/>
      <c r="V206" s="156"/>
      <c r="W206" s="156"/>
      <c r="X206" s="156"/>
      <c r="Y206" s="156"/>
      <c r="Z206" s="156"/>
      <c r="AA206" s="155"/>
      <c r="AB206" s="155"/>
      <c r="AC206" s="155"/>
      <c r="AD206" s="155"/>
    </row>
    <row r="207" spans="1:30" x14ac:dyDescent="0.25">
      <c r="A207" s="156">
        <v>1</v>
      </c>
      <c r="B207" s="156">
        <v>2017</v>
      </c>
      <c r="C207" s="167">
        <f>E207</f>
        <v>227.02914608932699</v>
      </c>
      <c r="D207" s="159">
        <f>G207</f>
        <v>210.737716871462</v>
      </c>
      <c r="E207" s="156">
        <v>227.02914608932699</v>
      </c>
      <c r="F207" s="156"/>
      <c r="G207" s="156">
        <v>210.737716871462</v>
      </c>
      <c r="H207" s="156"/>
      <c r="I207" s="156">
        <v>146.4</v>
      </c>
      <c r="J207" s="156">
        <v>1</v>
      </c>
      <c r="K207" s="156">
        <v>2017</v>
      </c>
      <c r="L207" s="174">
        <v>20188.970584052</v>
      </c>
      <c r="M207" s="174">
        <v>1029.1484993670001</v>
      </c>
      <c r="N207" s="164">
        <f t="shared" si="7"/>
        <v>1351.8659354862843</v>
      </c>
      <c r="O207" s="174">
        <v>7124.2571060979999</v>
      </c>
      <c r="P207" s="174">
        <v>1296.4468783369998</v>
      </c>
      <c r="Q207" s="164">
        <f t="shared" si="4"/>
        <v>1702.9829738558715</v>
      </c>
      <c r="R207" s="174">
        <v>6121.3819215860003</v>
      </c>
      <c r="S207" s="174">
        <v>141.149656131</v>
      </c>
      <c r="T207" s="164">
        <f t="shared" si="5"/>
        <v>185.41096065967815</v>
      </c>
      <c r="U207" s="156"/>
      <c r="V207" s="156"/>
      <c r="W207" s="156"/>
      <c r="X207" s="156"/>
      <c r="Y207" s="156"/>
      <c r="Z207" s="156"/>
      <c r="AA207" s="155"/>
      <c r="AB207" s="155"/>
      <c r="AC207" s="155"/>
      <c r="AD207" s="155"/>
    </row>
    <row r="208" spans="1:30" x14ac:dyDescent="0.25">
      <c r="A208" s="156">
        <v>2</v>
      </c>
      <c r="B208" s="156"/>
      <c r="C208" s="167">
        <f>+E208-E207</f>
        <v>200.76722202181199</v>
      </c>
      <c r="D208" s="159">
        <f>+G208-G207</f>
        <v>183.70797761744905</v>
      </c>
      <c r="E208" s="156">
        <v>427.79636811113897</v>
      </c>
      <c r="F208" s="156"/>
      <c r="G208" s="156">
        <v>394.44569448891104</v>
      </c>
      <c r="H208" s="156"/>
      <c r="I208" s="156">
        <v>147.4</v>
      </c>
      <c r="J208" s="156">
        <v>2</v>
      </c>
      <c r="K208" s="156"/>
      <c r="L208" s="174">
        <v>16357.538075795001</v>
      </c>
      <c r="M208" s="174">
        <v>768.50776898899994</v>
      </c>
      <c r="N208" s="164">
        <f t="shared" si="7"/>
        <v>1002.6455602090058</v>
      </c>
      <c r="O208" s="174">
        <v>5007.3623026510004</v>
      </c>
      <c r="P208" s="174">
        <v>1681.8190342150001</v>
      </c>
      <c r="Q208" s="164">
        <f t="shared" si="4"/>
        <v>2194.2112438876388</v>
      </c>
      <c r="R208" s="174">
        <v>7194.9193664359991</v>
      </c>
      <c r="S208" s="174">
        <v>119.946167266</v>
      </c>
      <c r="T208" s="164">
        <f t="shared" si="5"/>
        <v>156.48962434244834</v>
      </c>
      <c r="U208" s="156"/>
      <c r="V208" s="156"/>
      <c r="W208" s="156"/>
      <c r="X208" s="156"/>
      <c r="Y208" s="156"/>
      <c r="Z208" s="156"/>
      <c r="AA208" s="155"/>
      <c r="AB208" s="155"/>
      <c r="AC208" s="155"/>
      <c r="AD208" s="155"/>
    </row>
    <row r="209" spans="1:30" x14ac:dyDescent="0.25">
      <c r="A209" s="156">
        <v>3</v>
      </c>
      <c r="B209" s="156"/>
      <c r="C209" s="167">
        <f>+E209-E208</f>
        <v>195.05863188886104</v>
      </c>
      <c r="D209" s="159">
        <f>+G209-G208</f>
        <v>176.76630551108894</v>
      </c>
      <c r="E209" s="156">
        <v>622.85500000000002</v>
      </c>
      <c r="F209" s="156"/>
      <c r="G209" s="156">
        <v>571.21199999999999</v>
      </c>
      <c r="H209" s="156"/>
      <c r="I209" s="156">
        <v>147.30000000000001</v>
      </c>
      <c r="J209" s="156">
        <v>3</v>
      </c>
      <c r="K209" s="156"/>
      <c r="L209" s="174">
        <v>19399</v>
      </c>
      <c r="M209" s="174">
        <v>907</v>
      </c>
      <c r="N209" s="164">
        <f t="shared" si="7"/>
        <v>1184.1349417724143</v>
      </c>
      <c r="O209" s="174">
        <v>8892</v>
      </c>
      <c r="P209" s="174">
        <v>954</v>
      </c>
      <c r="Q209" s="164">
        <f t="shared" si="4"/>
        <v>1245.4958483471701</v>
      </c>
      <c r="R209" s="174">
        <v>8727</v>
      </c>
      <c r="S209" s="174">
        <v>128</v>
      </c>
      <c r="T209" s="164">
        <f t="shared" si="5"/>
        <v>167.11055407593057</v>
      </c>
      <c r="U209" s="156"/>
      <c r="V209" s="156"/>
      <c r="W209" s="156"/>
      <c r="X209" s="156"/>
      <c r="Y209" s="156"/>
      <c r="Z209" s="156"/>
      <c r="AA209" s="155"/>
      <c r="AB209" s="155"/>
      <c r="AC209" s="155"/>
      <c r="AD209" s="155"/>
    </row>
    <row r="210" spans="1:30" x14ac:dyDescent="0.25">
      <c r="A210" s="156">
        <v>4</v>
      </c>
      <c r="B210" s="156"/>
      <c r="C210" s="167">
        <f>+E210-E209</f>
        <v>225.423</v>
      </c>
      <c r="D210" s="159">
        <f>+G210-G209</f>
        <v>208.21799999999996</v>
      </c>
      <c r="E210" s="156">
        <v>848.27800000000002</v>
      </c>
      <c r="F210" s="156"/>
      <c r="G210" s="156">
        <v>779.43</v>
      </c>
      <c r="H210" s="156"/>
      <c r="I210" s="156">
        <v>148.4</v>
      </c>
      <c r="J210" s="156">
        <v>4</v>
      </c>
      <c r="K210" s="156"/>
      <c r="L210" s="174">
        <v>23333</v>
      </c>
      <c r="M210" s="174">
        <v>1141</v>
      </c>
      <c r="N210" s="164">
        <f t="shared" si="7"/>
        <v>1478.5921625544242</v>
      </c>
      <c r="O210" s="174">
        <v>6366</v>
      </c>
      <c r="P210" s="174">
        <v>1205</v>
      </c>
      <c r="Q210" s="164">
        <f t="shared" si="4"/>
        <v>1561.5280945469599</v>
      </c>
      <c r="R210" s="174">
        <v>7520</v>
      </c>
      <c r="S210" s="174">
        <v>124</v>
      </c>
      <c r="T210" s="164">
        <f t="shared" si="5"/>
        <v>160.68836823553781</v>
      </c>
      <c r="U210" s="156"/>
      <c r="V210" s="156"/>
      <c r="W210" s="156"/>
      <c r="X210" s="156"/>
      <c r="Y210" s="156"/>
      <c r="Z210" s="156"/>
      <c r="AA210" s="155"/>
      <c r="AB210" s="155"/>
      <c r="AC210" s="155"/>
      <c r="AD210" s="155"/>
    </row>
    <row r="211" spans="1:30" x14ac:dyDescent="0.25">
      <c r="A211" s="156">
        <v>1</v>
      </c>
      <c r="B211" s="156">
        <v>2018</v>
      </c>
      <c r="C211" s="167">
        <f>E211</f>
        <v>241.52799999999999</v>
      </c>
      <c r="D211" s="167">
        <f>G211</f>
        <v>222.678</v>
      </c>
      <c r="E211" s="156">
        <v>241.52799999999999</v>
      </c>
      <c r="F211" s="156"/>
      <c r="G211" s="156">
        <v>222.678</v>
      </c>
      <c r="H211" s="156"/>
      <c r="I211" s="156">
        <v>149.69999999999999</v>
      </c>
      <c r="J211" s="156">
        <v>1</v>
      </c>
      <c r="K211" s="156">
        <v>2018</v>
      </c>
      <c r="L211" s="174">
        <v>25111</v>
      </c>
      <c r="M211" s="174">
        <v>1175</v>
      </c>
      <c r="N211" s="164">
        <f t="shared" si="7"/>
        <v>1509.4291146395333</v>
      </c>
      <c r="O211" s="174">
        <v>6317</v>
      </c>
      <c r="P211" s="174">
        <v>1262</v>
      </c>
      <c r="Q211" s="164">
        <f t="shared" si="4"/>
        <v>1621.1911001490137</v>
      </c>
      <c r="R211" s="174">
        <v>5433</v>
      </c>
      <c r="S211" s="174">
        <v>116</v>
      </c>
      <c r="T211" s="164">
        <f t="shared" si="5"/>
        <v>149.01598067930712</v>
      </c>
      <c r="U211" s="156"/>
      <c r="V211" s="156"/>
      <c r="W211" s="156"/>
      <c r="X211" s="156"/>
      <c r="Y211" s="156"/>
      <c r="Z211" s="156"/>
      <c r="AA211" s="155"/>
      <c r="AB211" s="155"/>
      <c r="AC211" s="155"/>
      <c r="AD211" s="155"/>
    </row>
    <row r="212" spans="1:30" x14ac:dyDescent="0.25">
      <c r="A212" s="156">
        <v>2</v>
      </c>
      <c r="B212" s="156"/>
      <c r="C212" s="167">
        <f>+E212-E211</f>
        <v>226.77080239162902</v>
      </c>
      <c r="D212" s="167">
        <f>+G212-G211</f>
        <v>208.83864191330298</v>
      </c>
      <c r="E212" s="156">
        <v>468.29880239162901</v>
      </c>
      <c r="F212" s="156"/>
      <c r="G212" s="156">
        <v>431.51664191330298</v>
      </c>
      <c r="H212" s="156"/>
      <c r="I212" s="156">
        <v>150.80000000000001</v>
      </c>
      <c r="J212" s="156">
        <v>2</v>
      </c>
      <c r="K212" s="156"/>
      <c r="L212" s="174">
        <v>20973.437462450995</v>
      </c>
      <c r="M212" s="174">
        <v>1076.7915513600001</v>
      </c>
      <c r="N212" s="164">
        <f t="shared" si="7"/>
        <v>1373.1783709447031</v>
      </c>
      <c r="O212" s="174">
        <v>5869.5992710140017</v>
      </c>
      <c r="P212" s="174">
        <v>1471.9660798479999</v>
      </c>
      <c r="Q212" s="164">
        <f t="shared" si="4"/>
        <v>1877.124668241172</v>
      </c>
      <c r="R212" s="174">
        <v>9319.6839472049996</v>
      </c>
      <c r="S212" s="174">
        <v>135.61776245999999</v>
      </c>
      <c r="T212" s="164">
        <f t="shared" si="5"/>
        <v>172.94654465925291</v>
      </c>
      <c r="U212" s="156"/>
      <c r="V212" s="156"/>
      <c r="W212" s="156"/>
      <c r="X212" s="156"/>
      <c r="Y212" s="156"/>
      <c r="Z212" s="156"/>
      <c r="AA212" s="155"/>
      <c r="AB212" s="155"/>
      <c r="AC212" s="155"/>
      <c r="AD212" s="155"/>
    </row>
    <row r="213" spans="1:30" x14ac:dyDescent="0.25">
      <c r="A213" s="156">
        <v>3</v>
      </c>
      <c r="B213" s="156"/>
      <c r="C213" s="167">
        <f>+E213-E212</f>
        <v>230.04425590433516</v>
      </c>
      <c r="D213" s="167">
        <f>+G213-G212</f>
        <v>207.39460472346803</v>
      </c>
      <c r="E213" s="156">
        <v>698.34305829596417</v>
      </c>
      <c r="F213" s="156"/>
      <c r="G213" s="156">
        <v>638.91124663677101</v>
      </c>
      <c r="H213" s="156"/>
      <c r="I213" s="156">
        <v>152.30000000000001</v>
      </c>
      <c r="J213" s="156">
        <v>3</v>
      </c>
      <c r="K213" s="156"/>
      <c r="L213" s="174">
        <v>22635.655438734771</v>
      </c>
      <c r="M213" s="174">
        <v>1212.1884087902995</v>
      </c>
      <c r="N213" s="164">
        <f t="shared" si="7"/>
        <v>1530.6182241404838</v>
      </c>
      <c r="O213" s="174">
        <v>10333.380031159912</v>
      </c>
      <c r="P213" s="174">
        <v>1822.4517080118057</v>
      </c>
      <c r="Q213" s="164">
        <f t="shared" si="4"/>
        <v>2301.1916107023117</v>
      </c>
      <c r="R213" s="174">
        <v>9726.2967189440697</v>
      </c>
      <c r="S213" s="174">
        <v>150.27129325880639</v>
      </c>
      <c r="T213" s="164">
        <f t="shared" si="5"/>
        <v>189.74606452195331</v>
      </c>
      <c r="U213" s="156"/>
      <c r="V213" s="156"/>
      <c r="W213" s="156"/>
      <c r="X213" s="156"/>
      <c r="Y213" s="156"/>
      <c r="Z213" s="156"/>
      <c r="AA213" s="155"/>
      <c r="AB213" s="155"/>
      <c r="AC213" s="155"/>
      <c r="AD213" s="155"/>
    </row>
    <row r="214" spans="1:30" x14ac:dyDescent="0.25">
      <c r="A214" s="156">
        <v>4</v>
      </c>
      <c r="B214" s="156"/>
      <c r="C214" s="167">
        <f>+E214-E213</f>
        <v>212.66674917787782</v>
      </c>
      <c r="D214" s="167">
        <f>+G214-G213</f>
        <v>195.66619934230232</v>
      </c>
      <c r="E214" s="156">
        <v>911.00980747384199</v>
      </c>
      <c r="F214" s="156"/>
      <c r="G214" s="156">
        <v>834.57744597907333</v>
      </c>
      <c r="H214" s="156"/>
      <c r="I214" s="156">
        <v>153.6</v>
      </c>
      <c r="J214" s="156">
        <v>4</v>
      </c>
      <c r="K214" s="156"/>
      <c r="L214" s="174">
        <v>22335.438371541502</v>
      </c>
      <c r="M214" s="174">
        <v>1078.6341079945755</v>
      </c>
      <c r="N214" s="164">
        <f t="shared" si="7"/>
        <v>1350.4533603698089</v>
      </c>
      <c r="O214" s="174">
        <v>7362.2217963768126</v>
      </c>
      <c r="P214" s="174">
        <v>1452.0805351783911</v>
      </c>
      <c r="Q214" s="164">
        <f t="shared" si="4"/>
        <v>1818.0094841476223</v>
      </c>
      <c r="R214" s="174">
        <v>8182.2589673913026</v>
      </c>
      <c r="S214" s="174">
        <v>116.53210966099653</v>
      </c>
      <c r="T214" s="164">
        <f t="shared" si="5"/>
        <v>145.8985747959189</v>
      </c>
      <c r="U214" s="156"/>
      <c r="V214" s="156"/>
      <c r="W214" s="156"/>
      <c r="X214" s="156"/>
      <c r="Y214" s="156"/>
      <c r="Z214" s="156"/>
      <c r="AA214" s="155"/>
      <c r="AB214" s="155"/>
      <c r="AC214" s="155"/>
      <c r="AD214" s="155"/>
    </row>
    <row r="215" spans="1:30" x14ac:dyDescent="0.25">
      <c r="A215" s="156">
        <v>1</v>
      </c>
      <c r="B215" s="156">
        <v>2019</v>
      </c>
      <c r="C215" s="167">
        <f>E215</f>
        <v>242.05576995515696</v>
      </c>
      <c r="D215" s="167">
        <f>G215</f>
        <v>223.58363596412556</v>
      </c>
      <c r="E215" s="156">
        <v>242.05576995515696</v>
      </c>
      <c r="F215" s="156"/>
      <c r="G215" s="156">
        <v>223.58363596412556</v>
      </c>
      <c r="H215" s="156"/>
      <c r="I215" s="156">
        <v>154.1</v>
      </c>
      <c r="J215" s="156">
        <v>1</v>
      </c>
      <c r="K215" s="156">
        <v>2019</v>
      </c>
      <c r="L215" s="174">
        <v>22394.924612648225</v>
      </c>
      <c r="M215" s="174">
        <v>1151.1138601930163</v>
      </c>
      <c r="N215" s="164">
        <f t="shared" si="7"/>
        <v>1436.5220638359388</v>
      </c>
      <c r="O215" s="174">
        <v>6179.0660115942028</v>
      </c>
      <c r="P215" s="174">
        <v>1384.5030606846908</v>
      </c>
      <c r="Q215" s="164">
        <f t="shared" si="4"/>
        <v>1727.7779921687825</v>
      </c>
      <c r="R215" s="174">
        <v>6840.1016739130437</v>
      </c>
      <c r="S215" s="174">
        <v>122.43916062391185</v>
      </c>
      <c r="T215" s="164">
        <f t="shared" si="5"/>
        <v>152.79683600048878</v>
      </c>
      <c r="U215" s="156"/>
      <c r="V215" s="156"/>
      <c r="W215" s="156"/>
      <c r="X215" s="156"/>
      <c r="Y215" s="156"/>
      <c r="Z215" s="156"/>
      <c r="AA215" s="155"/>
      <c r="AB215" s="155"/>
      <c r="AC215" s="155"/>
      <c r="AD215" s="155"/>
    </row>
    <row r="216" spans="1:30" x14ac:dyDescent="0.25">
      <c r="A216" s="156">
        <v>2</v>
      </c>
      <c r="B216" s="156"/>
      <c r="C216" s="167">
        <f>+E216-E215</f>
        <v>221.71122705530604</v>
      </c>
      <c r="D216" s="167">
        <f>+G216-G215</f>
        <v>199.97176164424542</v>
      </c>
      <c r="E216" s="156">
        <v>463.766997010463</v>
      </c>
      <c r="F216" s="156"/>
      <c r="G216" s="156">
        <v>423.55539760837098</v>
      </c>
      <c r="H216" s="156"/>
      <c r="I216" s="156">
        <v>154.6</v>
      </c>
      <c r="J216" s="156">
        <v>2</v>
      </c>
      <c r="K216" s="156"/>
      <c r="L216" s="174">
        <v>19703.243703557309</v>
      </c>
      <c r="M216" s="174">
        <v>1006.9446819648526</v>
      </c>
      <c r="N216" s="164">
        <f t="shared" si="7"/>
        <v>1252.5433898458193</v>
      </c>
      <c r="O216" s="174">
        <v>8628.701004347824</v>
      </c>
      <c r="P216" s="174">
        <v>1346.7424148398591</v>
      </c>
      <c r="Q216" s="164">
        <f t="shared" si="4"/>
        <v>1675.2194432777603</v>
      </c>
      <c r="R216" s="174">
        <v>10227.612341614906</v>
      </c>
      <c r="S216" s="174">
        <v>141.53554504088498</v>
      </c>
      <c r="T216" s="164">
        <f t="shared" si="5"/>
        <v>176.05675321037512</v>
      </c>
      <c r="U216" s="156"/>
      <c r="V216" s="156"/>
      <c r="W216" s="156"/>
      <c r="X216" s="156"/>
      <c r="Y216" s="156"/>
      <c r="Z216" s="156"/>
      <c r="AA216" s="155"/>
      <c r="AB216" s="155"/>
      <c r="AC216" s="155"/>
      <c r="AD216" s="155"/>
    </row>
    <row r="217" spans="1:30" x14ac:dyDescent="0.25">
      <c r="A217" s="156">
        <v>3</v>
      </c>
      <c r="B217" s="156"/>
      <c r="C217" s="167">
        <f>+E217-E216</f>
        <v>200.66800298953694</v>
      </c>
      <c r="D217" s="167">
        <f>+G217-G216</f>
        <v>183.517602391629</v>
      </c>
      <c r="E217" s="156">
        <v>664.43499999999995</v>
      </c>
      <c r="F217" s="156"/>
      <c r="G217" s="156">
        <v>607.07299999999998</v>
      </c>
      <c r="H217" s="156"/>
      <c r="I217" s="156">
        <v>154.69999999999999</v>
      </c>
      <c r="J217" s="156">
        <v>3</v>
      </c>
      <c r="K217" s="156"/>
      <c r="L217" s="174">
        <v>26165.077849802379</v>
      </c>
      <c r="M217" s="174">
        <v>1402.3482904344257</v>
      </c>
      <c r="N217" s="164">
        <f t="shared" si="7"/>
        <v>1743.2602685525628</v>
      </c>
      <c r="O217" s="174">
        <v>13748.462299275363</v>
      </c>
      <c r="P217" s="174">
        <v>1484.9789315777889</v>
      </c>
      <c r="Q217" s="164">
        <f t="shared" si="4"/>
        <v>1845.9784838866624</v>
      </c>
      <c r="R217" s="174">
        <v>10507.793672360251</v>
      </c>
      <c r="S217" s="174">
        <v>144.78676128055025</v>
      </c>
      <c r="T217" s="164">
        <f t="shared" si="5"/>
        <v>179.98453741801754</v>
      </c>
      <c r="U217" s="156"/>
      <c r="V217" s="156"/>
      <c r="W217" s="156"/>
      <c r="X217" s="156"/>
      <c r="Y217" s="156"/>
      <c r="Z217" s="156"/>
      <c r="AA217" s="155"/>
      <c r="AB217" s="155"/>
      <c r="AC217" s="155"/>
      <c r="AD217" s="155"/>
    </row>
    <row r="218" spans="1:30" x14ac:dyDescent="0.25">
      <c r="A218" s="156">
        <v>4</v>
      </c>
      <c r="B218" s="156"/>
      <c r="C218" s="167">
        <f>+E218-E217</f>
        <v>216.91973572496272</v>
      </c>
      <c r="D218" s="167">
        <f>+G218-G217</f>
        <v>199.72038857997018</v>
      </c>
      <c r="E218" s="156">
        <v>881.35473572496267</v>
      </c>
      <c r="F218" s="156"/>
      <c r="G218" s="156">
        <v>806.79338857997016</v>
      </c>
      <c r="H218" s="156"/>
      <c r="I218" s="156">
        <v>156.1</v>
      </c>
      <c r="J218" s="156">
        <v>4</v>
      </c>
      <c r="K218" s="156"/>
      <c r="L218" s="174">
        <v>22621.988837944664</v>
      </c>
      <c r="M218" s="174">
        <v>1317.7971704198299</v>
      </c>
      <c r="N218" s="164">
        <f t="shared" si="7"/>
        <v>1623.4627339720935</v>
      </c>
      <c r="O218" s="174">
        <v>7776.9221253623255</v>
      </c>
      <c r="P218" s="174">
        <v>1227.7391162265512</v>
      </c>
      <c r="Q218" s="164">
        <f t="shared" si="4"/>
        <v>1512.5155425843263</v>
      </c>
      <c r="R218" s="174">
        <v>9597.5708897515542</v>
      </c>
      <c r="S218" s="174">
        <v>133.20019148427383</v>
      </c>
      <c r="T218" s="164">
        <f t="shared" si="5"/>
        <v>164.09622959182184</v>
      </c>
      <c r="U218" s="156"/>
      <c r="V218" s="156"/>
      <c r="W218" s="156"/>
      <c r="X218" s="156"/>
      <c r="Y218" s="156"/>
      <c r="Z218" s="156"/>
      <c r="AA218" s="155"/>
      <c r="AB218" s="155"/>
      <c r="AC218" s="155"/>
      <c r="AD218" s="155"/>
    </row>
    <row r="219" spans="1:30" x14ac:dyDescent="0.25">
      <c r="A219" s="156">
        <v>1</v>
      </c>
      <c r="B219" s="156">
        <v>2020</v>
      </c>
      <c r="C219" s="167">
        <f>E219</f>
        <v>245.16278393124065</v>
      </c>
      <c r="D219" s="167">
        <f>G219</f>
        <v>227.94719714499254</v>
      </c>
      <c r="E219" s="156">
        <v>245.16278393124065</v>
      </c>
      <c r="F219" s="156"/>
      <c r="G219" s="156">
        <v>227.94719714499254</v>
      </c>
      <c r="H219" s="156"/>
      <c r="I219" s="156">
        <v>155.52000000000001</v>
      </c>
      <c r="J219" s="156">
        <v>1</v>
      </c>
      <c r="K219" s="156">
        <v>2020</v>
      </c>
      <c r="L219" s="174">
        <v>22417.308750988144</v>
      </c>
      <c r="M219" s="174">
        <v>1187.0066434405767</v>
      </c>
      <c r="N219" s="164">
        <f t="shared" si="7"/>
        <v>1467.7887625640219</v>
      </c>
      <c r="O219" s="174">
        <v>7817.2878601449283</v>
      </c>
      <c r="P219" s="174">
        <v>1773.3957103534681</v>
      </c>
      <c r="Q219" s="164">
        <f t="shared" si="4"/>
        <v>2192.8860378500231</v>
      </c>
      <c r="R219" s="174">
        <v>8173.2696444099374</v>
      </c>
      <c r="S219" s="174">
        <v>145.83786039029874</v>
      </c>
      <c r="T219" s="164">
        <f t="shared" si="5"/>
        <v>180.33527766685773</v>
      </c>
      <c r="U219" s="156"/>
      <c r="V219" s="156"/>
      <c r="W219" s="156"/>
      <c r="X219" s="156"/>
      <c r="Y219" s="156"/>
      <c r="Z219" s="156"/>
      <c r="AA219" s="155"/>
      <c r="AB219" s="155"/>
      <c r="AC219" s="155"/>
      <c r="AD219" s="155"/>
    </row>
    <row r="220" spans="1:30" x14ac:dyDescent="0.25">
      <c r="A220" s="156">
        <v>2</v>
      </c>
      <c r="B220" s="156"/>
      <c r="C220" s="167">
        <f>+E220-E219</f>
        <v>219.4338294469357</v>
      </c>
      <c r="D220" s="167">
        <f>+G220-G219</f>
        <v>199.23928355754859</v>
      </c>
      <c r="E220" s="173">
        <v>464.59661337817636</v>
      </c>
      <c r="F220" s="156"/>
      <c r="G220" s="156">
        <v>427.18648070254113</v>
      </c>
      <c r="H220" s="156"/>
      <c r="I220" s="156">
        <v>156.5</v>
      </c>
      <c r="J220" s="156">
        <v>2</v>
      </c>
      <c r="K220" s="156"/>
      <c r="L220" s="174">
        <v>20318.697663474304</v>
      </c>
      <c r="M220" s="174">
        <v>1003.3659178621033</v>
      </c>
      <c r="N220" s="164">
        <f t="shared" si="7"/>
        <v>1232.9391961932929</v>
      </c>
      <c r="O220" s="174">
        <v>6698.4276256020294</v>
      </c>
      <c r="P220" s="174">
        <v>1195.3385633418739</v>
      </c>
      <c r="Q220" s="164">
        <f t="shared" si="4"/>
        <v>1468.8357868541068</v>
      </c>
      <c r="R220" s="174">
        <v>9378.7613872911825</v>
      </c>
      <c r="S220" s="174">
        <v>125.6048434375343</v>
      </c>
      <c r="T220" s="164">
        <f t="shared" si="5"/>
        <v>154.34362673572636</v>
      </c>
      <c r="U220" s="156"/>
      <c r="V220" s="156"/>
      <c r="W220" s="156"/>
      <c r="X220" s="156"/>
      <c r="Y220" s="156"/>
      <c r="Z220" s="156"/>
      <c r="AA220" s="155"/>
      <c r="AB220" s="155"/>
      <c r="AC220" s="155"/>
      <c r="AD220" s="155"/>
    </row>
    <row r="221" spans="1:30" x14ac:dyDescent="0.25">
      <c r="A221" s="156">
        <v>3</v>
      </c>
      <c r="B221" s="156"/>
      <c r="C221" s="167">
        <f>+E221-E220</f>
        <v>230.4091689088192</v>
      </c>
      <c r="D221" s="167">
        <f>+G221-G220</f>
        <v>212.03913512705532</v>
      </c>
      <c r="E221" s="173">
        <v>695.00578228699555</v>
      </c>
      <c r="F221" s="156"/>
      <c r="G221" s="156">
        <v>639.22561582959645</v>
      </c>
      <c r="H221" s="156"/>
      <c r="I221" s="156">
        <v>157.34</v>
      </c>
      <c r="J221" s="156">
        <v>3</v>
      </c>
      <c r="K221" s="156"/>
      <c r="L221" s="174">
        <v>23115.129949173919</v>
      </c>
      <c r="M221" s="174">
        <v>1190.2908927373355</v>
      </c>
      <c r="N221" s="164">
        <f t="shared" si="7"/>
        <v>1454.824550382481</v>
      </c>
      <c r="O221" s="174">
        <v>9381.5569490356484</v>
      </c>
      <c r="P221" s="174">
        <v>1044.8337260564822</v>
      </c>
      <c r="Q221" s="164">
        <f t="shared" si="4"/>
        <v>1277.0405663097072</v>
      </c>
      <c r="R221" s="174">
        <v>12479.986334758509</v>
      </c>
      <c r="S221" s="174">
        <v>159.02277544572789</v>
      </c>
      <c r="T221" s="164">
        <f t="shared" si="5"/>
        <v>194.36445258886636</v>
      </c>
      <c r="U221" s="156"/>
      <c r="V221" s="156"/>
      <c r="W221" s="156"/>
      <c r="X221" s="156"/>
      <c r="Y221" s="156"/>
      <c r="Z221" s="156"/>
      <c r="AA221" s="155"/>
      <c r="AB221" s="155"/>
      <c r="AC221" s="155"/>
      <c r="AD221" s="155"/>
    </row>
    <row r="222" spans="1:30" x14ac:dyDescent="0.25">
      <c r="A222" s="156">
        <v>4</v>
      </c>
      <c r="B222" s="156"/>
      <c r="C222" s="167">
        <f>+E222-E221</f>
        <v>210.53825269058302</v>
      </c>
      <c r="D222" s="167">
        <f>+G222-G221</f>
        <v>195.42257215246639</v>
      </c>
      <c r="E222" s="173">
        <v>905.54403497757858</v>
      </c>
      <c r="F222" s="156"/>
      <c r="G222" s="156">
        <v>834.64818798206284</v>
      </c>
      <c r="H222" s="156"/>
      <c r="I222" s="156">
        <v>156.08000000000001</v>
      </c>
      <c r="J222" s="156">
        <v>4</v>
      </c>
      <c r="K222" s="156"/>
      <c r="L222" s="174">
        <v>24544.608407612643</v>
      </c>
      <c r="M222" s="174">
        <v>1241.5801516088959</v>
      </c>
      <c r="N222" s="164">
        <f t="shared" si="7"/>
        <v>1529.7630303110016</v>
      </c>
      <c r="O222" s="174">
        <v>8299.8127776884066</v>
      </c>
      <c r="P222" s="174">
        <v>1192.0542375158043</v>
      </c>
      <c r="Q222" s="164">
        <f t="shared" si="4"/>
        <v>1468.7416678771763</v>
      </c>
      <c r="R222" s="174">
        <v>9374.137683010551</v>
      </c>
      <c r="S222" s="174">
        <v>112.80928620726445</v>
      </c>
      <c r="T222" s="164">
        <f t="shared" si="5"/>
        <v>138.99342325344037</v>
      </c>
      <c r="U222" s="156"/>
      <c r="V222" s="156"/>
      <c r="W222" s="156"/>
      <c r="X222" s="156"/>
      <c r="Y222" s="156"/>
      <c r="Z222" s="156"/>
      <c r="AA222" s="155"/>
      <c r="AB222" s="155"/>
      <c r="AC222" s="155"/>
      <c r="AD222" s="155"/>
    </row>
    <row r="223" spans="1:30" x14ac:dyDescent="0.25">
      <c r="A223" s="156">
        <v>1</v>
      </c>
      <c r="B223" s="156">
        <v>2021</v>
      </c>
      <c r="C223" s="167">
        <f>E223</f>
        <v>246.03664372197312</v>
      </c>
      <c r="D223" s="167">
        <f>G223</f>
        <v>229.48208497757849</v>
      </c>
      <c r="E223" s="173">
        <v>246.03664372197312</v>
      </c>
      <c r="F223" s="156"/>
      <c r="G223" s="156">
        <v>229.48208497757849</v>
      </c>
      <c r="H223" s="156"/>
      <c r="I223" s="156">
        <v>155.52000000000001</v>
      </c>
      <c r="J223" s="156">
        <v>1</v>
      </c>
      <c r="K223" s="156">
        <v>2021</v>
      </c>
      <c r="L223" s="174">
        <v>34994.274094861663</v>
      </c>
      <c r="M223" s="174">
        <v>1823.5241188431366</v>
      </c>
      <c r="N223" s="164">
        <f t="shared" si="7"/>
        <v>2254.8721396742612</v>
      </c>
      <c r="O223" s="174">
        <v>8185.2405021739132</v>
      </c>
      <c r="P223" s="174">
        <v>1464.197591740502</v>
      </c>
      <c r="Q223" s="164">
        <f t="shared" si="4"/>
        <v>1810.548224987758</v>
      </c>
      <c r="R223" s="174">
        <v>6121.5967593167707</v>
      </c>
      <c r="S223" s="174">
        <v>112.87324166947003</v>
      </c>
      <c r="T223" s="164">
        <f t="shared" si="5"/>
        <v>139.57299787001159</v>
      </c>
      <c r="U223" s="156"/>
      <c r="V223" s="156"/>
      <c r="W223" s="156"/>
      <c r="X223" s="156"/>
      <c r="Y223" s="156"/>
      <c r="Z223" s="156"/>
      <c r="AA223" s="155"/>
      <c r="AB223" s="155"/>
      <c r="AC223" s="155"/>
      <c r="AD223" s="155"/>
    </row>
    <row r="224" spans="1:30" x14ac:dyDescent="0.25">
      <c r="A224" s="156">
        <v>2</v>
      </c>
      <c r="B224" s="156"/>
      <c r="C224" s="167">
        <f>+E224-E223</f>
        <v>241.94121614349774</v>
      </c>
      <c r="D224" s="167">
        <f>+G224-G223</f>
        <v>221.09553291479824</v>
      </c>
      <c r="E224" s="173">
        <v>487.97785986547086</v>
      </c>
      <c r="F224" s="156"/>
      <c r="G224" s="156">
        <v>450.57761789237674</v>
      </c>
      <c r="H224" s="156"/>
      <c r="I224" s="156">
        <v>160.69999999999999</v>
      </c>
      <c r="J224" s="156">
        <v>2</v>
      </c>
      <c r="K224" s="156"/>
      <c r="L224" s="174">
        <v>20425.734197628459</v>
      </c>
      <c r="M224" s="174">
        <v>1061.5540769322004</v>
      </c>
      <c r="N224" s="164">
        <f t="shared" si="7"/>
        <v>1270.3485674838432</v>
      </c>
      <c r="O224" s="174">
        <v>6967.5044210144924</v>
      </c>
      <c r="P224" s="174">
        <v>1472.113681221721</v>
      </c>
      <c r="Q224" s="164">
        <f t="shared" si="4"/>
        <v>1761.6601421924738</v>
      </c>
      <c r="R224" s="174">
        <v>8820.4369021739112</v>
      </c>
      <c r="S224" s="174">
        <v>115.80617621183073</v>
      </c>
      <c r="T224" s="164">
        <f t="shared" si="5"/>
        <v>138.58381146406413</v>
      </c>
      <c r="U224" s="156"/>
      <c r="V224" s="156"/>
      <c r="W224" s="156"/>
      <c r="X224" s="156"/>
      <c r="Y224" s="156"/>
      <c r="Z224" s="156"/>
      <c r="AA224" s="155"/>
      <c r="AB224" s="155"/>
      <c r="AC224" s="155"/>
      <c r="AD224" s="155"/>
    </row>
    <row r="225" spans="1:30" x14ac:dyDescent="0.25">
      <c r="A225" s="156">
        <v>3</v>
      </c>
      <c r="B225" s="156"/>
      <c r="C225" s="167">
        <f>+E225-E224</f>
        <v>223.16246838565024</v>
      </c>
      <c r="D225" s="167">
        <f>+G225-G224</f>
        <v>200.9504247085203</v>
      </c>
      <c r="E225" s="173">
        <v>711.1403282511211</v>
      </c>
      <c r="F225" s="156"/>
      <c r="G225" s="156">
        <v>651.52804260089704</v>
      </c>
      <c r="H225" s="156"/>
      <c r="I225" s="156">
        <v>162.66</v>
      </c>
      <c r="J225" s="156">
        <v>3</v>
      </c>
      <c r="K225" s="156"/>
      <c r="L225" s="174">
        <v>24805.341992094851</v>
      </c>
      <c r="M225" s="174">
        <v>1156.0227184873836</v>
      </c>
      <c r="N225" s="164">
        <f t="shared" si="7"/>
        <v>1366.7285211334895</v>
      </c>
      <c r="O225" s="174">
        <v>11835.432255072465</v>
      </c>
      <c r="P225" s="174">
        <v>1387.9440913118756</v>
      </c>
      <c r="Q225" s="164">
        <f t="shared" si="4"/>
        <v>1640.9217094078651</v>
      </c>
      <c r="R225" s="174">
        <v>8162.7090062111811</v>
      </c>
      <c r="S225" s="174">
        <v>122.41533537856195</v>
      </c>
      <c r="T225" s="164">
        <f t="shared" si="5"/>
        <v>144.72771824494907</v>
      </c>
      <c r="U225" s="156"/>
      <c r="V225" s="156"/>
      <c r="W225" s="156"/>
      <c r="X225" s="156"/>
      <c r="Y225" s="156"/>
      <c r="Z225" s="156"/>
      <c r="AA225" s="155"/>
      <c r="AB225" s="155"/>
      <c r="AC225" s="155"/>
      <c r="AD225" s="155"/>
    </row>
    <row r="226" spans="1:30" x14ac:dyDescent="0.25">
      <c r="A226" s="156">
        <v>4</v>
      </c>
      <c r="B226" s="156"/>
      <c r="C226" s="167">
        <f>+E226-E225</f>
        <v>240.67364342301937</v>
      </c>
      <c r="D226" s="167">
        <f>+G226-G225</f>
        <v>222.83402473841534</v>
      </c>
      <c r="E226" s="173">
        <v>951.81397167414048</v>
      </c>
      <c r="F226" s="156"/>
      <c r="G226" s="156">
        <v>874.36206733931238</v>
      </c>
      <c r="H226" s="156"/>
      <c r="I226" s="156">
        <v>165.17</v>
      </c>
      <c r="J226" s="156">
        <v>4</v>
      </c>
      <c r="K226" s="156"/>
      <c r="L226" s="174">
        <v>23357.504896820246</v>
      </c>
      <c r="M226" s="174">
        <v>1294.0004472542644</v>
      </c>
      <c r="N226" s="164">
        <f t="shared" si="7"/>
        <v>1506.6067679154139</v>
      </c>
      <c r="O226" s="174">
        <v>7240.0729996128648</v>
      </c>
      <c r="P226" s="174">
        <v>1287.0604441566998</v>
      </c>
      <c r="Q226" s="164">
        <f t="shared" si="4"/>
        <v>1498.526511329467</v>
      </c>
      <c r="R226" s="174">
        <v>8198.4054586074526</v>
      </c>
      <c r="S226" s="174">
        <v>109.38408217060596</v>
      </c>
      <c r="T226" s="164">
        <f t="shared" si="5"/>
        <v>127.35605992265056</v>
      </c>
      <c r="U226" s="156"/>
      <c r="V226" s="156"/>
      <c r="W226" s="156"/>
      <c r="X226" s="156"/>
      <c r="Y226" s="156"/>
      <c r="Z226" s="156"/>
      <c r="AA226" s="155"/>
      <c r="AB226" s="155"/>
      <c r="AC226" s="155"/>
      <c r="AD226" s="155"/>
    </row>
    <row r="227" spans="1:30" x14ac:dyDescent="0.25">
      <c r="A227" s="156">
        <v>1</v>
      </c>
      <c r="B227" s="156">
        <v>2022</v>
      </c>
      <c r="C227" s="167">
        <f>E227</f>
        <v>258.31884641255607</v>
      </c>
      <c r="D227" s="167">
        <f>G227</f>
        <v>238.37852713004486</v>
      </c>
      <c r="E227" s="173">
        <v>258.31884641255607</v>
      </c>
      <c r="F227" s="156"/>
      <c r="G227" s="156">
        <v>238.37852713004486</v>
      </c>
      <c r="H227" s="156"/>
      <c r="I227" s="156">
        <v>166.57</v>
      </c>
      <c r="J227" s="156">
        <v>1</v>
      </c>
      <c r="K227" s="156">
        <v>2022</v>
      </c>
      <c r="L227" s="174">
        <v>24505.067470355731</v>
      </c>
      <c r="M227" s="174">
        <v>1376.8794156428476</v>
      </c>
      <c r="N227" s="164">
        <f t="shared" si="7"/>
        <v>1589.6290028711021</v>
      </c>
      <c r="O227" s="174">
        <v>6900.0468369565224</v>
      </c>
      <c r="P227" s="174">
        <v>1583.5781374260632</v>
      </c>
      <c r="Q227" s="164">
        <f t="shared" si="4"/>
        <v>1828.2659374276243</v>
      </c>
      <c r="R227" s="174">
        <v>6778.6444332298142</v>
      </c>
      <c r="S227" s="174">
        <v>123.13727232676555</v>
      </c>
      <c r="T227" s="164">
        <f t="shared" si="5"/>
        <v>142.1639231447686</v>
      </c>
      <c r="U227" s="156"/>
      <c r="V227" s="156"/>
      <c r="W227" s="156"/>
      <c r="X227" s="156"/>
      <c r="Y227" s="156"/>
      <c r="Z227" s="156"/>
      <c r="AA227" s="155"/>
      <c r="AB227" s="155"/>
      <c r="AC227" s="155"/>
      <c r="AD227" s="155"/>
    </row>
    <row r="228" spans="1:30" x14ac:dyDescent="0.25">
      <c r="A228" s="156">
        <v>2</v>
      </c>
      <c r="B228" s="156"/>
      <c r="C228" s="167">
        <f>+E228-E227</f>
        <v>242.59168475336321</v>
      </c>
      <c r="D228" s="167">
        <f>+G228-G227</f>
        <v>221.26676780269054</v>
      </c>
      <c r="E228" s="173">
        <v>500.91053116591928</v>
      </c>
      <c r="F228" s="156"/>
      <c r="G228" s="156">
        <v>459.6452949327354</v>
      </c>
      <c r="H228" s="156"/>
      <c r="I228" s="156">
        <v>169.93</v>
      </c>
      <c r="J228" s="156">
        <v>2</v>
      </c>
      <c r="K228" s="156"/>
      <c r="L228" s="174">
        <v>18109.505441201181</v>
      </c>
      <c r="M228" s="174">
        <v>1059.8182311147266</v>
      </c>
      <c r="N228" s="164">
        <f t="shared" si="7"/>
        <v>1199.3832654110117</v>
      </c>
      <c r="O228" s="174">
        <v>6398.5711338452893</v>
      </c>
      <c r="P228" s="174">
        <v>1382.5138049967145</v>
      </c>
      <c r="Q228" s="164">
        <f t="shared" si="4"/>
        <v>1564.5738799649541</v>
      </c>
      <c r="R228" s="174">
        <v>11377.755536580467</v>
      </c>
      <c r="S228" s="174">
        <v>170.80171301924597</v>
      </c>
      <c r="T228" s="164">
        <f t="shared" si="5"/>
        <v>193.29419921692383</v>
      </c>
      <c r="U228" s="156"/>
      <c r="V228" s="156"/>
      <c r="W228" s="156"/>
      <c r="X228" s="156"/>
      <c r="Y228" s="156"/>
      <c r="Z228" s="156"/>
      <c r="AA228" s="155"/>
      <c r="AB228" s="155"/>
      <c r="AC228" s="155"/>
      <c r="AD228" s="155"/>
    </row>
    <row r="229" spans="1:30" x14ac:dyDescent="0.25">
      <c r="A229" s="156">
        <v>3</v>
      </c>
      <c r="B229" s="156"/>
      <c r="C229" s="167">
        <f>+E229-E228</f>
        <v>236.3725230941705</v>
      </c>
      <c r="D229" s="167">
        <f>+G229-G228</f>
        <v>212.27484847533628</v>
      </c>
      <c r="E229" s="173">
        <v>737.28305426008978</v>
      </c>
      <c r="F229" s="156"/>
      <c r="G229" s="156">
        <v>671.92014340807168</v>
      </c>
      <c r="H229" s="156"/>
      <c r="I229" s="156">
        <v>173.29</v>
      </c>
      <c r="J229" s="156">
        <v>3</v>
      </c>
      <c r="K229" s="156"/>
      <c r="L229" s="174">
        <v>22326.885249827203</v>
      </c>
      <c r="M229" s="174">
        <v>1273.4823653547851</v>
      </c>
      <c r="N229" s="164">
        <f t="shared" si="7"/>
        <v>1413.2405498062199</v>
      </c>
      <c r="O229" s="174">
        <v>9773.5265829437976</v>
      </c>
      <c r="P229" s="174">
        <v>2006.0585934441842</v>
      </c>
      <c r="Q229" s="164">
        <f t="shared" si="4"/>
        <v>2226.2132768149668</v>
      </c>
      <c r="R229" s="174">
        <v>12116.405554623785</v>
      </c>
      <c r="S229" s="174">
        <v>170.05548935231948</v>
      </c>
      <c r="T229" s="164">
        <f t="shared" si="5"/>
        <v>188.71821063881268</v>
      </c>
      <c r="U229" s="156"/>
      <c r="V229" s="156"/>
      <c r="W229" s="156"/>
      <c r="X229" s="156"/>
      <c r="Y229" s="156"/>
      <c r="Z229" s="156"/>
      <c r="AA229" s="155"/>
      <c r="AB229" s="155"/>
      <c r="AC229" s="155"/>
      <c r="AD229" s="155"/>
    </row>
    <row r="230" spans="1:30" x14ac:dyDescent="0.25">
      <c r="A230" s="156">
        <v>4</v>
      </c>
      <c r="B230" s="156"/>
      <c r="C230" s="167">
        <f>+E230-E229</f>
        <v>270.36808991031376</v>
      </c>
      <c r="D230" s="167">
        <f>+G230-G229</f>
        <v>251.76894192825125</v>
      </c>
      <c r="E230" s="173">
        <v>1007.6511441704035</v>
      </c>
      <c r="F230" s="156"/>
      <c r="G230" s="156">
        <v>923.68908533632293</v>
      </c>
      <c r="H230" s="156"/>
      <c r="I230" s="156">
        <v>175.94</v>
      </c>
      <c r="J230" s="156">
        <v>4</v>
      </c>
      <c r="K230" s="156"/>
      <c r="L230" s="174">
        <v>24565.831590744419</v>
      </c>
      <c r="M230" s="174">
        <v>1614.069633403597</v>
      </c>
      <c r="N230" s="164">
        <f t="shared" si="7"/>
        <v>1764.2264773432319</v>
      </c>
      <c r="O230" s="174">
        <v>7886.590696433057</v>
      </c>
      <c r="P230" s="174">
        <v>1979.9688784171885</v>
      </c>
      <c r="Q230" s="164">
        <f t="shared" si="4"/>
        <v>2164.1653168663111</v>
      </c>
      <c r="R230" s="174">
        <v>10409.999344870157</v>
      </c>
      <c r="S230" s="174">
        <v>167.07536170570017</v>
      </c>
      <c r="T230" s="164">
        <f t="shared" si="5"/>
        <v>182.61837700975411</v>
      </c>
      <c r="U230" s="156"/>
      <c r="V230" s="156"/>
      <c r="W230" s="156"/>
      <c r="X230" s="156"/>
      <c r="Y230" s="156"/>
      <c r="Z230" s="156"/>
      <c r="AA230" s="155"/>
      <c r="AB230" s="155"/>
      <c r="AC230" s="155"/>
      <c r="AD230" s="155"/>
    </row>
    <row r="231" spans="1:30" x14ac:dyDescent="0.25">
      <c r="A231" s="156">
        <v>1</v>
      </c>
      <c r="B231" s="156">
        <v>2023</v>
      </c>
      <c r="C231" s="167">
        <f>E231</f>
        <v>302.38750433482812</v>
      </c>
      <c r="D231" s="167">
        <f>G231</f>
        <v>281.08376346786247</v>
      </c>
      <c r="E231" s="173">
        <v>302.38750433482812</v>
      </c>
      <c r="F231" s="156"/>
      <c r="G231" s="156">
        <v>281.08376346786247</v>
      </c>
      <c r="H231" s="156"/>
      <c r="I231" s="156">
        <v>177.06</v>
      </c>
      <c r="J231" s="156">
        <v>1</v>
      </c>
      <c r="K231" s="156">
        <v>2023</v>
      </c>
      <c r="L231" s="174">
        <v>26844.315237154147</v>
      </c>
      <c r="M231" s="174">
        <v>1582.0941255005046</v>
      </c>
      <c r="N231" s="164">
        <f t="shared" si="7"/>
        <v>1718.3376837713663</v>
      </c>
      <c r="O231" s="174">
        <v>6557.2362137681157</v>
      </c>
      <c r="P231" s="174">
        <v>1683.6496945575759</v>
      </c>
      <c r="Q231" s="164">
        <f t="shared" si="4"/>
        <v>1828.6388083978197</v>
      </c>
      <c r="R231" s="174">
        <v>7838.5406661490688</v>
      </c>
      <c r="S231" s="174">
        <v>165.33913199150732</v>
      </c>
      <c r="T231" s="164">
        <f t="shared" si="5"/>
        <v>179.57747047014382</v>
      </c>
      <c r="U231" s="156"/>
      <c r="V231" s="156"/>
      <c r="W231" s="156"/>
      <c r="X231" s="156"/>
      <c r="Y231" s="156"/>
      <c r="Z231" s="156"/>
      <c r="AA231" s="155"/>
      <c r="AB231" s="155"/>
      <c r="AC231" s="155"/>
      <c r="AD231" s="155"/>
    </row>
    <row r="232" spans="1:30" x14ac:dyDescent="0.25">
      <c r="A232" s="156">
        <v>2</v>
      </c>
      <c r="B232" s="156"/>
      <c r="C232" s="167">
        <f>+E232-E231</f>
        <v>288.71155948488058</v>
      </c>
      <c r="D232" s="167">
        <f>+G232-G231</f>
        <v>265.48782727255423</v>
      </c>
      <c r="E232" s="173">
        <v>591.0990638197087</v>
      </c>
      <c r="F232" s="156"/>
      <c r="G232" s="156">
        <v>546.5715907404167</v>
      </c>
      <c r="H232" s="156"/>
      <c r="I232" s="156">
        <v>181.26</v>
      </c>
      <c r="J232" s="156">
        <v>2</v>
      </c>
      <c r="K232" s="156"/>
      <c r="L232" s="174">
        <v>22123.086754773376</v>
      </c>
      <c r="M232" s="174">
        <v>1398.957775556506</v>
      </c>
      <c r="N232" s="164">
        <f t="shared" si="7"/>
        <v>1484.2234439654299</v>
      </c>
      <c r="O232" s="174">
        <v>6814.816473074854</v>
      </c>
      <c r="P232" s="174">
        <v>1941.9673661105644</v>
      </c>
      <c r="Q232" s="164">
        <f t="shared" ref="Q232:Q239" si="8">P232/I232*$I$69</f>
        <v>2060.329155431808</v>
      </c>
      <c r="R232" s="174">
        <v>11351.137162897225</v>
      </c>
      <c r="S232" s="174">
        <v>179.38444250725087</v>
      </c>
      <c r="T232" s="164">
        <f t="shared" ref="T232:T239" si="9">S232/I232*$I$69</f>
        <v>190.31782066904594</v>
      </c>
      <c r="U232" s="156"/>
      <c r="V232" s="156"/>
      <c r="W232" s="156"/>
      <c r="X232" s="156"/>
      <c r="Y232" s="156"/>
      <c r="Z232" s="156"/>
      <c r="AA232" s="155"/>
      <c r="AB232" s="155"/>
      <c r="AC232" s="155"/>
      <c r="AD232" s="155"/>
    </row>
    <row r="233" spans="1:30" x14ac:dyDescent="0.25">
      <c r="A233" s="156">
        <v>3</v>
      </c>
      <c r="B233" s="156"/>
      <c r="C233" s="167">
        <f>+E233-E232</f>
        <v>250.48845860181598</v>
      </c>
      <c r="D233" s="167">
        <f>+G233-G232</f>
        <v>227.83168719680316</v>
      </c>
      <c r="E233" s="173">
        <v>841.58752242152468</v>
      </c>
      <c r="F233" s="156"/>
      <c r="G233" s="156">
        <v>774.40327793721985</v>
      </c>
      <c r="H233" s="156"/>
      <c r="I233" s="156">
        <v>181.68</v>
      </c>
      <c r="J233" s="156">
        <v>3</v>
      </c>
      <c r="K233" s="156"/>
      <c r="L233" s="174">
        <v>33547.567308467726</v>
      </c>
      <c r="M233" s="174">
        <v>2612.7571270405015</v>
      </c>
      <c r="N233" s="164">
        <f t="shared" si="7"/>
        <v>2765.5949673141463</v>
      </c>
      <c r="O233" s="174">
        <v>7564.7841240265989</v>
      </c>
      <c r="P233" s="174">
        <v>1372.5685528481158</v>
      </c>
      <c r="Q233" s="164">
        <f t="shared" si="8"/>
        <v>1452.8593732514835</v>
      </c>
      <c r="R233" s="174">
        <v>12525.795886792215</v>
      </c>
      <c r="S233" s="174">
        <v>237.01173448389176</v>
      </c>
      <c r="T233" s="164">
        <f t="shared" si="9"/>
        <v>250.87615427367157</v>
      </c>
      <c r="U233" s="156"/>
      <c r="V233" s="156"/>
      <c r="W233" s="156"/>
      <c r="X233" s="156"/>
      <c r="Y233" s="156"/>
      <c r="Z233" s="156"/>
      <c r="AA233" s="155"/>
      <c r="AB233" s="155"/>
      <c r="AC233" s="155"/>
      <c r="AD233" s="155"/>
    </row>
    <row r="234" spans="1:30" x14ac:dyDescent="0.25">
      <c r="A234" s="156">
        <v>4</v>
      </c>
      <c r="B234" s="156"/>
      <c r="C234" s="167">
        <f>+E234-E233</f>
        <v>247.76441726457392</v>
      </c>
      <c r="D234" s="167">
        <f>+G234-G233</f>
        <v>222.81360381165916</v>
      </c>
      <c r="E234" s="173">
        <v>1089.3519396860986</v>
      </c>
      <c r="F234" s="156"/>
      <c r="G234" s="156">
        <v>997.21688174887902</v>
      </c>
      <c r="H234" s="156"/>
      <c r="I234" s="156">
        <v>184.34</v>
      </c>
      <c r="J234" s="156">
        <v>4</v>
      </c>
      <c r="K234" s="156"/>
      <c r="L234" s="174">
        <v>27405.288644268774</v>
      </c>
      <c r="M234" s="174">
        <v>2102.9314483628059</v>
      </c>
      <c r="N234" s="164">
        <f>M234/I234*$I$69</f>
        <v>2193.8260492346944</v>
      </c>
      <c r="O234" s="174">
        <v>10671.830522463766</v>
      </c>
      <c r="P234" s="174">
        <v>2024.5509335669321</v>
      </c>
      <c r="Q234" s="164">
        <f t="shared" si="8"/>
        <v>2112.0577085474679</v>
      </c>
      <c r="R234" s="174">
        <v>9988.9312779503089</v>
      </c>
      <c r="S234" s="174">
        <v>189.8273559912875</v>
      </c>
      <c r="T234" s="164">
        <f t="shared" si="9"/>
        <v>198.03222722987542</v>
      </c>
      <c r="U234" s="156"/>
      <c r="V234" s="156"/>
      <c r="W234" s="156"/>
      <c r="X234" s="156"/>
      <c r="Y234" s="156"/>
      <c r="Z234" s="156"/>
      <c r="AA234" s="155"/>
      <c r="AB234" s="155"/>
      <c r="AC234" s="155"/>
      <c r="AD234" s="155"/>
    </row>
    <row r="235" spans="1:30" x14ac:dyDescent="0.25">
      <c r="A235" s="156">
        <v>1</v>
      </c>
      <c r="B235" s="156">
        <v>2024</v>
      </c>
      <c r="C235" s="167">
        <f>E235</f>
        <v>322.60336023916295</v>
      </c>
      <c r="D235" s="167">
        <f>G235</f>
        <v>297.48140819133039</v>
      </c>
      <c r="E235" s="173">
        <v>322.60336023916295</v>
      </c>
      <c r="F235" s="156"/>
      <c r="G235" s="156">
        <v>297.48140819133039</v>
      </c>
      <c r="H235" s="156"/>
      <c r="I235" s="156">
        <v>185.03</v>
      </c>
      <c r="J235" s="156">
        <v>1</v>
      </c>
      <c r="K235" s="156">
        <v>2024</v>
      </c>
      <c r="L235" s="174">
        <v>43293.220189723317</v>
      </c>
      <c r="M235" s="174">
        <v>2872.2760083969697</v>
      </c>
      <c r="N235" s="164">
        <f>M235/I235*$I$69</f>
        <v>2985.2498019000718</v>
      </c>
      <c r="O235" s="185">
        <v>8194.415441304347</v>
      </c>
      <c r="P235" s="185">
        <v>1770.5452152039006</v>
      </c>
      <c r="Q235" s="185">
        <f>P235/I235*$I$69</f>
        <v>1840.1851832799441</v>
      </c>
      <c r="R235" s="185">
        <v>8331.0396847826087</v>
      </c>
      <c r="S235" s="185">
        <v>172.94986992488299</v>
      </c>
      <c r="T235" s="185">
        <f t="shared" si="9"/>
        <v>179.75242052731855</v>
      </c>
      <c r="U235" s="156"/>
      <c r="V235" s="156"/>
      <c r="W235" s="156"/>
      <c r="X235" s="156"/>
      <c r="Y235" s="156"/>
      <c r="Z235" s="156"/>
      <c r="AA235" s="155"/>
      <c r="AB235" s="155"/>
      <c r="AC235" s="155"/>
      <c r="AD235" s="155"/>
    </row>
    <row r="236" spans="1:30" x14ac:dyDescent="0.25">
      <c r="A236" s="156">
        <v>2</v>
      </c>
      <c r="B236" s="156"/>
      <c r="C236" s="167">
        <f>+E236-E235</f>
        <v>289.48796913303443</v>
      </c>
      <c r="D236" s="167">
        <f>+G236-G235</f>
        <v>264.11916530642736</v>
      </c>
      <c r="E236" s="173">
        <v>612.09132937219738</v>
      </c>
      <c r="F236" s="156"/>
      <c r="G236" s="156">
        <v>561.60057349775775</v>
      </c>
      <c r="H236" s="156"/>
      <c r="I236" s="156">
        <v>186.71</v>
      </c>
      <c r="J236" s="156">
        <v>2</v>
      </c>
      <c r="K236" s="156"/>
      <c r="L236" s="174">
        <v>24161.997458923011</v>
      </c>
      <c r="M236" s="174">
        <v>1504.0339358976944</v>
      </c>
      <c r="N236" s="164">
        <f>M236/I236*$I$69</f>
        <v>1549.1258923728819</v>
      </c>
      <c r="O236" s="185">
        <v>9625.8553342463492</v>
      </c>
      <c r="P236" s="185">
        <v>1935.0301376483139</v>
      </c>
      <c r="Q236" s="185">
        <f>P236/I236*$I$69</f>
        <v>1993.0436522788436</v>
      </c>
      <c r="R236" s="185">
        <v>12716.960746992983</v>
      </c>
      <c r="S236" s="185">
        <v>215.56727929065954</v>
      </c>
      <c r="T236" s="185">
        <f>S236/I236*$I$69</f>
        <v>222.03013238409545</v>
      </c>
      <c r="U236" s="156"/>
      <c r="V236" s="156"/>
      <c r="W236" s="156"/>
      <c r="X236" s="156"/>
      <c r="Y236" s="156"/>
      <c r="Z236" s="156"/>
      <c r="AA236" s="155"/>
      <c r="AB236" s="155"/>
      <c r="AC236" s="155"/>
      <c r="AD236" s="155"/>
    </row>
    <row r="237" spans="1:30" x14ac:dyDescent="0.25">
      <c r="A237" s="156">
        <v>3</v>
      </c>
      <c r="B237" s="156"/>
      <c r="C237" s="167">
        <f>+E237-E236</f>
        <v>303.40149304932731</v>
      </c>
      <c r="D237" s="167">
        <f>+G237-G236</f>
        <v>277.61400443946195</v>
      </c>
      <c r="E237" s="173">
        <v>915.49282242152469</v>
      </c>
      <c r="F237" s="156"/>
      <c r="G237" s="156">
        <v>839.2145779372197</v>
      </c>
      <c r="H237" s="156"/>
      <c r="I237" s="156">
        <v>186.43</v>
      </c>
      <c r="J237" s="156">
        <v>3</v>
      </c>
      <c r="K237" s="156"/>
      <c r="L237" s="174">
        <v>27298.711137914943</v>
      </c>
      <c r="M237" s="174">
        <v>1749.5900654694415</v>
      </c>
      <c r="N237" s="164">
        <f>M237/I237*$I$69</f>
        <v>1804.7504584824978</v>
      </c>
      <c r="O237" s="185">
        <v>10461.248100536261</v>
      </c>
      <c r="P237" s="185">
        <v>1667.1237032477056</v>
      </c>
      <c r="Q237" s="185">
        <f>P237/I237*$I$69</f>
        <v>1719.6841289654017</v>
      </c>
      <c r="R237" s="185">
        <v>12883.282523193357</v>
      </c>
      <c r="S237" s="185">
        <v>214.21014735071765</v>
      </c>
      <c r="T237" s="185">
        <f>S237/I237*$I$69</f>
        <v>220.96368130615875</v>
      </c>
      <c r="U237" s="156"/>
      <c r="V237" s="156"/>
      <c r="W237" s="156"/>
      <c r="X237" s="156"/>
      <c r="Y237" s="156"/>
      <c r="Z237" s="156"/>
      <c r="AA237" s="155"/>
      <c r="AB237" s="155"/>
      <c r="AC237" s="155"/>
      <c r="AD237" s="155"/>
    </row>
    <row r="238" spans="1:30" x14ac:dyDescent="0.25">
      <c r="A238" s="156">
        <v>4</v>
      </c>
      <c r="B238" s="156"/>
      <c r="C238" s="167">
        <f>+E238-E237</f>
        <v>228.11244080717495</v>
      </c>
      <c r="D238" s="167">
        <f>+G238-G237</f>
        <v>207.57469264574001</v>
      </c>
      <c r="E238" s="173">
        <v>1143.6052632286996</v>
      </c>
      <c r="F238" s="156"/>
      <c r="G238" s="156">
        <v>1046.7892705829597</v>
      </c>
      <c r="H238" s="156"/>
      <c r="I238" s="175">
        <v>188.1</v>
      </c>
      <c r="J238" s="156">
        <v>4</v>
      </c>
      <c r="K238" s="156"/>
      <c r="L238" s="174">
        <v>23779.642928853747</v>
      </c>
      <c r="M238" s="174">
        <v>1421.6918382109452</v>
      </c>
      <c r="N238" s="164">
        <f>M238/I238*$I$69</f>
        <v>1453.4942933494285</v>
      </c>
      <c r="O238" s="185">
        <v>7310.8396253623141</v>
      </c>
      <c r="P238" s="185">
        <v>1703.9962397508298</v>
      </c>
      <c r="Q238" s="185">
        <f>P238/I238*$I$69</f>
        <v>1742.1136872273619</v>
      </c>
      <c r="R238" s="185">
        <v>10798.094318322972</v>
      </c>
      <c r="S238" s="185">
        <v>198.23738857355551</v>
      </c>
      <c r="T238" s="185">
        <f>S238/I238*$I$69</f>
        <v>202.67184862139126</v>
      </c>
      <c r="U238" s="156"/>
      <c r="V238" s="156"/>
      <c r="W238" s="156"/>
      <c r="X238" s="156"/>
      <c r="Y238" s="156"/>
      <c r="Z238" s="156"/>
      <c r="AA238" s="155"/>
      <c r="AB238" s="155"/>
      <c r="AC238" s="155"/>
      <c r="AD238" s="155"/>
    </row>
    <row r="239" spans="1:30" x14ac:dyDescent="0.25">
      <c r="A239" s="156">
        <v>1</v>
      </c>
      <c r="B239" s="156">
        <v>2025</v>
      </c>
      <c r="C239" s="167">
        <f>E239</f>
        <v>299.44390000000004</v>
      </c>
      <c r="D239" s="167">
        <f>G239</f>
        <v>276.7799</v>
      </c>
      <c r="E239" s="173">
        <v>299.44390000000004</v>
      </c>
      <c r="F239" s="156"/>
      <c r="G239" s="156">
        <v>276.7799</v>
      </c>
      <c r="H239" s="156"/>
      <c r="I239" s="175">
        <v>190.30333333333337</v>
      </c>
      <c r="J239" s="156">
        <v>1</v>
      </c>
      <c r="K239" s="156">
        <v>2025</v>
      </c>
      <c r="L239" s="174">
        <v>26747</v>
      </c>
      <c r="M239" s="174">
        <v>1877.8559882720301</v>
      </c>
      <c r="N239" s="164">
        <f t="shared" si="7"/>
        <v>1897.6343990687203</v>
      </c>
      <c r="O239" s="185">
        <v>7505</v>
      </c>
      <c r="P239" s="185">
        <v>2140.8457832602599</v>
      </c>
      <c r="Q239" s="185">
        <f t="shared" si="8"/>
        <v>2163.3941190315491</v>
      </c>
      <c r="R239" s="185">
        <v>7900</v>
      </c>
      <c r="S239" s="185">
        <v>185.42141029286321</v>
      </c>
      <c r="T239" s="185">
        <f t="shared" si="9"/>
        <v>187.37435069200879</v>
      </c>
      <c r="U239" s="156"/>
      <c r="V239" s="156"/>
      <c r="W239" s="156"/>
      <c r="X239" s="156"/>
      <c r="Y239" s="156"/>
      <c r="Z239" s="156"/>
      <c r="AA239" s="155"/>
      <c r="AB239" s="155"/>
      <c r="AC239" s="155"/>
      <c r="AD239" s="155"/>
    </row>
    <row r="240" spans="1:30" x14ac:dyDescent="0.25">
      <c r="A240" s="156">
        <v>2</v>
      </c>
      <c r="B240" s="156"/>
      <c r="C240" s="167">
        <f>+E240-E239</f>
        <v>278.92194999999998</v>
      </c>
      <c r="D240" s="167">
        <f>+G240-G239</f>
        <v>255.72495000000004</v>
      </c>
      <c r="E240" s="173">
        <v>578.36585000000002</v>
      </c>
      <c r="F240" s="156"/>
      <c r="G240" s="156">
        <v>532.50485000000003</v>
      </c>
      <c r="H240" s="156"/>
      <c r="I240" s="175">
        <v>192.21445199999999</v>
      </c>
      <c r="J240" s="156">
        <v>2</v>
      </c>
      <c r="K240" s="156"/>
      <c r="L240" s="174">
        <v>19398</v>
      </c>
      <c r="M240" s="174">
        <v>1267.6807973289128</v>
      </c>
      <c r="N240" s="164">
        <f>M240/I240*$I$69</f>
        <v>1268.2957300062862</v>
      </c>
      <c r="O240" s="185">
        <v>5920</v>
      </c>
      <c r="P240" s="185">
        <v>2002.4463205334105</v>
      </c>
      <c r="Q240" s="185">
        <f>P240/I240*$I$69</f>
        <v>2003.4176767926331</v>
      </c>
      <c r="R240" s="185">
        <v>11083</v>
      </c>
      <c r="S240" s="185">
        <v>190.28927872176914</v>
      </c>
      <c r="T240" s="185">
        <f>S240/I240*$I$69</f>
        <v>190.38158515717967</v>
      </c>
      <c r="U240" s="156"/>
      <c r="V240" s="156"/>
      <c r="W240" s="156"/>
      <c r="X240" s="156"/>
      <c r="Y240" s="156"/>
      <c r="Z240" s="156"/>
      <c r="AA240" s="155"/>
      <c r="AB240" s="155"/>
      <c r="AC240" s="155"/>
      <c r="AD240" s="155"/>
    </row>
    <row r="241" spans="1:30" x14ac:dyDescent="0.25">
      <c r="A241" s="156">
        <v>3</v>
      </c>
      <c r="B241" s="156"/>
      <c r="C241" s="167">
        <f>+E241-E240</f>
        <v>265.72384999999997</v>
      </c>
      <c r="D241" s="167">
        <f>+G241-G240</f>
        <v>240.0968499999999</v>
      </c>
      <c r="E241" s="173">
        <v>844.08969999999999</v>
      </c>
      <c r="F241" s="156"/>
      <c r="G241" s="156">
        <v>772.60169999999994</v>
      </c>
      <c r="H241" s="156"/>
      <c r="I241" s="175">
        <v>193.659674</v>
      </c>
      <c r="J241" s="156">
        <v>3</v>
      </c>
      <c r="K241" s="156"/>
      <c r="L241" s="174">
        <v>24946</v>
      </c>
      <c r="M241" s="174">
        <v>1523.4179899688811</v>
      </c>
      <c r="N241" s="164">
        <f>M241/I241*$I$69</f>
        <v>1512.7826667256406</v>
      </c>
      <c r="O241" s="185">
        <v>12192</v>
      </c>
      <c r="P241" s="185">
        <v>1987.1938813663555</v>
      </c>
      <c r="Q241" s="185">
        <f>P241/I241*$I$69</f>
        <v>1973.3208344321044</v>
      </c>
      <c r="R241" s="185">
        <v>11832</v>
      </c>
      <c r="S241" s="185">
        <v>247.39868396714942</v>
      </c>
      <c r="T241" s="185">
        <f>S241/I241*$I$69</f>
        <v>245.67153817310728</v>
      </c>
      <c r="U241" s="156"/>
      <c r="V241" s="156"/>
      <c r="W241" s="156"/>
      <c r="X241" s="156"/>
      <c r="Y241" s="156"/>
      <c r="Z241" s="156"/>
      <c r="AA241" s="155"/>
      <c r="AB241" s="155"/>
      <c r="AC241" s="155"/>
      <c r="AD241" s="155"/>
    </row>
    <row r="242" spans="1:30" x14ac:dyDescent="0.25">
      <c r="A242" s="156">
        <v>4</v>
      </c>
      <c r="B242" s="156"/>
      <c r="C242" s="167">
        <f>+E242-E241</f>
        <v>226.66265000000021</v>
      </c>
      <c r="D242" s="167">
        <f>+G242-G241</f>
        <v>215.09665000000007</v>
      </c>
      <c r="E242" s="173">
        <v>1070.7523500000002</v>
      </c>
      <c r="F242" s="156"/>
      <c r="G242" s="156">
        <v>987.69835</v>
      </c>
      <c r="H242" s="156"/>
      <c r="I242" s="175">
        <v>194.26573400000001</v>
      </c>
      <c r="J242" s="156">
        <v>4</v>
      </c>
      <c r="K242" s="156"/>
      <c r="L242" s="174">
        <v>24373</v>
      </c>
      <c r="M242" s="174">
        <v>1596.4545548011924</v>
      </c>
      <c r="N242" s="164">
        <f>M242/I242*$I$69</f>
        <v>1580.363582328529</v>
      </c>
      <c r="O242" s="185">
        <v>6891</v>
      </c>
      <c r="P242" s="185">
        <v>1523.0993521462933</v>
      </c>
      <c r="Q242" s="185">
        <f>P242/I242*$I$69</f>
        <v>1507.7477408681575</v>
      </c>
      <c r="R242" s="185">
        <v>8474</v>
      </c>
      <c r="S242" s="185">
        <v>186.42724807728942</v>
      </c>
      <c r="T242" s="185">
        <f>S242/I242*$I$69</f>
        <v>184.54821199201882</v>
      </c>
      <c r="U242" s="156"/>
      <c r="V242" s="156"/>
      <c r="W242" s="156"/>
      <c r="X242" s="156"/>
      <c r="Y242" s="156"/>
      <c r="Z242" s="156"/>
      <c r="AA242" s="155"/>
      <c r="AB242" s="155"/>
      <c r="AC242" s="155"/>
      <c r="AD242" s="155"/>
    </row>
    <row r="243" spans="1:30" x14ac:dyDescent="0.25">
      <c r="A243" s="156">
        <v>1</v>
      </c>
      <c r="B243" s="156">
        <v>2026</v>
      </c>
      <c r="C243" s="167">
        <f>E243</f>
        <v>300.19390000000004</v>
      </c>
      <c r="D243" s="167">
        <f>G243</f>
        <v>281.01890000000003</v>
      </c>
      <c r="E243" s="173">
        <v>300.19390000000004</v>
      </c>
      <c r="F243" s="156"/>
      <c r="G243" s="156">
        <v>281.01890000000003</v>
      </c>
      <c r="H243" s="156"/>
      <c r="I243" s="175">
        <v>196.923076923076</v>
      </c>
      <c r="J243" s="156">
        <v>1</v>
      </c>
      <c r="K243" s="156">
        <v>2026</v>
      </c>
      <c r="L243" s="174">
        <v>30894</v>
      </c>
      <c r="M243" s="174">
        <v>2231.2531125500873</v>
      </c>
      <c r="N243" s="164">
        <f t="shared" ref="N243" si="10">M243/I243*$I$69</f>
        <v>2178.9581177247014</v>
      </c>
      <c r="O243" s="178">
        <v>6922</v>
      </c>
      <c r="P243" s="185">
        <v>2143.7000858441106</v>
      </c>
      <c r="Q243" s="185">
        <f t="shared" ref="Q243" si="11">P243/I243*$I$69</f>
        <v>2093.4571150821457</v>
      </c>
      <c r="R243" s="185">
        <v>6776</v>
      </c>
      <c r="S243" s="185">
        <v>217.05354332936017</v>
      </c>
      <c r="T243" s="185">
        <f t="shared" ref="T243" si="12">S243/I243*$I$69</f>
        <v>211.96635090757897</v>
      </c>
      <c r="U243" s="156"/>
      <c r="V243" s="156"/>
      <c r="W243" s="156"/>
      <c r="X243" s="156"/>
      <c r="Y243" s="156"/>
      <c r="Z243" s="156"/>
      <c r="AA243" s="155"/>
      <c r="AB243" s="155"/>
      <c r="AC243" s="155"/>
      <c r="AD243" s="155"/>
    </row>
    <row r="244" spans="1:30" x14ac:dyDescent="0.25">
      <c r="A244" s="156"/>
      <c r="B244" s="156"/>
      <c r="C244" s="167"/>
      <c r="D244" s="167"/>
      <c r="E244" s="173"/>
      <c r="F244" s="156"/>
      <c r="G244" s="156"/>
      <c r="H244" s="156"/>
      <c r="I244" s="156"/>
      <c r="J244" s="156"/>
      <c r="K244" s="156"/>
      <c r="L244" s="174"/>
      <c r="M244" s="174"/>
      <c r="N244" s="164"/>
      <c r="O244" s="174"/>
      <c r="P244" s="174"/>
      <c r="Q244" s="164"/>
      <c r="R244" s="174"/>
      <c r="S244" s="174"/>
      <c r="T244" s="164"/>
      <c r="U244" s="156"/>
      <c r="V244" s="156"/>
      <c r="W244" s="156"/>
      <c r="X244" s="156"/>
      <c r="Y244" s="156"/>
      <c r="Z244" s="156"/>
      <c r="AA244" s="155"/>
      <c r="AB244" s="155"/>
      <c r="AC244" s="155"/>
      <c r="AD244" s="155"/>
    </row>
    <row r="245" spans="1:30" x14ac:dyDescent="0.25">
      <c r="A245" s="156"/>
      <c r="B245" s="156"/>
      <c r="C245" s="167"/>
      <c r="D245" s="156"/>
      <c r="E245" s="160" t="s">
        <v>110</v>
      </c>
      <c r="F245" s="156"/>
      <c r="G245" s="156"/>
      <c r="H245" s="156"/>
      <c r="I245" s="156"/>
      <c r="J245" s="176"/>
      <c r="K245" s="177" t="s">
        <v>160</v>
      </c>
      <c r="L245" s="178">
        <f>L247</f>
        <v>30894</v>
      </c>
      <c r="M245" s="178">
        <f>M247</f>
        <v>2231.2531125500873</v>
      </c>
      <c r="N245" s="179" t="s">
        <v>174</v>
      </c>
      <c r="O245" s="178">
        <f>O247</f>
        <v>6922</v>
      </c>
      <c r="P245" s="178">
        <f>P247</f>
        <v>2143.7000858441106</v>
      </c>
      <c r="Q245" s="179" t="s">
        <v>174</v>
      </c>
      <c r="R245" s="178">
        <f>R247</f>
        <v>6776</v>
      </c>
      <c r="S245" s="178">
        <f>S247</f>
        <v>217.05354332936017</v>
      </c>
      <c r="T245" s="180" t="s">
        <v>174</v>
      </c>
      <c r="U245" s="156"/>
      <c r="V245" s="156"/>
      <c r="W245" s="156"/>
      <c r="X245" s="156"/>
      <c r="Y245" s="156"/>
      <c r="Z245" s="156"/>
      <c r="AA245" s="155"/>
      <c r="AB245" s="155"/>
      <c r="AC245" s="155"/>
      <c r="AD245" s="155"/>
    </row>
    <row r="246" spans="1:30" x14ac:dyDescent="0.25">
      <c r="A246" s="156"/>
      <c r="B246" s="156"/>
      <c r="C246" s="156"/>
      <c r="D246" s="156"/>
      <c r="E246" s="173">
        <f>IF('Tab5'!E8="",'Tab5'!E7,'Tab5'!E8)/1000</f>
        <v>300.19390000000004</v>
      </c>
      <c r="F246" s="156"/>
      <c r="G246" s="173">
        <f>IF('Tab5'!E10="",'Tab5'!E9,'Tab5'!E10)/1000</f>
        <v>281.01890000000003</v>
      </c>
      <c r="H246" s="156"/>
      <c r="I246" s="156"/>
      <c r="J246" s="156"/>
      <c r="K246" s="162" t="s">
        <v>188</v>
      </c>
      <c r="L246" s="181">
        <f>SUM('Tab7'!E11,'Tab11'!E11)</f>
        <v>101862.12091316222</v>
      </c>
      <c r="M246" s="182">
        <f>SUM('Tab7'!E39,'Tab11'!E39)</f>
        <v>6928.1848612171671</v>
      </c>
      <c r="N246" s="183" t="s">
        <v>173</v>
      </c>
      <c r="O246" s="181">
        <f>SUM('Tab7'!E9,'Tab11'!E9)</f>
        <v>30019.085557227641</v>
      </c>
      <c r="P246" s="182">
        <f>SUM('Tab7'!E37,'Tab11'!E37)</f>
        <v>8051.7398832431909</v>
      </c>
      <c r="Q246" s="183" t="s">
        <v>173</v>
      </c>
      <c r="R246" s="181">
        <f>SUM('Tab7'!E13,'Tab11'!E13)</f>
        <v>34483.735658720107</v>
      </c>
      <c r="S246" s="182">
        <f>SUM('Tab7'!E41,'Tab11'!E41)</f>
        <v>958.47885389648309</v>
      </c>
      <c r="T246" s="184" t="s">
        <v>173</v>
      </c>
      <c r="U246" s="156"/>
      <c r="V246" s="156"/>
      <c r="W246" s="156"/>
      <c r="X246" s="156"/>
      <c r="Y246" s="156"/>
      <c r="Z246" s="156"/>
      <c r="AA246" s="155"/>
      <c r="AB246" s="155"/>
      <c r="AC246" s="155"/>
      <c r="AD246" s="155"/>
    </row>
    <row r="247" spans="1:30" x14ac:dyDescent="0.25">
      <c r="A247" s="156"/>
      <c r="B247" s="156"/>
      <c r="C247" s="156"/>
      <c r="D247" s="156"/>
      <c r="E247" s="156"/>
      <c r="F247" s="156"/>
      <c r="G247" s="156"/>
      <c r="H247" s="156"/>
      <c r="I247" s="156"/>
      <c r="J247" s="156"/>
      <c r="K247" s="162" t="s">
        <v>187</v>
      </c>
      <c r="L247" s="181">
        <f>SUM('Tab7'!E12,'Tab11'!E12)</f>
        <v>30894</v>
      </c>
      <c r="M247" s="182">
        <f>SUM('Tab7'!E40,'Tab11'!E40)</f>
        <v>2231.2531125500873</v>
      </c>
      <c r="N247" s="183" t="s">
        <v>173</v>
      </c>
      <c r="O247" s="181">
        <f>SUM('Tab7'!E10,'Tab11'!E10)</f>
        <v>6922</v>
      </c>
      <c r="P247" s="182">
        <f>SUM('Tab7'!E38,'Tab11'!E38)</f>
        <v>2143.7000858441106</v>
      </c>
      <c r="Q247" s="183" t="s">
        <v>173</v>
      </c>
      <c r="R247" s="181">
        <f>SUM('Tab7'!E14,'Tab11'!E14)</f>
        <v>6776</v>
      </c>
      <c r="S247" s="182">
        <f>SUM('Tab7'!E42,'Tab11'!E42)</f>
        <v>217.05354332936017</v>
      </c>
      <c r="T247" s="184" t="s">
        <v>173</v>
      </c>
      <c r="U247" s="156"/>
      <c r="V247" s="156"/>
      <c r="W247" s="156"/>
      <c r="X247" s="156"/>
      <c r="Y247" s="156"/>
      <c r="Z247" s="156"/>
      <c r="AA247" s="155"/>
      <c r="AB247" s="155"/>
    </row>
    <row r="248" spans="1:30" x14ac:dyDescent="0.25">
      <c r="A248" s="156"/>
      <c r="B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5"/>
      <c r="AB248" s="155"/>
    </row>
    <row r="249" spans="1:30" x14ac:dyDescent="0.25">
      <c r="A249" s="156"/>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5"/>
      <c r="AB249" s="155"/>
    </row>
    <row r="250" spans="1:30" x14ac:dyDescent="0.25">
      <c r="A250" s="156"/>
      <c r="B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5"/>
      <c r="AB250" s="155"/>
    </row>
    <row r="251" spans="1:30" x14ac:dyDescent="0.25">
      <c r="A251" s="156"/>
      <c r="B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5"/>
      <c r="AB251" s="155"/>
    </row>
    <row r="252" spans="1:30" x14ac:dyDescent="0.25">
      <c r="A252" s="156"/>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5"/>
      <c r="AB252" s="155"/>
    </row>
    <row r="253" spans="1:30" x14ac:dyDescent="0.25">
      <c r="A253" s="156"/>
      <c r="B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5"/>
      <c r="AB253" s="155"/>
    </row>
    <row r="254" spans="1:30" x14ac:dyDescent="0.25">
      <c r="A254" s="156"/>
      <c r="B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5"/>
      <c r="AB254" s="155"/>
    </row>
    <row r="255" spans="1:30" x14ac:dyDescent="0.25">
      <c r="A255" s="156"/>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5"/>
      <c r="AB255" s="155"/>
    </row>
    <row r="256" spans="1:30" x14ac:dyDescent="0.25">
      <c r="A256" s="156"/>
      <c r="B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5"/>
      <c r="AB256" s="155"/>
    </row>
    <row r="257" spans="1:28" x14ac:dyDescent="0.25">
      <c r="A257" s="156"/>
      <c r="B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5"/>
      <c r="AB257" s="155"/>
    </row>
    <row r="258" spans="1:28" x14ac:dyDescent="0.25">
      <c r="A258" s="156"/>
      <c r="B258" s="156"/>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5"/>
      <c r="AB258" s="155"/>
    </row>
    <row r="259" spans="1:28" x14ac:dyDescent="0.25">
      <c r="A259" s="156"/>
      <c r="B259" s="156"/>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5"/>
      <c r="AB259" s="155"/>
    </row>
    <row r="260" spans="1:28" x14ac:dyDescent="0.25">
      <c r="A260" s="156"/>
      <c r="B260" s="156"/>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row>
    <row r="261" spans="1:28" x14ac:dyDescent="0.25">
      <c r="A261" s="156"/>
      <c r="B261" s="156"/>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row>
    <row r="262" spans="1:28" x14ac:dyDescent="0.25">
      <c r="A262" s="156"/>
      <c r="B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row>
    <row r="263" spans="1:28" x14ac:dyDescent="0.25">
      <c r="A263" s="156"/>
      <c r="B263" s="156"/>
      <c r="C263" s="156"/>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row>
    <row r="264" spans="1:28" x14ac:dyDescent="0.25">
      <c r="A264" s="156"/>
      <c r="B264" s="156"/>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row>
    <row r="265" spans="1:28" x14ac:dyDescent="0.25">
      <c r="A265" s="156"/>
      <c r="B265" s="156"/>
      <c r="C265" s="156"/>
      <c r="D265" s="156"/>
      <c r="E265" s="156"/>
      <c r="F265" s="156"/>
      <c r="G265" s="156"/>
      <c r="H265" s="156"/>
      <c r="I265" s="156"/>
      <c r="J265" s="156"/>
      <c r="K265" s="156"/>
      <c r="L265" s="156"/>
      <c r="M265" s="156"/>
      <c r="N265" s="156"/>
      <c r="O265" s="156"/>
      <c r="P265" s="156"/>
      <c r="Q265" s="156"/>
      <c r="R265" s="156"/>
      <c r="S265" s="156"/>
      <c r="T265" s="156"/>
      <c r="U265" s="156"/>
      <c r="V265" s="156"/>
      <c r="W265" s="156"/>
      <c r="X265" s="156"/>
      <c r="Y265" s="156"/>
      <c r="Z265" s="156"/>
    </row>
    <row r="266" spans="1:28" x14ac:dyDescent="0.25">
      <c r="A266" s="156"/>
      <c r="B266" s="156"/>
      <c r="C266" s="156"/>
      <c r="D266" s="156"/>
      <c r="E266" s="156"/>
      <c r="F266" s="156"/>
      <c r="G266" s="156"/>
      <c r="H266" s="156"/>
      <c r="I266" s="156"/>
      <c r="J266" s="156"/>
      <c r="K266" s="156"/>
      <c r="L266" s="156"/>
      <c r="M266" s="156"/>
      <c r="N266" s="156"/>
      <c r="O266" s="156"/>
      <c r="P266" s="156"/>
      <c r="Q266" s="156"/>
      <c r="R266" s="156"/>
      <c r="S266" s="156"/>
      <c r="T266" s="156"/>
      <c r="U266" s="156"/>
      <c r="V266" s="156"/>
      <c r="W266" s="156"/>
      <c r="X266" s="156"/>
      <c r="Y266" s="156"/>
      <c r="Z266" s="156"/>
    </row>
    <row r="267" spans="1:28" x14ac:dyDescent="0.25">
      <c r="A267" s="156"/>
      <c r="B267" s="156"/>
      <c r="C267" s="156"/>
      <c r="D267" s="156"/>
      <c r="E267" s="156"/>
      <c r="F267" s="156"/>
      <c r="G267" s="156"/>
      <c r="H267" s="156"/>
      <c r="I267" s="156"/>
      <c r="J267" s="156"/>
      <c r="K267" s="156"/>
      <c r="L267" s="156"/>
      <c r="M267" s="156"/>
      <c r="N267" s="156"/>
      <c r="O267" s="156"/>
      <c r="P267" s="156"/>
      <c r="Q267" s="156"/>
      <c r="R267" s="156"/>
      <c r="S267" s="156"/>
      <c r="T267" s="156"/>
      <c r="U267" s="156"/>
      <c r="V267" s="156"/>
      <c r="W267" s="156"/>
      <c r="X267" s="156"/>
      <c r="Y267" s="156"/>
      <c r="Z267" s="156"/>
    </row>
    <row r="268" spans="1:28" x14ac:dyDescent="0.25">
      <c r="A268" s="156"/>
      <c r="B268" s="156"/>
      <c r="C268" s="156"/>
      <c r="D268" s="156"/>
      <c r="E268" s="156"/>
      <c r="F268" s="156"/>
      <c r="G268" s="156"/>
      <c r="H268" s="156"/>
      <c r="I268" s="156"/>
      <c r="J268" s="156"/>
      <c r="K268" s="156"/>
      <c r="L268" s="156"/>
      <c r="M268" s="156"/>
      <c r="N268" s="156"/>
      <c r="O268" s="156"/>
      <c r="P268" s="156"/>
      <c r="Q268" s="156"/>
      <c r="R268" s="156"/>
      <c r="S268" s="156"/>
      <c r="T268" s="156"/>
      <c r="U268" s="156"/>
      <c r="V268" s="156"/>
      <c r="W268" s="156"/>
      <c r="X268" s="156"/>
      <c r="Y268" s="156"/>
      <c r="Z268" s="156"/>
    </row>
    <row r="269" spans="1:28" x14ac:dyDescent="0.25">
      <c r="A269" s="156"/>
      <c r="B269" s="156"/>
      <c r="C269" s="156"/>
      <c r="D269" s="156"/>
      <c r="E269" s="156"/>
      <c r="F269" s="156"/>
      <c r="G269" s="156"/>
      <c r="H269" s="156"/>
      <c r="I269" s="156"/>
      <c r="J269" s="156"/>
      <c r="K269" s="156"/>
      <c r="L269" s="156"/>
      <c r="M269" s="156"/>
      <c r="N269" s="156"/>
      <c r="O269" s="156"/>
      <c r="P269" s="156"/>
      <c r="Q269" s="156"/>
      <c r="R269" s="156"/>
      <c r="S269" s="156"/>
      <c r="T269" s="156"/>
      <c r="U269" s="156"/>
      <c r="V269" s="156"/>
      <c r="W269" s="156"/>
      <c r="X269" s="156"/>
      <c r="Y269" s="156"/>
      <c r="Z269" s="156"/>
    </row>
    <row r="270" spans="1:28" x14ac:dyDescent="0.25">
      <c r="A270" s="156"/>
      <c r="B270" s="156"/>
      <c r="C270" s="156"/>
      <c r="D270" s="156"/>
      <c r="E270" s="156"/>
      <c r="F270" s="156"/>
      <c r="G270" s="156"/>
      <c r="H270" s="156"/>
      <c r="I270" s="156"/>
      <c r="J270" s="156"/>
      <c r="K270" s="156"/>
      <c r="L270" s="156"/>
      <c r="M270" s="156"/>
      <c r="N270" s="156"/>
      <c r="O270" s="156"/>
      <c r="P270" s="156"/>
      <c r="Q270" s="156"/>
      <c r="R270" s="156"/>
      <c r="S270" s="156"/>
      <c r="T270" s="156"/>
      <c r="U270" s="156"/>
      <c r="V270" s="156"/>
      <c r="W270" s="156"/>
      <c r="X270" s="156"/>
      <c r="Y270" s="156"/>
      <c r="Z270" s="156"/>
    </row>
    <row r="271" spans="1:28" x14ac:dyDescent="0.25">
      <c r="A271" s="156"/>
      <c r="B271" s="156"/>
      <c r="C271" s="156"/>
      <c r="D271" s="156"/>
      <c r="E271" s="156"/>
      <c r="F271" s="156"/>
      <c r="G271" s="156"/>
      <c r="H271" s="156"/>
      <c r="I271" s="156"/>
      <c r="J271" s="156"/>
      <c r="K271" s="156"/>
      <c r="L271" s="156"/>
      <c r="M271" s="156"/>
      <c r="N271" s="156"/>
      <c r="O271" s="156"/>
      <c r="P271" s="156"/>
      <c r="Q271" s="156"/>
      <c r="R271" s="156"/>
      <c r="S271" s="156"/>
      <c r="T271" s="156"/>
      <c r="U271" s="156"/>
      <c r="V271" s="156"/>
      <c r="W271" s="156"/>
      <c r="X271" s="156"/>
      <c r="Y271" s="156"/>
      <c r="Z271" s="156"/>
    </row>
    <row r="272" spans="1:28" x14ac:dyDescent="0.25">
      <c r="A272" s="156"/>
      <c r="B272" s="156"/>
      <c r="C272" s="156"/>
      <c r="D272" s="156"/>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row>
    <row r="273" spans="1:26" x14ac:dyDescent="0.25">
      <c r="A273" s="156"/>
      <c r="B273" s="156"/>
      <c r="C273" s="156"/>
      <c r="D273" s="156"/>
      <c r="E273" s="156"/>
      <c r="F273" s="156"/>
      <c r="G273" s="156"/>
      <c r="H273" s="156"/>
      <c r="I273" s="156"/>
      <c r="J273" s="156"/>
      <c r="K273" s="156"/>
      <c r="L273" s="156"/>
      <c r="M273" s="156"/>
      <c r="N273" s="156"/>
      <c r="O273" s="156"/>
      <c r="P273" s="156"/>
      <c r="Q273" s="156"/>
      <c r="R273" s="156"/>
      <c r="S273" s="156"/>
      <c r="T273" s="156"/>
      <c r="U273" s="156"/>
      <c r="V273" s="156"/>
      <c r="W273" s="156"/>
      <c r="X273" s="156"/>
      <c r="Y273" s="156"/>
      <c r="Z273" s="156"/>
    </row>
    <row r="274" spans="1:26" x14ac:dyDescent="0.25">
      <c r="A274" s="156"/>
      <c r="B274" s="156"/>
      <c r="C274" s="156"/>
      <c r="D274" s="156"/>
      <c r="E274" s="156"/>
      <c r="F274" s="156"/>
      <c r="G274" s="156"/>
      <c r="H274" s="156"/>
      <c r="I274" s="156"/>
      <c r="J274" s="156"/>
      <c r="K274" s="156"/>
      <c r="L274" s="156"/>
      <c r="M274" s="156"/>
      <c r="N274" s="156"/>
      <c r="O274" s="156"/>
      <c r="P274" s="156"/>
      <c r="Q274" s="156"/>
      <c r="R274" s="156"/>
      <c r="S274" s="156"/>
      <c r="T274" s="156"/>
      <c r="U274" s="156"/>
      <c r="V274" s="156"/>
      <c r="W274" s="156"/>
      <c r="X274" s="156"/>
      <c r="Y274" s="156"/>
      <c r="Z274" s="156"/>
    </row>
    <row r="275" spans="1:26" x14ac:dyDescent="0.25">
      <c r="A275" s="156"/>
      <c r="B275" s="156"/>
      <c r="C275" s="156"/>
      <c r="D275" s="156"/>
      <c r="E275" s="156"/>
      <c r="F275" s="156"/>
      <c r="G275" s="156"/>
      <c r="H275" s="156"/>
      <c r="I275" s="156"/>
      <c r="J275" s="156"/>
      <c r="K275" s="156"/>
      <c r="L275" s="156"/>
      <c r="M275" s="156"/>
      <c r="N275" s="156"/>
      <c r="O275" s="156"/>
      <c r="P275" s="156"/>
      <c r="Q275" s="156"/>
      <c r="R275" s="156"/>
      <c r="S275" s="156"/>
      <c r="T275" s="156"/>
      <c r="U275" s="156"/>
      <c r="V275" s="156"/>
      <c r="W275" s="156"/>
      <c r="X275" s="156"/>
      <c r="Y275" s="156"/>
      <c r="Z275" s="156"/>
    </row>
    <row r="276" spans="1:26" x14ac:dyDescent="0.25">
      <c r="A276" s="156"/>
      <c r="B276" s="156"/>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row>
    <row r="277" spans="1:26" x14ac:dyDescent="0.25">
      <c r="A277" s="156"/>
      <c r="B277" s="156"/>
      <c r="C277" s="156"/>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row>
    <row r="278" spans="1:26" x14ac:dyDescent="0.25">
      <c r="A278" s="156"/>
      <c r="B278" s="156"/>
      <c r="C278" s="156"/>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row>
  </sheetData>
  <autoFilter ref="A2" xr:uid="{00000000-0009-0000-0000-000003000000}"/>
  <mergeCells count="6">
    <mergeCell ref="AJ61:AJ62"/>
    <mergeCell ref="AC61:AC62"/>
    <mergeCell ref="A4:A5"/>
    <mergeCell ref="H61:H62"/>
    <mergeCell ref="O61:O62"/>
    <mergeCell ref="V61:V62"/>
  </mergeCells>
  <phoneticPr fontId="0" type="noConversion"/>
  <hyperlinks>
    <hyperlink ref="A2" location="Innhold!A11" display="Tilbake til innholdsfortegnelsen" xr:uid="{00000000-0004-0000-0300-000000000000}"/>
  </hyperlinks>
  <pageMargins left="0.78740157480314965" right="0.78740157480314965" top="0.98425196850393704" bottom="0.19685039370078741" header="3.937007874015748E-2" footer="3.937007874015748E-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144</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2</v>
      </c>
      <c r="B7" s="19" t="s">
        <v>3</v>
      </c>
      <c r="C7" s="20">
        <v>2712262.1250258251</v>
      </c>
      <c r="D7" s="20">
        <v>2603497.349999968</v>
      </c>
      <c r="E7" s="72">
        <v>2663164.6149099544</v>
      </c>
      <c r="F7" s="22" t="s">
        <v>240</v>
      </c>
      <c r="G7" s="23">
        <v>-1.8102052033559772</v>
      </c>
      <c r="H7" s="24">
        <v>2.2918120085656142</v>
      </c>
    </row>
    <row r="8" spans="1:8" x14ac:dyDescent="0.25">
      <c r="A8" s="193"/>
      <c r="B8" s="25" t="s">
        <v>241</v>
      </c>
      <c r="C8" s="26">
        <v>708595.91085005936</v>
      </c>
      <c r="D8" s="26">
        <v>665840.90000000258</v>
      </c>
      <c r="E8" s="26">
        <v>685920.90000000212</v>
      </c>
      <c r="F8" s="27"/>
      <c r="G8" s="28">
        <v>-3.1999917728646494</v>
      </c>
      <c r="H8" s="29">
        <v>3.0157354407035513</v>
      </c>
    </row>
    <row r="9" spans="1:8" x14ac:dyDescent="0.25">
      <c r="A9" s="30" t="s">
        <v>4</v>
      </c>
      <c r="B9" s="31" t="s">
        <v>3</v>
      </c>
      <c r="C9" s="20">
        <v>929824.88947982062</v>
      </c>
      <c r="D9" s="20">
        <v>881570.37905999995</v>
      </c>
      <c r="E9" s="20">
        <v>894974.57446907309</v>
      </c>
      <c r="F9" s="22" t="s">
        <v>240</v>
      </c>
      <c r="G9" s="32">
        <v>-3.748051423988457</v>
      </c>
      <c r="H9" s="33">
        <v>1.5204906752159388</v>
      </c>
    </row>
    <row r="10" spans="1:8" x14ac:dyDescent="0.25">
      <c r="A10" s="34"/>
      <c r="B10" s="25" t="s">
        <v>241</v>
      </c>
      <c r="C10" s="26">
        <v>257763.54099850525</v>
      </c>
      <c r="D10" s="26">
        <v>240509.11</v>
      </c>
      <c r="E10" s="26">
        <v>245464.21</v>
      </c>
      <c r="F10" s="27"/>
      <c r="G10" s="28">
        <v>-4.7715557253989545</v>
      </c>
      <c r="H10" s="29">
        <v>2.0602545990877417</v>
      </c>
    </row>
    <row r="11" spans="1:8" x14ac:dyDescent="0.25">
      <c r="A11" s="30" t="s">
        <v>5</v>
      </c>
      <c r="B11" s="31" t="s">
        <v>3</v>
      </c>
      <c r="C11" s="20">
        <v>213780.37374887895</v>
      </c>
      <c r="D11" s="20">
        <v>189181.97094000014</v>
      </c>
      <c r="E11" s="20">
        <v>177271.24952778357</v>
      </c>
      <c r="F11" s="22" t="s">
        <v>240</v>
      </c>
      <c r="G11" s="37">
        <v>-17.077865278681514</v>
      </c>
      <c r="H11" s="33">
        <v>-6.2959072437162149</v>
      </c>
    </row>
    <row r="12" spans="1:8" x14ac:dyDescent="0.25">
      <c r="A12" s="34"/>
      <c r="B12" s="25" t="s">
        <v>241</v>
      </c>
      <c r="C12" s="26">
        <v>64839.819240657671</v>
      </c>
      <c r="D12" s="26">
        <v>58934.790000000037</v>
      </c>
      <c r="E12" s="26">
        <v>54729.690000000031</v>
      </c>
      <c r="F12" s="27"/>
      <c r="G12" s="28">
        <v>-15.592469811078843</v>
      </c>
      <c r="H12" s="29">
        <v>-7.1351743172411375</v>
      </c>
    </row>
    <row r="13" spans="1:8" x14ac:dyDescent="0.25">
      <c r="A13" s="30" t="s">
        <v>6</v>
      </c>
      <c r="B13" s="31" t="s">
        <v>3</v>
      </c>
      <c r="C13" s="20">
        <v>471768.76188981324</v>
      </c>
      <c r="D13" s="20">
        <v>425729</v>
      </c>
      <c r="E13" s="20">
        <v>393845.39587996114</v>
      </c>
      <c r="F13" s="22" t="s">
        <v>240</v>
      </c>
      <c r="G13" s="23">
        <v>-16.517279715110078</v>
      </c>
      <c r="H13" s="24">
        <v>-7.4891783552538982</v>
      </c>
    </row>
    <row r="14" spans="1:8" x14ac:dyDescent="0.25">
      <c r="A14" s="34"/>
      <c r="B14" s="25" t="s">
        <v>241</v>
      </c>
      <c r="C14" s="26">
        <v>123445.77456879262</v>
      </c>
      <c r="D14" s="26">
        <v>105324</v>
      </c>
      <c r="E14" s="26">
        <v>99240</v>
      </c>
      <c r="F14" s="27"/>
      <c r="G14" s="23">
        <v>-19.608426982086343</v>
      </c>
      <c r="H14" s="24">
        <v>-5.77646120542326</v>
      </c>
    </row>
    <row r="15" spans="1:8" x14ac:dyDescent="0.25">
      <c r="A15" s="30" t="s">
        <v>168</v>
      </c>
      <c r="B15" s="31" t="s">
        <v>3</v>
      </c>
      <c r="C15" s="20">
        <v>58959.321388756172</v>
      </c>
      <c r="D15" s="20">
        <v>48783</v>
      </c>
      <c r="E15" s="20">
        <v>47515.367864929511</v>
      </c>
      <c r="F15" s="22" t="s">
        <v>240</v>
      </c>
      <c r="G15" s="37">
        <v>-19.409913910591712</v>
      </c>
      <c r="H15" s="33">
        <v>-2.5985120535237485</v>
      </c>
    </row>
    <row r="16" spans="1:8" x14ac:dyDescent="0.25">
      <c r="A16" s="34"/>
      <c r="B16" s="25" t="s">
        <v>241</v>
      </c>
      <c r="C16" s="26">
        <v>18591.561395126613</v>
      </c>
      <c r="D16" s="26">
        <v>14088</v>
      </c>
      <c r="E16" s="26">
        <v>14118</v>
      </c>
      <c r="F16" s="27"/>
      <c r="G16" s="28">
        <v>-24.062322147397822</v>
      </c>
      <c r="H16" s="29">
        <v>0.21294718909710753</v>
      </c>
    </row>
    <row r="17" spans="1:8" x14ac:dyDescent="0.25">
      <c r="A17" s="30" t="s">
        <v>7</v>
      </c>
      <c r="B17" s="31" t="s">
        <v>3</v>
      </c>
      <c r="C17" s="20">
        <v>10117.320163265305</v>
      </c>
      <c r="D17" s="20">
        <v>10448</v>
      </c>
      <c r="E17" s="20">
        <v>12123.413636881012</v>
      </c>
      <c r="F17" s="22" t="s">
        <v>240</v>
      </c>
      <c r="G17" s="23">
        <v>19.828308694821928</v>
      </c>
      <c r="H17" s="24">
        <v>16.035735421908612</v>
      </c>
    </row>
    <row r="18" spans="1:8" x14ac:dyDescent="0.25">
      <c r="A18" s="30"/>
      <c r="B18" s="25" t="s">
        <v>241</v>
      </c>
      <c r="C18" s="26">
        <v>2800.3848653061223</v>
      </c>
      <c r="D18" s="26">
        <v>2799</v>
      </c>
      <c r="E18" s="26">
        <v>3283</v>
      </c>
      <c r="F18" s="27"/>
      <c r="G18" s="23">
        <v>17.233885980208697</v>
      </c>
      <c r="H18" s="24">
        <v>17.29188996070026</v>
      </c>
    </row>
    <row r="19" spans="1:8" x14ac:dyDescent="0.25">
      <c r="A19" s="38" t="s">
        <v>8</v>
      </c>
      <c r="B19" s="31" t="s">
        <v>3</v>
      </c>
      <c r="C19" s="20">
        <v>7488</v>
      </c>
      <c r="D19" s="20">
        <v>7472</v>
      </c>
      <c r="E19" s="20">
        <v>9919.5084221537509</v>
      </c>
      <c r="F19" s="22" t="s">
        <v>240</v>
      </c>
      <c r="G19" s="37">
        <v>32.472067603549021</v>
      </c>
      <c r="H19" s="33">
        <v>32.755733701201166</v>
      </c>
    </row>
    <row r="20" spans="1:8" x14ac:dyDescent="0.25">
      <c r="A20" s="34"/>
      <c r="B20" s="25" t="s">
        <v>241</v>
      </c>
      <c r="C20" s="26">
        <v>1943</v>
      </c>
      <c r="D20" s="26">
        <v>2092</v>
      </c>
      <c r="E20" s="26">
        <v>2706</v>
      </c>
      <c r="F20" s="27"/>
      <c r="G20" s="28">
        <v>39.269171384457024</v>
      </c>
      <c r="H20" s="29">
        <v>29.349904397705558</v>
      </c>
    </row>
    <row r="21" spans="1:8" x14ac:dyDescent="0.25">
      <c r="A21" s="38" t="s">
        <v>9</v>
      </c>
      <c r="B21" s="31" t="s">
        <v>3</v>
      </c>
      <c r="C21" s="20">
        <v>45308.126666666671</v>
      </c>
      <c r="D21" s="20">
        <v>49784</v>
      </c>
      <c r="E21" s="20">
        <v>52442.354243142698</v>
      </c>
      <c r="F21" s="22" t="s">
        <v>240</v>
      </c>
      <c r="G21" s="37">
        <v>15.746021964145115</v>
      </c>
      <c r="H21" s="33">
        <v>5.3397763199877488</v>
      </c>
    </row>
    <row r="22" spans="1:8" x14ac:dyDescent="0.25">
      <c r="A22" s="34"/>
      <c r="B22" s="25" t="s">
        <v>241</v>
      </c>
      <c r="C22" s="26">
        <v>11726.093333333334</v>
      </c>
      <c r="D22" s="26">
        <v>14056</v>
      </c>
      <c r="E22" s="26">
        <v>14371</v>
      </c>
      <c r="F22" s="27"/>
      <c r="G22" s="28">
        <v>22.5557360962503</v>
      </c>
      <c r="H22" s="29">
        <v>2.241035856573717</v>
      </c>
    </row>
    <row r="23" spans="1:8" x14ac:dyDescent="0.25">
      <c r="A23" s="38" t="s">
        <v>190</v>
      </c>
      <c r="B23" s="31" t="s">
        <v>3</v>
      </c>
      <c r="C23" s="20">
        <v>9944</v>
      </c>
      <c r="D23" s="20">
        <v>10277</v>
      </c>
      <c r="E23" s="20">
        <v>11049.231905465289</v>
      </c>
      <c r="F23" s="22" t="s">
        <v>240</v>
      </c>
      <c r="G23" s="37">
        <v>11.114560593979178</v>
      </c>
      <c r="H23" s="33">
        <v>7.5141763692253534</v>
      </c>
    </row>
    <row r="24" spans="1:8" x14ac:dyDescent="0.25">
      <c r="A24" s="34"/>
      <c r="B24" s="25" t="s">
        <v>241</v>
      </c>
      <c r="C24" s="26">
        <v>2898</v>
      </c>
      <c r="D24" s="26">
        <v>2708</v>
      </c>
      <c r="E24" s="26">
        <v>2860</v>
      </c>
      <c r="F24" s="27"/>
      <c r="G24" s="28">
        <v>-1.3112491373360911</v>
      </c>
      <c r="H24" s="29">
        <v>5.6129985228951114</v>
      </c>
    </row>
    <row r="25" spans="1:8" x14ac:dyDescent="0.25">
      <c r="A25" s="38" t="s">
        <v>191</v>
      </c>
      <c r="B25" s="31" t="s">
        <v>3</v>
      </c>
      <c r="C25" s="20">
        <v>2788</v>
      </c>
      <c r="D25" s="20">
        <v>2867</v>
      </c>
      <c r="E25" s="20">
        <v>2886.8223350253811</v>
      </c>
      <c r="F25" s="22" t="s">
        <v>240</v>
      </c>
      <c r="G25" s="37">
        <v>3.5445600798199735</v>
      </c>
      <c r="H25" s="33">
        <v>0.69139640827977189</v>
      </c>
    </row>
    <row r="26" spans="1:8" x14ac:dyDescent="0.25">
      <c r="A26" s="34"/>
      <c r="B26" s="25" t="s">
        <v>241</v>
      </c>
      <c r="C26" s="26">
        <v>704</v>
      </c>
      <c r="D26" s="26">
        <v>788</v>
      </c>
      <c r="E26" s="26">
        <v>768</v>
      </c>
      <c r="F26" s="27"/>
      <c r="G26" s="28">
        <v>9.0909090909090793</v>
      </c>
      <c r="H26" s="29">
        <v>-2.5380710659898398</v>
      </c>
    </row>
    <row r="27" spans="1:8" x14ac:dyDescent="0.25">
      <c r="A27" s="38" t="s">
        <v>192</v>
      </c>
      <c r="B27" s="31" t="s">
        <v>3</v>
      </c>
      <c r="C27" s="20">
        <v>365256.53234071127</v>
      </c>
      <c r="D27" s="20">
        <v>399330.99999996775</v>
      </c>
      <c r="E27" s="20">
        <v>467294.18673062691</v>
      </c>
      <c r="F27" s="22" t="s">
        <v>240</v>
      </c>
      <c r="G27" s="37">
        <v>27.935887617400624</v>
      </c>
      <c r="H27" s="33">
        <v>17.019261397353233</v>
      </c>
    </row>
    <row r="28" spans="1:8" x14ac:dyDescent="0.25">
      <c r="A28" s="34"/>
      <c r="B28" s="25" t="s">
        <v>241</v>
      </c>
      <c r="C28" s="26">
        <v>91473.017716161718</v>
      </c>
      <c r="D28" s="26">
        <v>83350.000000002503</v>
      </c>
      <c r="E28" s="26">
        <v>103216.00000000212</v>
      </c>
      <c r="F28" s="27"/>
      <c r="G28" s="28">
        <v>12.837646091745398</v>
      </c>
      <c r="H28" s="29">
        <v>23.834433113376164</v>
      </c>
    </row>
    <row r="29" spans="1:8" x14ac:dyDescent="0.25">
      <c r="A29" s="30" t="s">
        <v>10</v>
      </c>
      <c r="B29" s="31" t="s">
        <v>3</v>
      </c>
      <c r="C29" s="20">
        <v>421846.37179487181</v>
      </c>
      <c r="D29" s="20">
        <v>409226</v>
      </c>
      <c r="E29" s="20">
        <v>443412.6985073433</v>
      </c>
      <c r="F29" s="22" t="s">
        <v>240</v>
      </c>
      <c r="G29" s="37">
        <v>5.1123651059771049</v>
      </c>
      <c r="H29" s="33">
        <v>8.3539898509242647</v>
      </c>
    </row>
    <row r="30" spans="1:8" x14ac:dyDescent="0.25">
      <c r="A30" s="30"/>
      <c r="B30" s="25" t="s">
        <v>241</v>
      </c>
      <c r="C30" s="26">
        <v>92765.108974358969</v>
      </c>
      <c r="D30" s="26">
        <v>100721</v>
      </c>
      <c r="E30" s="26">
        <v>104963</v>
      </c>
      <c r="F30" s="27"/>
      <c r="G30" s="28">
        <v>13.149222978881653</v>
      </c>
      <c r="H30" s="29">
        <v>4.2116341180091581</v>
      </c>
    </row>
    <row r="31" spans="1:8" x14ac:dyDescent="0.25">
      <c r="A31" s="38" t="s">
        <v>11</v>
      </c>
      <c r="B31" s="31" t="s">
        <v>3</v>
      </c>
      <c r="C31" s="20">
        <v>13376.02493765586</v>
      </c>
      <c r="D31" s="20">
        <v>12919</v>
      </c>
      <c r="E31" s="20">
        <v>9236.4507085106306</v>
      </c>
      <c r="F31" s="22" t="s">
        <v>240</v>
      </c>
      <c r="G31" s="37">
        <v>-30.947716144664184</v>
      </c>
      <c r="H31" s="33">
        <v>-28.504909756864848</v>
      </c>
    </row>
    <row r="32" spans="1:8" x14ac:dyDescent="0.25">
      <c r="A32" s="34"/>
      <c r="B32" s="25" t="s">
        <v>241</v>
      </c>
      <c r="C32" s="26">
        <v>2296.269950124688</v>
      </c>
      <c r="D32" s="26">
        <v>1460</v>
      </c>
      <c r="E32" s="26">
        <v>1178</v>
      </c>
      <c r="F32" s="27"/>
      <c r="G32" s="28">
        <v>-48.699411411274426</v>
      </c>
      <c r="H32" s="29">
        <v>-19.31506849315069</v>
      </c>
    </row>
    <row r="33" spans="1:8" x14ac:dyDescent="0.25">
      <c r="A33" s="30" t="s">
        <v>12</v>
      </c>
      <c r="B33" s="31" t="s">
        <v>3</v>
      </c>
      <c r="C33" s="20">
        <v>14653.088</v>
      </c>
      <c r="D33" s="20">
        <v>13404</v>
      </c>
      <c r="E33" s="20">
        <v>13135.443529553031</v>
      </c>
      <c r="F33" s="22" t="s">
        <v>240</v>
      </c>
      <c r="G33" s="37">
        <v>-10.357164786336966</v>
      </c>
      <c r="H33" s="33">
        <v>-2.0035546885032005</v>
      </c>
    </row>
    <row r="34" spans="1:8" x14ac:dyDescent="0.25">
      <c r="A34" s="30"/>
      <c r="B34" s="25" t="s">
        <v>241</v>
      </c>
      <c r="C34" s="26">
        <v>3764.605</v>
      </c>
      <c r="D34" s="26">
        <v>3893</v>
      </c>
      <c r="E34" s="26">
        <v>3656</v>
      </c>
      <c r="F34" s="27"/>
      <c r="G34" s="28">
        <v>-2.8848976187408795</v>
      </c>
      <c r="H34" s="29">
        <v>-6.0878499871564316</v>
      </c>
    </row>
    <row r="35" spans="1:8" x14ac:dyDescent="0.25">
      <c r="A35" s="38" t="s">
        <v>13</v>
      </c>
      <c r="B35" s="31" t="s">
        <v>3</v>
      </c>
      <c r="C35" s="20">
        <v>89</v>
      </c>
      <c r="D35" s="20">
        <v>66</v>
      </c>
      <c r="E35" s="20">
        <v>48.480392156862749</v>
      </c>
      <c r="F35" s="22" t="s">
        <v>240</v>
      </c>
      <c r="G35" s="23">
        <v>-45.527649261951964</v>
      </c>
      <c r="H35" s="24">
        <v>-26.544860368389777</v>
      </c>
    </row>
    <row r="36" spans="1:8" x14ac:dyDescent="0.25">
      <c r="A36" s="34"/>
      <c r="B36" s="25" t="s">
        <v>241</v>
      </c>
      <c r="C36" s="26">
        <v>26</v>
      </c>
      <c r="D36" s="26">
        <v>17</v>
      </c>
      <c r="E36" s="26">
        <v>13</v>
      </c>
      <c r="F36" s="27"/>
      <c r="G36" s="28">
        <v>-50</v>
      </c>
      <c r="H36" s="29">
        <v>-23.529411764705884</v>
      </c>
    </row>
    <row r="37" spans="1:8" x14ac:dyDescent="0.25">
      <c r="A37" s="30" t="s">
        <v>14</v>
      </c>
      <c r="B37" s="31" t="s">
        <v>3</v>
      </c>
      <c r="C37" s="39">
        <v>147062.31461538462</v>
      </c>
      <c r="D37" s="39">
        <v>142439</v>
      </c>
      <c r="E37" s="20">
        <v>147291.14173231815</v>
      </c>
      <c r="F37" s="22" t="s">
        <v>240</v>
      </c>
      <c r="G37" s="23">
        <v>0.1555987456963237</v>
      </c>
      <c r="H37" s="24">
        <v>3.4064699501668514</v>
      </c>
    </row>
    <row r="38" spans="1:8" ht="13.8" thickBot="1" x14ac:dyDescent="0.3">
      <c r="A38" s="40"/>
      <c r="B38" s="41" t="s">
        <v>241</v>
      </c>
      <c r="C38" s="42">
        <v>33558.734807692308</v>
      </c>
      <c r="D38" s="42">
        <v>35101</v>
      </c>
      <c r="E38" s="42">
        <v>35355</v>
      </c>
      <c r="F38" s="43"/>
      <c r="G38" s="44">
        <v>5.3526010518607308</v>
      </c>
      <c r="H38" s="45">
        <v>0.72362610751829948</v>
      </c>
    </row>
    <row r="39" spans="1:8" x14ac:dyDescent="0.25">
      <c r="A39" s="46"/>
      <c r="B39" s="47"/>
      <c r="C39" s="48"/>
      <c r="D39" s="48"/>
      <c r="E39" s="48"/>
      <c r="F39" s="48"/>
      <c r="G39" s="49"/>
      <c r="H39" s="49"/>
    </row>
    <row r="40" spans="1:8" x14ac:dyDescent="0.25">
      <c r="A40" s="46"/>
      <c r="B40" s="47"/>
      <c r="C40" s="48"/>
      <c r="D40" s="48"/>
      <c r="E40" s="48"/>
      <c r="F40" s="48"/>
      <c r="G40" s="49"/>
      <c r="H40" s="49"/>
    </row>
    <row r="41" spans="1:8" x14ac:dyDescent="0.25">
      <c r="A41" s="46"/>
      <c r="B41" s="47"/>
      <c r="C41" s="48"/>
      <c r="D41" s="48"/>
      <c r="E41" s="48"/>
      <c r="F41" s="48"/>
      <c r="G41" s="49"/>
      <c r="H41" s="49"/>
    </row>
    <row r="42" spans="1:8" x14ac:dyDescent="0.25">
      <c r="A42" s="46"/>
      <c r="B42" s="47"/>
      <c r="C42" s="48"/>
      <c r="D42" s="48"/>
      <c r="E42" s="48"/>
      <c r="F42" s="48"/>
      <c r="G42" s="49"/>
      <c r="H42" s="49"/>
    </row>
    <row r="43" spans="1:8" x14ac:dyDescent="0.25">
      <c r="A43" s="46"/>
      <c r="B43" s="47"/>
      <c r="C43" s="48"/>
      <c r="D43" s="48"/>
      <c r="E43" s="48"/>
      <c r="F43" s="48"/>
      <c r="G43" s="49"/>
      <c r="H43" s="49"/>
    </row>
    <row r="44" spans="1:8" x14ac:dyDescent="0.25">
      <c r="A44" s="46"/>
      <c r="B44" s="47"/>
      <c r="C44" s="48"/>
      <c r="D44" s="48"/>
      <c r="E44" s="48"/>
      <c r="F44" s="48"/>
      <c r="G44" s="49"/>
      <c r="H44" s="49"/>
    </row>
    <row r="45" spans="1:8" x14ac:dyDescent="0.25">
      <c r="A45" s="46"/>
      <c r="B45" s="47"/>
      <c r="C45" s="48"/>
      <c r="D45" s="48"/>
      <c r="E45" s="48"/>
      <c r="F45" s="48"/>
      <c r="G45" s="49"/>
      <c r="H45" s="49"/>
    </row>
    <row r="46" spans="1:8" x14ac:dyDescent="0.25">
      <c r="A46" s="46"/>
      <c r="B46" s="47"/>
      <c r="C46" s="48"/>
      <c r="D46" s="48"/>
      <c r="E46" s="48"/>
      <c r="F46" s="48"/>
      <c r="G46" s="49"/>
      <c r="H46" s="49"/>
    </row>
    <row r="47" spans="1:8" x14ac:dyDescent="0.25">
      <c r="A47" s="46"/>
      <c r="B47" s="47"/>
      <c r="C47" s="48"/>
      <c r="D47" s="48"/>
      <c r="E47" s="48"/>
      <c r="F47" s="48"/>
      <c r="G47" s="49"/>
      <c r="H47" s="49"/>
    </row>
    <row r="48" spans="1:8" x14ac:dyDescent="0.25">
      <c r="A48" s="46"/>
      <c r="B48" s="47"/>
      <c r="C48" s="48"/>
      <c r="D48" s="48"/>
      <c r="E48" s="48"/>
      <c r="F48" s="48"/>
      <c r="G48" s="49"/>
      <c r="H48" s="49"/>
    </row>
    <row r="49" spans="1:8" x14ac:dyDescent="0.25">
      <c r="A49" s="46"/>
      <c r="B49" s="47"/>
      <c r="C49" s="48"/>
      <c r="D49" s="48"/>
      <c r="E49" s="90"/>
      <c r="F49" s="48"/>
      <c r="G49" s="49"/>
      <c r="H49" s="49"/>
    </row>
    <row r="50" spans="1:8" x14ac:dyDescent="0.25">
      <c r="A50" s="46"/>
      <c r="B50" s="47"/>
      <c r="C50" s="48"/>
      <c r="D50" s="48"/>
      <c r="E50" s="48"/>
      <c r="F50" s="48"/>
      <c r="G50" s="49"/>
      <c r="H50" s="49"/>
    </row>
    <row r="51" spans="1:8" x14ac:dyDescent="0.25">
      <c r="A51" s="46"/>
      <c r="B51" s="47"/>
      <c r="C51" s="48"/>
      <c r="D51" s="48"/>
      <c r="E51" s="48"/>
      <c r="F51" s="48"/>
      <c r="G51" s="49"/>
      <c r="H51" s="49"/>
    </row>
    <row r="52" spans="1:8" x14ac:dyDescent="0.25">
      <c r="A52" s="46"/>
      <c r="B52" s="47"/>
      <c r="C52" s="48"/>
      <c r="D52" s="48"/>
      <c r="E52" s="48"/>
      <c r="F52" s="48"/>
      <c r="G52" s="49"/>
      <c r="H52" s="49"/>
    </row>
    <row r="53" spans="1:8" x14ac:dyDescent="0.25">
      <c r="A53" s="46"/>
      <c r="B53" s="47"/>
      <c r="C53" s="48"/>
      <c r="D53" s="48"/>
      <c r="E53" s="48"/>
      <c r="F53" s="48"/>
      <c r="G53" s="49"/>
      <c r="H53" s="49"/>
    </row>
    <row r="54" spans="1:8" x14ac:dyDescent="0.25">
      <c r="A54" s="46"/>
      <c r="B54" s="47"/>
      <c r="C54" s="48"/>
      <c r="D54" s="48"/>
      <c r="E54" s="48"/>
      <c r="F54" s="48"/>
      <c r="G54" s="49"/>
      <c r="H54" s="49"/>
    </row>
    <row r="55" spans="1:8" x14ac:dyDescent="0.25">
      <c r="A55" s="46"/>
      <c r="B55" s="47"/>
      <c r="C55" s="48"/>
      <c r="D55" s="48"/>
      <c r="E55" s="48"/>
      <c r="F55" s="48"/>
      <c r="G55" s="49"/>
      <c r="H55" s="49"/>
    </row>
    <row r="56" spans="1:8" x14ac:dyDescent="0.25">
      <c r="A56" s="46"/>
      <c r="B56" s="47"/>
      <c r="C56" s="48"/>
      <c r="D56" s="48"/>
      <c r="E56" s="48"/>
      <c r="F56" s="48"/>
      <c r="G56" s="49"/>
      <c r="H56" s="49"/>
    </row>
    <row r="57" spans="1:8" x14ac:dyDescent="0.25">
      <c r="A57" s="46"/>
      <c r="B57" s="47"/>
      <c r="C57" s="48"/>
      <c r="D57" s="48"/>
      <c r="E57" s="48"/>
      <c r="F57" s="48"/>
      <c r="G57" s="49"/>
      <c r="H57" s="49"/>
    </row>
    <row r="58" spans="1:8" x14ac:dyDescent="0.25">
      <c r="A58" s="46"/>
      <c r="B58" s="47"/>
      <c r="C58" s="48"/>
      <c r="D58" s="48"/>
      <c r="E58" s="48"/>
      <c r="F58" s="48"/>
      <c r="G58" s="49"/>
      <c r="H58" s="49"/>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9</v>
      </c>
    </row>
    <row r="62" spans="1:8" ht="12.75" customHeight="1" x14ac:dyDescent="0.25">
      <c r="A62" s="52" t="str">
        <f>+Innhold!$B$124</f>
        <v>Skadestatistikk for landbasert forsikring 1. kvartal 2026</v>
      </c>
      <c r="G62" s="51"/>
      <c r="H62" s="188"/>
    </row>
    <row r="63" spans="1:8" x14ac:dyDescent="0.25">
      <c r="H63" s="80"/>
    </row>
    <row r="64" spans="1:8" x14ac:dyDescent="0.25">
      <c r="A64" s="194"/>
      <c r="H64" s="51"/>
    </row>
    <row r="65" spans="1:8" x14ac:dyDescent="0.25">
      <c r="A65" s="194"/>
      <c r="H65" s="51"/>
    </row>
    <row r="67" spans="1:8" ht="12.75" customHeight="1" x14ac:dyDescent="0.25"/>
    <row r="68" spans="1:8" ht="12.75" customHeight="1" x14ac:dyDescent="0.25"/>
  </sheetData>
  <mergeCells count="4">
    <mergeCell ref="G5:H5"/>
    <mergeCell ref="A7:A8"/>
    <mergeCell ref="A64:A65"/>
    <mergeCell ref="H61:H62"/>
  </mergeCells>
  <phoneticPr fontId="0" type="noConversion"/>
  <hyperlinks>
    <hyperlink ref="A2" location="Innhold!A23" display="Tilbake til innholdsfortegnelsen" xr:uid="{00000000-0004-0000-04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rowBreaks count="1" manualBreakCount="1">
    <brk id="6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8"/>
  <sheetViews>
    <sheetView showGridLines="0" showRowColHeaders="0" zoomScaleNormal="100" workbookViewId="0">
      <selection activeCell="G7" sqref="G7:H38"/>
    </sheetView>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10" ht="5.25" customHeight="1" x14ac:dyDescent="0.25"/>
    <row r="2" spans="1:10" x14ac:dyDescent="0.25">
      <c r="A2" s="85" t="s">
        <v>0</v>
      </c>
      <c r="B2" s="2"/>
      <c r="C2" s="2"/>
      <c r="D2" s="2"/>
      <c r="E2" s="2"/>
      <c r="F2" s="2"/>
      <c r="G2" s="2"/>
    </row>
    <row r="3" spans="1:10" ht="6" customHeight="1" x14ac:dyDescent="0.25">
      <c r="A3" s="3"/>
      <c r="B3" s="2"/>
      <c r="C3" s="2"/>
      <c r="D3" s="2"/>
      <c r="E3" s="2"/>
      <c r="F3" s="2"/>
      <c r="G3" s="2"/>
    </row>
    <row r="4" spans="1:10" ht="16.2" thickBot="1" x14ac:dyDescent="0.35">
      <c r="A4" s="4" t="s">
        <v>15</v>
      </c>
      <c r="B4" s="5"/>
      <c r="C4" s="5"/>
      <c r="D4" s="5"/>
      <c r="E4" s="5"/>
      <c r="F4" s="5"/>
      <c r="G4" s="5"/>
      <c r="H4" s="6"/>
    </row>
    <row r="5" spans="1:10" x14ac:dyDescent="0.25">
      <c r="A5" s="7"/>
      <c r="B5" s="8"/>
      <c r="C5" s="195" t="s">
        <v>16</v>
      </c>
      <c r="D5" s="190"/>
      <c r="E5" s="190"/>
      <c r="F5" s="196"/>
      <c r="G5" s="190" t="s">
        <v>1</v>
      </c>
      <c r="H5" s="191"/>
    </row>
    <row r="6" spans="1:10" x14ac:dyDescent="0.25">
      <c r="A6" s="12"/>
      <c r="B6" s="13"/>
      <c r="C6" s="14" t="s">
        <v>235</v>
      </c>
      <c r="D6" s="15" t="s">
        <v>236</v>
      </c>
      <c r="E6" s="15" t="s">
        <v>237</v>
      </c>
      <c r="F6" s="16"/>
      <c r="G6" s="17" t="s">
        <v>238</v>
      </c>
      <c r="H6" s="18" t="s">
        <v>239</v>
      </c>
    </row>
    <row r="7" spans="1:10" x14ac:dyDescent="0.25">
      <c r="A7" s="192" t="s">
        <v>2</v>
      </c>
      <c r="B7" s="19" t="s">
        <v>3</v>
      </c>
      <c r="C7" s="73">
        <v>65389.885855739296</v>
      </c>
      <c r="D7" s="73">
        <v>64780.084614962005</v>
      </c>
      <c r="E7" s="74">
        <v>71367.49078607354</v>
      </c>
      <c r="F7" s="22" t="s">
        <v>240</v>
      </c>
      <c r="G7" s="23">
        <v>9.1414824358644751</v>
      </c>
      <c r="H7" s="24">
        <v>10.168875527510608</v>
      </c>
    </row>
    <row r="8" spans="1:10" x14ac:dyDescent="0.25">
      <c r="A8" s="193"/>
      <c r="B8" s="25" t="s">
        <v>241</v>
      </c>
      <c r="C8" s="75">
        <v>18407.654137163816</v>
      </c>
      <c r="D8" s="75">
        <v>17746.7044818779</v>
      </c>
      <c r="E8" s="75">
        <v>19727.782391688233</v>
      </c>
      <c r="F8" s="27"/>
      <c r="G8" s="28">
        <v>7.1716267846382777</v>
      </c>
      <c r="H8" s="29">
        <v>11.163074878681385</v>
      </c>
      <c r="J8" s="87"/>
    </row>
    <row r="9" spans="1:10" x14ac:dyDescent="0.25">
      <c r="A9" s="30" t="s">
        <v>4</v>
      </c>
      <c r="B9" s="31" t="s">
        <v>3</v>
      </c>
      <c r="C9" s="73">
        <v>17622.396543961302</v>
      </c>
      <c r="D9" s="73">
        <v>17516.405584596167</v>
      </c>
      <c r="E9" s="73">
        <v>18193.776649269152</v>
      </c>
      <c r="F9" s="22" t="s">
        <v>240</v>
      </c>
      <c r="G9" s="32">
        <v>3.2423518780914264</v>
      </c>
      <c r="H9" s="33">
        <v>3.8670665702594818</v>
      </c>
    </row>
    <row r="10" spans="1:10" x14ac:dyDescent="0.25">
      <c r="A10" s="34"/>
      <c r="B10" s="25" t="s">
        <v>241</v>
      </c>
      <c r="C10" s="75">
        <v>4767.9844772255619</v>
      </c>
      <c r="D10" s="75">
        <v>4727.5442059992756</v>
      </c>
      <c r="E10" s="75">
        <v>4914.4273511672336</v>
      </c>
      <c r="F10" s="27"/>
      <c r="G10" s="35">
        <v>3.0713789996834322</v>
      </c>
      <c r="H10" s="29">
        <v>3.9530702839500265</v>
      </c>
      <c r="J10" s="87"/>
    </row>
    <row r="11" spans="1:10" x14ac:dyDescent="0.25">
      <c r="A11" s="30" t="s">
        <v>5</v>
      </c>
      <c r="B11" s="31" t="s">
        <v>3</v>
      </c>
      <c r="C11" s="73">
        <v>6761.5524625283579</v>
      </c>
      <c r="D11" s="73">
        <v>6602.9325931383355</v>
      </c>
      <c r="E11" s="73">
        <v>7549.9871752871049</v>
      </c>
      <c r="F11" s="22" t="s">
        <v>240</v>
      </c>
      <c r="G11" s="37">
        <v>11.660557499600117</v>
      </c>
      <c r="H11" s="33">
        <v>14.342938819834899</v>
      </c>
    </row>
    <row r="12" spans="1:10" x14ac:dyDescent="0.25">
      <c r="A12" s="34"/>
      <c r="B12" s="25" t="s">
        <v>241</v>
      </c>
      <c r="C12" s="75">
        <v>2129.2494035991622</v>
      </c>
      <c r="D12" s="75">
        <v>2110.884358012464</v>
      </c>
      <c r="E12" s="75">
        <v>2401.4874268322064</v>
      </c>
      <c r="F12" s="27"/>
      <c r="G12" s="28">
        <v>12.785633414895798</v>
      </c>
      <c r="H12" s="29">
        <v>13.766887215620116</v>
      </c>
    </row>
    <row r="13" spans="1:10" x14ac:dyDescent="0.25">
      <c r="A13" s="30" t="s">
        <v>6</v>
      </c>
      <c r="B13" s="31" t="s">
        <v>3</v>
      </c>
      <c r="C13" s="73">
        <v>12228.725739855268</v>
      </c>
      <c r="D13" s="73">
        <v>11351.889827751909</v>
      </c>
      <c r="E13" s="73">
        <v>12513.286576816441</v>
      </c>
      <c r="F13" s="22" t="s">
        <v>240</v>
      </c>
      <c r="G13" s="23">
        <v>2.326986826057805</v>
      </c>
      <c r="H13" s="24">
        <v>10.23086698943527</v>
      </c>
    </row>
    <row r="14" spans="1:10" x14ac:dyDescent="0.25">
      <c r="A14" s="34"/>
      <c r="B14" s="25" t="s">
        <v>241</v>
      </c>
      <c r="C14" s="75">
        <v>3932.4092415218524</v>
      </c>
      <c r="D14" s="75">
        <v>3205.5196405216943</v>
      </c>
      <c r="E14" s="75">
        <v>3683.1071827156125</v>
      </c>
      <c r="F14" s="27"/>
      <c r="G14" s="23">
        <v>-6.3396773706532912</v>
      </c>
      <c r="H14" s="24">
        <v>14.898911744499287</v>
      </c>
    </row>
    <row r="15" spans="1:10" x14ac:dyDescent="0.25">
      <c r="A15" s="30" t="s">
        <v>168</v>
      </c>
      <c r="B15" s="31" t="s">
        <v>3</v>
      </c>
      <c r="C15" s="73">
        <v>8476.4604420827982</v>
      </c>
      <c r="D15" s="73">
        <v>8139.9913574072152</v>
      </c>
      <c r="E15" s="73">
        <v>7664.0389867314952</v>
      </c>
      <c r="F15" s="22" t="s">
        <v>240</v>
      </c>
      <c r="G15" s="37">
        <v>-9.584442243343716</v>
      </c>
      <c r="H15" s="33">
        <v>-5.8470869289389782</v>
      </c>
    </row>
    <row r="16" spans="1:10" x14ac:dyDescent="0.25">
      <c r="A16" s="34"/>
      <c r="B16" s="25" t="s">
        <v>241</v>
      </c>
      <c r="C16" s="75">
        <v>2683.8552665969805</v>
      </c>
      <c r="D16" s="75">
        <v>2336.0372093238216</v>
      </c>
      <c r="E16" s="75">
        <v>2270.293893236857</v>
      </c>
      <c r="F16" s="27"/>
      <c r="G16" s="28">
        <v>-15.409227856184003</v>
      </c>
      <c r="H16" s="29">
        <v>-2.8143094563974955</v>
      </c>
    </row>
    <row r="17" spans="1:8" x14ac:dyDescent="0.25">
      <c r="A17" s="30" t="s">
        <v>7</v>
      </c>
      <c r="B17" s="31" t="s">
        <v>3</v>
      </c>
      <c r="C17" s="73">
        <v>2003.6754158814861</v>
      </c>
      <c r="D17" s="73">
        <v>2341.1157256331012</v>
      </c>
      <c r="E17" s="73">
        <v>3309.7692397006253</v>
      </c>
      <c r="F17" s="22" t="s">
        <v>240</v>
      </c>
      <c r="G17" s="23">
        <v>65.184900381908591</v>
      </c>
      <c r="H17" s="24">
        <v>41.375721134228598</v>
      </c>
    </row>
    <row r="18" spans="1:8" x14ac:dyDescent="0.25">
      <c r="A18" s="30"/>
      <c r="B18" s="25" t="s">
        <v>241</v>
      </c>
      <c r="C18" s="75">
        <v>556.31455547052383</v>
      </c>
      <c r="D18" s="75">
        <v>559.80800308339622</v>
      </c>
      <c r="E18" s="75">
        <v>829.81486720109558</v>
      </c>
      <c r="F18" s="27"/>
      <c r="G18" s="23">
        <v>49.16288977901155</v>
      </c>
      <c r="H18" s="24">
        <v>48.23204788615277</v>
      </c>
    </row>
    <row r="19" spans="1:8" x14ac:dyDescent="0.25">
      <c r="A19" s="38" t="s">
        <v>8</v>
      </c>
      <c r="B19" s="31" t="s">
        <v>3</v>
      </c>
      <c r="C19" s="73">
        <v>3657.209828106048</v>
      </c>
      <c r="D19" s="73">
        <v>2969.5852671768789</v>
      </c>
      <c r="E19" s="73">
        <v>3192.4752805511171</v>
      </c>
      <c r="F19" s="22" t="s">
        <v>240</v>
      </c>
      <c r="G19" s="37">
        <v>-12.70735258292801</v>
      </c>
      <c r="H19" s="33">
        <v>7.5057623647942933</v>
      </c>
    </row>
    <row r="20" spans="1:8" x14ac:dyDescent="0.25">
      <c r="A20" s="34"/>
      <c r="B20" s="25" t="s">
        <v>241</v>
      </c>
      <c r="C20" s="75">
        <v>677.20724836542172</v>
      </c>
      <c r="D20" s="75">
        <v>820.96199987441344</v>
      </c>
      <c r="E20" s="75">
        <v>758.01760734125992</v>
      </c>
      <c r="F20" s="27"/>
      <c r="G20" s="28">
        <v>11.932884529941262</v>
      </c>
      <c r="H20" s="29">
        <v>-7.6671505554194255</v>
      </c>
    </row>
    <row r="21" spans="1:8" x14ac:dyDescent="0.25">
      <c r="A21" s="38" t="s">
        <v>9</v>
      </c>
      <c r="B21" s="31" t="s">
        <v>3</v>
      </c>
      <c r="C21" s="73">
        <v>784.81220905313876</v>
      </c>
      <c r="D21" s="73">
        <v>922.49233784242506</v>
      </c>
      <c r="E21" s="73">
        <v>1320.5670341337559</v>
      </c>
      <c r="F21" s="22" t="s">
        <v>240</v>
      </c>
      <c r="G21" s="37">
        <v>68.265353023367879</v>
      </c>
      <c r="H21" s="33">
        <v>43.152087010540328</v>
      </c>
    </row>
    <row r="22" spans="1:8" x14ac:dyDescent="0.25">
      <c r="A22" s="34"/>
      <c r="B22" s="25" t="s">
        <v>241</v>
      </c>
      <c r="C22" s="75">
        <v>241.95851461356406</v>
      </c>
      <c r="D22" s="75">
        <v>278.8202720697966</v>
      </c>
      <c r="E22" s="75">
        <v>401.76702027328042</v>
      </c>
      <c r="F22" s="27"/>
      <c r="G22" s="28">
        <v>66.047894993465803</v>
      </c>
      <c r="H22" s="29">
        <v>44.095340446661197</v>
      </c>
    </row>
    <row r="23" spans="1:8" x14ac:dyDescent="0.25">
      <c r="A23" s="38" t="s">
        <v>190</v>
      </c>
      <c r="B23" s="31" t="s">
        <v>3</v>
      </c>
      <c r="C23" s="73">
        <v>2315.6154205171715</v>
      </c>
      <c r="D23" s="73">
        <v>2965.5622254451928</v>
      </c>
      <c r="E23" s="73">
        <v>5330.7016847877212</v>
      </c>
      <c r="F23" s="22" t="s">
        <v>240</v>
      </c>
      <c r="G23" s="23">
        <v>130.20669311301953</v>
      </c>
      <c r="H23" s="24">
        <v>79.753492914399118</v>
      </c>
    </row>
    <row r="24" spans="1:8" x14ac:dyDescent="0.25">
      <c r="A24" s="34"/>
      <c r="B24" s="25" t="s">
        <v>241</v>
      </c>
      <c r="C24" s="75">
        <v>572.36783985100783</v>
      </c>
      <c r="D24" s="75">
        <v>583.59386643689368</v>
      </c>
      <c r="E24" s="75">
        <v>1129.1385294619902</v>
      </c>
      <c r="F24" s="27"/>
      <c r="G24" s="23">
        <v>97.274977880643064</v>
      </c>
      <c r="H24" s="24">
        <v>93.480191345377762</v>
      </c>
    </row>
    <row r="25" spans="1:8" x14ac:dyDescent="0.25">
      <c r="A25" s="38" t="s">
        <v>191</v>
      </c>
      <c r="B25" s="31" t="s">
        <v>3</v>
      </c>
      <c r="C25" s="73">
        <v>908.36258257609177</v>
      </c>
      <c r="D25" s="73">
        <v>1133.439718539325</v>
      </c>
      <c r="E25" s="73">
        <v>1639.6319814953195</v>
      </c>
      <c r="F25" s="22" t="s">
        <v>240</v>
      </c>
      <c r="G25" s="37">
        <v>80.504130503192613</v>
      </c>
      <c r="H25" s="33">
        <v>44.659831014950612</v>
      </c>
    </row>
    <row r="26" spans="1:8" x14ac:dyDescent="0.25">
      <c r="A26" s="34"/>
      <c r="B26" s="25" t="s">
        <v>241</v>
      </c>
      <c r="C26" s="75">
        <v>310.89171900532108</v>
      </c>
      <c r="D26" s="75">
        <v>312.24684380466704</v>
      </c>
      <c r="E26" s="75">
        <v>436.85094335690479</v>
      </c>
      <c r="F26" s="27"/>
      <c r="G26" s="23">
        <v>40.51546459795793</v>
      </c>
      <c r="H26" s="24">
        <v>39.905639408219798</v>
      </c>
    </row>
    <row r="27" spans="1:8" x14ac:dyDescent="0.25">
      <c r="A27" s="38" t="s">
        <v>192</v>
      </c>
      <c r="B27" s="31" t="s">
        <v>3</v>
      </c>
      <c r="C27" s="73">
        <v>2712.508763845166</v>
      </c>
      <c r="D27" s="73">
        <v>2508.5070738604845</v>
      </c>
      <c r="E27" s="73">
        <v>2965.8708242236667</v>
      </c>
      <c r="F27" s="22" t="s">
        <v>240</v>
      </c>
      <c r="G27" s="37">
        <v>9.3405066098051179</v>
      </c>
      <c r="H27" s="33">
        <v>18.232507897987276</v>
      </c>
    </row>
    <row r="28" spans="1:8" x14ac:dyDescent="0.25">
      <c r="A28" s="34"/>
      <c r="B28" s="25" t="s">
        <v>241</v>
      </c>
      <c r="C28" s="75">
        <v>684.81376284750411</v>
      </c>
      <c r="D28" s="75">
        <v>663.78280838986905</v>
      </c>
      <c r="E28" s="75">
        <v>769.80843057077027</v>
      </c>
      <c r="F28" s="27"/>
      <c r="G28" s="23">
        <v>12.411355077014278</v>
      </c>
      <c r="H28" s="24">
        <v>15.972938865061366</v>
      </c>
    </row>
    <row r="29" spans="1:8" x14ac:dyDescent="0.25">
      <c r="A29" s="30" t="s">
        <v>10</v>
      </c>
      <c r="B29" s="31" t="s">
        <v>3</v>
      </c>
      <c r="C29" s="73">
        <v>3054.4851067037548</v>
      </c>
      <c r="D29" s="73">
        <v>3035.5188755793824</v>
      </c>
      <c r="E29" s="73">
        <v>2848.1501595001382</v>
      </c>
      <c r="F29" s="22" t="s">
        <v>240</v>
      </c>
      <c r="G29" s="37">
        <v>-6.755146612133359</v>
      </c>
      <c r="H29" s="33">
        <v>-6.1725432704970871</v>
      </c>
    </row>
    <row r="30" spans="1:8" x14ac:dyDescent="0.25">
      <c r="A30" s="30"/>
      <c r="B30" s="25" t="s">
        <v>241</v>
      </c>
      <c r="C30" s="75">
        <v>758.09987079489167</v>
      </c>
      <c r="D30" s="75">
        <v>1073.8690519940794</v>
      </c>
      <c r="E30" s="75">
        <v>882.45801561744179</v>
      </c>
      <c r="F30" s="27"/>
      <c r="G30" s="28">
        <v>16.403926397211578</v>
      </c>
      <c r="H30" s="29">
        <v>-17.82442989871106</v>
      </c>
    </row>
    <row r="31" spans="1:8" x14ac:dyDescent="0.25">
      <c r="A31" s="38" t="s">
        <v>11</v>
      </c>
      <c r="B31" s="31" t="s">
        <v>3</v>
      </c>
      <c r="C31" s="73">
        <v>793.12534751089788</v>
      </c>
      <c r="D31" s="73">
        <v>824.5477413946079</v>
      </c>
      <c r="E31" s="73">
        <v>554.91572967460434</v>
      </c>
      <c r="F31" s="22" t="s">
        <v>240</v>
      </c>
      <c r="G31" s="23">
        <v>-30.034296417820698</v>
      </c>
      <c r="H31" s="24">
        <v>-32.700594299604589</v>
      </c>
    </row>
    <row r="32" spans="1:8" x14ac:dyDescent="0.25">
      <c r="A32" s="34"/>
      <c r="B32" s="25" t="s">
        <v>241</v>
      </c>
      <c r="C32" s="75">
        <v>152.26295510110907</v>
      </c>
      <c r="D32" s="75">
        <v>107.72347648564264</v>
      </c>
      <c r="E32" s="75">
        <v>81.137846847769055</v>
      </c>
      <c r="F32" s="27"/>
      <c r="G32" s="23">
        <v>-46.712024081044476</v>
      </c>
      <c r="H32" s="24">
        <v>-24.679513236297112</v>
      </c>
    </row>
    <row r="33" spans="1:8" x14ac:dyDescent="0.25">
      <c r="A33" s="30" t="s">
        <v>12</v>
      </c>
      <c r="B33" s="31" t="s">
        <v>3</v>
      </c>
      <c r="C33" s="73">
        <v>1967.7894804639341</v>
      </c>
      <c r="D33" s="73">
        <v>1850.8176091240343</v>
      </c>
      <c r="E33" s="73">
        <v>2010.1285902112631</v>
      </c>
      <c r="F33" s="22" t="s">
        <v>240</v>
      </c>
      <c r="G33" s="37">
        <v>2.1516076881022315</v>
      </c>
      <c r="H33" s="33">
        <v>8.6076002466082286</v>
      </c>
    </row>
    <row r="34" spans="1:8" x14ac:dyDescent="0.25">
      <c r="A34" s="30"/>
      <c r="B34" s="25" t="s">
        <v>241</v>
      </c>
      <c r="C34" s="75">
        <v>456.87793273317737</v>
      </c>
      <c r="D34" s="75">
        <v>489.83176875388563</v>
      </c>
      <c r="E34" s="75">
        <v>508.29332965245055</v>
      </c>
      <c r="F34" s="27"/>
      <c r="G34" s="28">
        <v>11.253639809585735</v>
      </c>
      <c r="H34" s="29">
        <v>3.768959482871125</v>
      </c>
    </row>
    <row r="35" spans="1:8" x14ac:dyDescent="0.25">
      <c r="A35" s="38" t="s">
        <v>13</v>
      </c>
      <c r="B35" s="31" t="s">
        <v>3</v>
      </c>
      <c r="C35" s="73">
        <v>305.23110515491584</v>
      </c>
      <c r="D35" s="73">
        <v>414.70780311349154</v>
      </c>
      <c r="E35" s="73">
        <v>732.5996549635064</v>
      </c>
      <c r="F35" s="22" t="s">
        <v>240</v>
      </c>
      <c r="G35" s="23">
        <v>140.01474377642</v>
      </c>
      <c r="H35" s="24">
        <v>76.654417752303203</v>
      </c>
    </row>
    <row r="36" spans="1:8" x14ac:dyDescent="0.25">
      <c r="A36" s="34"/>
      <c r="B36" s="25" t="s">
        <v>241</v>
      </c>
      <c r="C36" s="75">
        <v>67.824454293064562</v>
      </c>
      <c r="D36" s="75">
        <v>28.361575995958376</v>
      </c>
      <c r="E36" s="75">
        <v>65.130290311796159</v>
      </c>
      <c r="F36" s="27"/>
      <c r="G36" s="28">
        <v>-3.9722604617312669</v>
      </c>
      <c r="H36" s="29">
        <v>129.64270504952705</v>
      </c>
    </row>
    <row r="37" spans="1:8" x14ac:dyDescent="0.25">
      <c r="A37" s="30" t="s">
        <v>14</v>
      </c>
      <c r="B37" s="31" t="s">
        <v>3</v>
      </c>
      <c r="C37" s="78">
        <v>1797.9354074989774</v>
      </c>
      <c r="D37" s="78">
        <v>2202.5708743594851</v>
      </c>
      <c r="E37" s="76">
        <v>2814.5157015041573</v>
      </c>
      <c r="F37" s="22" t="s">
        <v>240</v>
      </c>
      <c r="G37" s="23">
        <v>56.541535906414822</v>
      </c>
      <c r="H37" s="24">
        <v>27.783207081707545</v>
      </c>
    </row>
    <row r="38" spans="1:8" ht="13.8" thickBot="1" x14ac:dyDescent="0.3">
      <c r="A38" s="40"/>
      <c r="B38" s="41" t="s">
        <v>241</v>
      </c>
      <c r="C38" s="79">
        <v>415.53689514468016</v>
      </c>
      <c r="D38" s="79">
        <v>447.71940113204323</v>
      </c>
      <c r="E38" s="79">
        <v>596.04965710155716</v>
      </c>
      <c r="F38" s="43"/>
      <c r="G38" s="44">
        <v>43.440850635904837</v>
      </c>
      <c r="H38" s="45">
        <v>33.130182787358763</v>
      </c>
    </row>
    <row r="39" spans="1:8" x14ac:dyDescent="0.25">
      <c r="A39" s="46"/>
      <c r="B39" s="47"/>
      <c r="C39" s="48"/>
      <c r="D39" s="48"/>
      <c r="E39" s="48"/>
      <c r="F39" s="48"/>
      <c r="G39" s="49"/>
      <c r="H39" s="49"/>
    </row>
    <row r="40" spans="1:8" x14ac:dyDescent="0.25">
      <c r="A40" s="46"/>
      <c r="B40" s="47"/>
      <c r="C40" s="48"/>
      <c r="D40" s="48"/>
      <c r="E40" s="48"/>
      <c r="F40" s="48"/>
      <c r="G40" s="49"/>
      <c r="H40" s="49"/>
    </row>
    <row r="41" spans="1:8" x14ac:dyDescent="0.25">
      <c r="A41" s="46"/>
      <c r="B41" s="47"/>
      <c r="C41" s="48"/>
      <c r="D41" s="48"/>
      <c r="E41" s="48"/>
      <c r="F41" s="48"/>
      <c r="G41" s="49"/>
      <c r="H41" s="49"/>
    </row>
    <row r="42" spans="1:8" x14ac:dyDescent="0.25">
      <c r="A42" s="46"/>
      <c r="B42" s="47"/>
      <c r="C42" s="48"/>
      <c r="D42" s="48"/>
      <c r="E42" s="48"/>
      <c r="F42" s="48"/>
      <c r="G42" s="49"/>
      <c r="H42" s="49"/>
    </row>
    <row r="43" spans="1:8" x14ac:dyDescent="0.25">
      <c r="A43" s="46"/>
      <c r="B43" s="47"/>
      <c r="C43" s="48"/>
      <c r="D43" s="48"/>
      <c r="E43" s="48"/>
      <c r="F43" s="48"/>
      <c r="G43" s="49"/>
      <c r="H43" s="49"/>
    </row>
    <row r="44" spans="1:8" x14ac:dyDescent="0.25">
      <c r="A44" s="46"/>
      <c r="B44" s="47"/>
      <c r="C44" s="48"/>
      <c r="D44" s="48"/>
      <c r="E44" s="48"/>
      <c r="F44" s="48"/>
      <c r="G44" s="49"/>
      <c r="H44" s="49"/>
    </row>
    <row r="45" spans="1:8" x14ac:dyDescent="0.25">
      <c r="A45" s="46"/>
      <c r="B45" s="47"/>
      <c r="C45" s="48"/>
      <c r="D45" s="48"/>
      <c r="E45" s="48"/>
      <c r="F45" s="48"/>
      <c r="G45" s="49"/>
      <c r="H45" s="49"/>
    </row>
    <row r="46" spans="1:8" x14ac:dyDescent="0.25">
      <c r="A46" s="46"/>
      <c r="B46" s="47"/>
      <c r="C46" s="48"/>
      <c r="D46" s="48"/>
      <c r="E46" s="48"/>
      <c r="F46" s="48"/>
      <c r="G46" s="49"/>
      <c r="H46" s="49"/>
    </row>
    <row r="47" spans="1:8" x14ac:dyDescent="0.25">
      <c r="A47" s="46"/>
      <c r="B47" s="47"/>
      <c r="C47" s="48"/>
      <c r="D47" s="48"/>
      <c r="E47" s="48"/>
      <c r="F47" s="48"/>
      <c r="G47" s="49"/>
      <c r="H47" s="49"/>
    </row>
    <row r="48" spans="1:8" x14ac:dyDescent="0.25">
      <c r="A48" s="46"/>
      <c r="B48" s="47"/>
      <c r="C48" s="48"/>
      <c r="D48" s="48"/>
      <c r="E48" s="48"/>
      <c r="F48" s="48"/>
      <c r="G48" s="49"/>
      <c r="H48" s="49"/>
    </row>
    <row r="49" spans="1:8" x14ac:dyDescent="0.25">
      <c r="A49" s="46"/>
      <c r="B49" s="47"/>
      <c r="C49" s="48"/>
      <c r="D49" s="48"/>
      <c r="E49" s="90"/>
      <c r="F49" s="48"/>
      <c r="G49" s="49"/>
      <c r="H49" s="49"/>
    </row>
    <row r="50" spans="1:8" x14ac:dyDescent="0.25">
      <c r="A50" s="46"/>
      <c r="B50" s="47"/>
      <c r="C50" s="48"/>
      <c r="D50" s="48"/>
      <c r="E50" s="48"/>
      <c r="F50" s="48"/>
      <c r="G50" s="49"/>
      <c r="H50" s="49"/>
    </row>
    <row r="51" spans="1:8" x14ac:dyDescent="0.25">
      <c r="A51" s="46"/>
      <c r="B51" s="47"/>
      <c r="C51" s="48"/>
      <c r="D51" s="48"/>
      <c r="E51" s="48"/>
      <c r="F51" s="48"/>
      <c r="G51" s="49"/>
      <c r="H51" s="49"/>
    </row>
    <row r="52" spans="1:8" x14ac:dyDescent="0.25">
      <c r="A52" s="46"/>
      <c r="B52" s="47"/>
      <c r="C52" s="48"/>
      <c r="D52" s="48"/>
      <c r="E52" s="48"/>
      <c r="F52" s="48"/>
      <c r="G52" s="49"/>
      <c r="H52" s="49"/>
    </row>
    <row r="53" spans="1:8" x14ac:dyDescent="0.25">
      <c r="A53" s="46"/>
      <c r="B53" s="47"/>
      <c r="C53" s="48"/>
      <c r="D53" s="48"/>
      <c r="E53" s="48"/>
      <c r="F53" s="48"/>
      <c r="G53" s="49"/>
      <c r="H53" s="49"/>
    </row>
    <row r="54" spans="1:8" x14ac:dyDescent="0.25">
      <c r="A54" s="46"/>
      <c r="B54" s="47"/>
      <c r="C54" s="48"/>
      <c r="D54" s="48"/>
      <c r="E54" s="48"/>
      <c r="F54" s="48"/>
      <c r="G54" s="49"/>
      <c r="H54" s="49"/>
    </row>
    <row r="55" spans="1:8" x14ac:dyDescent="0.25">
      <c r="A55" s="46"/>
      <c r="B55" s="47"/>
      <c r="C55" s="48"/>
      <c r="D55" s="48"/>
      <c r="E55" s="48"/>
      <c r="F55" s="48"/>
      <c r="G55" s="49"/>
      <c r="H55" s="49"/>
    </row>
    <row r="56" spans="1:8" x14ac:dyDescent="0.25">
      <c r="A56" s="46"/>
      <c r="B56" s="47"/>
      <c r="C56" s="48"/>
      <c r="D56" s="48"/>
      <c r="E56" s="48"/>
      <c r="F56" s="48"/>
      <c r="G56" s="49"/>
      <c r="H56" s="49"/>
    </row>
    <row r="57" spans="1:8" x14ac:dyDescent="0.25">
      <c r="A57" s="46"/>
      <c r="B57" s="47"/>
      <c r="C57" s="48"/>
      <c r="D57" s="48"/>
      <c r="E57" s="48"/>
      <c r="F57" s="48"/>
      <c r="G57" s="49"/>
      <c r="H57" s="49"/>
    </row>
    <row r="58" spans="1:8" x14ac:dyDescent="0.25">
      <c r="A58" s="46"/>
      <c r="B58" s="47"/>
      <c r="C58" s="48"/>
      <c r="D58" s="48"/>
      <c r="E58" s="48"/>
      <c r="F58" s="48"/>
      <c r="G58" s="49"/>
      <c r="H58" s="49"/>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10</v>
      </c>
    </row>
    <row r="62" spans="1:8" ht="12.75" customHeight="1" x14ac:dyDescent="0.25">
      <c r="A62" s="52" t="str">
        <f>+Innhold!$B$124</f>
        <v>Skadestatistikk for landbasert forsikring 1. kvartal 2026</v>
      </c>
      <c r="H62" s="188"/>
    </row>
    <row r="67" ht="12.75" customHeight="1" x14ac:dyDescent="0.25"/>
    <row r="68" ht="12.75" customHeight="1" x14ac:dyDescent="0.25"/>
  </sheetData>
  <mergeCells count="4">
    <mergeCell ref="G5:H5"/>
    <mergeCell ref="A7:A8"/>
    <mergeCell ref="C5:F5"/>
    <mergeCell ref="H61:H62"/>
  </mergeCells>
  <phoneticPr fontId="0" type="noConversion"/>
  <hyperlinks>
    <hyperlink ref="A2" location="Innhold!A24" display="Tilbake til innholdsfortegnelsen" xr:uid="{00000000-0004-0000-05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145</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26</v>
      </c>
      <c r="B7" s="19" t="s">
        <v>3</v>
      </c>
      <c r="C7" s="20">
        <v>1143605.2632286996</v>
      </c>
      <c r="D7" s="20">
        <v>1070752.3500000001</v>
      </c>
      <c r="E7" s="21">
        <v>1070344.5912341827</v>
      </c>
      <c r="F7" s="22" t="s">
        <v>240</v>
      </c>
      <c r="G7" s="23">
        <v>-6.4061153223169498</v>
      </c>
      <c r="H7" s="24">
        <v>-3.8081519579890255E-2</v>
      </c>
    </row>
    <row r="8" spans="1:8" x14ac:dyDescent="0.25">
      <c r="A8" s="193"/>
      <c r="B8" s="25" t="s">
        <v>241</v>
      </c>
      <c r="C8" s="26">
        <v>322603.36023916292</v>
      </c>
      <c r="D8" s="26">
        <v>299443.90000000002</v>
      </c>
      <c r="E8" s="26">
        <v>300193.90000000002</v>
      </c>
      <c r="F8" s="27"/>
      <c r="G8" s="28">
        <v>-6.9464435282228862</v>
      </c>
      <c r="H8" s="29">
        <v>0.25046427728199205</v>
      </c>
    </row>
    <row r="9" spans="1:8" x14ac:dyDescent="0.25">
      <c r="A9" s="30" t="s">
        <v>28</v>
      </c>
      <c r="B9" s="31" t="s">
        <v>3</v>
      </c>
      <c r="C9" s="20">
        <v>1046789.2705829596</v>
      </c>
      <c r="D9" s="20">
        <v>987698.35</v>
      </c>
      <c r="E9" s="21">
        <v>998170.35897239123</v>
      </c>
      <c r="F9" s="22" t="s">
        <v>240</v>
      </c>
      <c r="G9" s="32">
        <v>-4.6445748897953791</v>
      </c>
      <c r="H9" s="33">
        <v>1.0602436434556495</v>
      </c>
    </row>
    <row r="10" spans="1:8" x14ac:dyDescent="0.25">
      <c r="A10" s="34"/>
      <c r="B10" s="25" t="s">
        <v>241</v>
      </c>
      <c r="C10" s="26">
        <v>297481.40819133038</v>
      </c>
      <c r="D10" s="26">
        <v>276779.90000000002</v>
      </c>
      <c r="E10" s="26">
        <v>281018.90000000002</v>
      </c>
      <c r="F10" s="27"/>
      <c r="G10" s="35">
        <v>-5.5339620352819452</v>
      </c>
      <c r="H10" s="29">
        <v>1.5315418496791153</v>
      </c>
    </row>
    <row r="11" spans="1:8" x14ac:dyDescent="0.25">
      <c r="A11" s="30" t="s">
        <v>29</v>
      </c>
      <c r="B11" s="31" t="s">
        <v>3</v>
      </c>
      <c r="C11" s="20">
        <v>44049.496322869956</v>
      </c>
      <c r="D11" s="20">
        <v>33681</v>
      </c>
      <c r="E11" s="21">
        <v>28504.623201327315</v>
      </c>
      <c r="F11" s="22" t="s">
        <v>240</v>
      </c>
      <c r="G11" s="37">
        <v>-35.28955928940313</v>
      </c>
      <c r="H11" s="33">
        <v>-15.368833462998978</v>
      </c>
    </row>
    <row r="12" spans="1:8" x14ac:dyDescent="0.25">
      <c r="A12" s="34"/>
      <c r="B12" s="25" t="s">
        <v>241</v>
      </c>
      <c r="C12" s="26">
        <v>13795.976023916293</v>
      </c>
      <c r="D12" s="26">
        <v>12342</v>
      </c>
      <c r="E12" s="26">
        <v>9885</v>
      </c>
      <c r="F12" s="27"/>
      <c r="G12" s="28">
        <v>-28.348672229759913</v>
      </c>
      <c r="H12" s="29">
        <v>-19.907632474477396</v>
      </c>
    </row>
    <row r="13" spans="1:8" x14ac:dyDescent="0.25">
      <c r="A13" s="30" t="s">
        <v>27</v>
      </c>
      <c r="B13" s="31" t="s">
        <v>3</v>
      </c>
      <c r="C13" s="20">
        <v>13756.648896860986</v>
      </c>
      <c r="D13" s="20">
        <v>13187</v>
      </c>
      <c r="E13" s="21">
        <v>13803.489083396089</v>
      </c>
      <c r="F13" s="22" t="s">
        <v>240</v>
      </c>
      <c r="G13" s="23">
        <v>0.34049125543786829</v>
      </c>
      <c r="H13" s="24">
        <v>4.6749759869271941</v>
      </c>
    </row>
    <row r="14" spans="1:8" x14ac:dyDescent="0.25">
      <c r="A14" s="34"/>
      <c r="B14" s="25" t="s">
        <v>241</v>
      </c>
      <c r="C14" s="26">
        <v>1625.692807174888</v>
      </c>
      <c r="D14" s="26">
        <v>1823</v>
      </c>
      <c r="E14" s="26">
        <v>1806</v>
      </c>
      <c r="F14" s="27"/>
      <c r="G14" s="23">
        <v>11.091098639874517</v>
      </c>
      <c r="H14" s="24">
        <v>-0.93252879868347804</v>
      </c>
    </row>
    <row r="15" spans="1:8" x14ac:dyDescent="0.25">
      <c r="A15" s="30" t="s">
        <v>30</v>
      </c>
      <c r="B15" s="31" t="s">
        <v>3</v>
      </c>
      <c r="C15" s="20">
        <v>18661.198529147983</v>
      </c>
      <c r="D15" s="20">
        <v>15143</v>
      </c>
      <c r="E15" s="21">
        <v>12741.808497347485</v>
      </c>
      <c r="F15" s="22" t="s">
        <v>240</v>
      </c>
      <c r="G15" s="37">
        <v>-31.720310046295623</v>
      </c>
      <c r="H15" s="33">
        <v>-15.856775425295609</v>
      </c>
    </row>
    <row r="16" spans="1:8" x14ac:dyDescent="0.25">
      <c r="A16" s="34"/>
      <c r="B16" s="25" t="s">
        <v>241</v>
      </c>
      <c r="C16" s="26">
        <v>5810.5904095665173</v>
      </c>
      <c r="D16" s="26">
        <v>4862</v>
      </c>
      <c r="E16" s="26">
        <v>4049</v>
      </c>
      <c r="F16" s="27"/>
      <c r="G16" s="28">
        <v>-30.316891837122895</v>
      </c>
      <c r="H16" s="29">
        <v>-16.721513780337304</v>
      </c>
    </row>
    <row r="17" spans="1:8" x14ac:dyDescent="0.25">
      <c r="A17" s="30" t="s">
        <v>31</v>
      </c>
      <c r="B17" s="31" t="s">
        <v>3</v>
      </c>
      <c r="C17" s="20">
        <v>20348.648896860985</v>
      </c>
      <c r="D17" s="20">
        <v>21043</v>
      </c>
      <c r="E17" s="21">
        <v>19239.49595002599</v>
      </c>
      <c r="F17" s="22" t="s">
        <v>240</v>
      </c>
      <c r="G17" s="37">
        <v>-5.4507449239349484</v>
      </c>
      <c r="H17" s="33">
        <v>-8.5705652709880269</v>
      </c>
    </row>
    <row r="18" spans="1:8" ht="13.8" thickBot="1" x14ac:dyDescent="0.3">
      <c r="A18" s="54"/>
      <c r="B18" s="41" t="s">
        <v>241</v>
      </c>
      <c r="C18" s="42">
        <v>3889.692807174888</v>
      </c>
      <c r="D18" s="42">
        <v>3637</v>
      </c>
      <c r="E18" s="42">
        <v>3435</v>
      </c>
      <c r="F18" s="43"/>
      <c r="G18" s="55">
        <v>-11.689684242831873</v>
      </c>
      <c r="H18" s="45">
        <v>-5.5540280450921102</v>
      </c>
    </row>
    <row r="19" spans="1:8" x14ac:dyDescent="0.25">
      <c r="A19" s="6"/>
      <c r="B19" s="6"/>
      <c r="C19" s="21"/>
      <c r="D19" s="21"/>
      <c r="E19" s="21"/>
      <c r="F19" s="56"/>
      <c r="G19" s="23"/>
      <c r="H19" s="23"/>
    </row>
    <row r="20" spans="1:8" x14ac:dyDescent="0.25">
      <c r="A20" s="6"/>
      <c r="B20" s="57"/>
      <c r="C20" s="21"/>
      <c r="D20" s="21"/>
      <c r="E20" s="21"/>
      <c r="F20" s="58"/>
      <c r="G20" s="23"/>
      <c r="H20" s="23"/>
    </row>
    <row r="21" spans="1:8" x14ac:dyDescent="0.25">
      <c r="A21" s="6"/>
      <c r="B21" s="6"/>
      <c r="C21" s="21"/>
      <c r="D21" s="21"/>
      <c r="E21" s="21"/>
      <c r="F21" s="56"/>
      <c r="G21" s="23"/>
      <c r="H21" s="23"/>
    </row>
    <row r="22" spans="1:8" x14ac:dyDescent="0.25">
      <c r="A22" s="6"/>
      <c r="B22" s="57"/>
      <c r="C22" s="21"/>
      <c r="D22" s="21"/>
      <c r="E22" s="21"/>
      <c r="F22" s="58"/>
      <c r="G22" s="23"/>
      <c r="H22" s="23"/>
    </row>
    <row r="23" spans="1:8" x14ac:dyDescent="0.25">
      <c r="A23" s="6"/>
      <c r="B23" s="6"/>
      <c r="C23" s="21"/>
      <c r="D23" s="21"/>
      <c r="E23" s="21"/>
      <c r="F23" s="56"/>
      <c r="G23" s="23"/>
      <c r="H23" s="23"/>
    </row>
    <row r="24" spans="1:8" x14ac:dyDescent="0.25">
      <c r="A24" s="6"/>
      <c r="B24" s="57"/>
      <c r="C24" s="21"/>
      <c r="D24" s="21"/>
      <c r="E24" s="21"/>
      <c r="F24" s="58"/>
      <c r="G24" s="23"/>
      <c r="H24" s="23"/>
    </row>
    <row r="25" spans="1:8" x14ac:dyDescent="0.25">
      <c r="A25" s="6"/>
      <c r="B25" s="6"/>
      <c r="C25" s="21"/>
      <c r="D25" s="21"/>
      <c r="E25" s="21"/>
      <c r="F25" s="56"/>
      <c r="G25" s="23"/>
      <c r="H25" s="23"/>
    </row>
    <row r="26" spans="1:8" x14ac:dyDescent="0.25">
      <c r="A26" s="6"/>
      <c r="B26" s="57"/>
      <c r="C26" s="21"/>
      <c r="D26" s="21"/>
      <c r="E26" s="21"/>
      <c r="F26" s="58"/>
      <c r="G26" s="23"/>
      <c r="H26" s="23"/>
    </row>
    <row r="27" spans="1:8" x14ac:dyDescent="0.25">
      <c r="A27" s="6"/>
      <c r="B27" s="6"/>
      <c r="C27" s="21"/>
      <c r="D27" s="21"/>
      <c r="E27" s="21"/>
      <c r="F27" s="56"/>
      <c r="G27" s="23"/>
      <c r="H27" s="23"/>
    </row>
    <row r="28" spans="1:8" x14ac:dyDescent="0.25">
      <c r="A28" s="6"/>
      <c r="B28" s="57"/>
      <c r="C28" s="21"/>
      <c r="D28" s="21"/>
      <c r="E28" s="21"/>
      <c r="F28" s="58"/>
      <c r="G28" s="23"/>
      <c r="H28" s="23"/>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32</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26</v>
      </c>
      <c r="B35" s="19" t="s">
        <v>3</v>
      </c>
      <c r="C35" s="73">
        <v>24383.949006489664</v>
      </c>
      <c r="D35" s="73">
        <v>24119.338177734498</v>
      </c>
      <c r="E35" s="76">
        <v>25823.671101417964</v>
      </c>
      <c r="F35" s="22" t="s">
        <v>240</v>
      </c>
      <c r="G35" s="23">
        <v>5.9043844561236938</v>
      </c>
      <c r="H35" s="24">
        <v>7.066250786502934</v>
      </c>
    </row>
    <row r="36" spans="1:8" ht="12.75" customHeight="1" x14ac:dyDescent="0.25">
      <c r="A36" s="193"/>
      <c r="B36" s="25" t="s">
        <v>241</v>
      </c>
      <c r="C36" s="75">
        <v>6897.233880824725</v>
      </c>
      <c r="D36" s="75">
        <v>6838.4285640117423</v>
      </c>
      <c r="E36" s="75">
        <v>7315.9147779994391</v>
      </c>
      <c r="F36" s="27"/>
      <c r="G36" s="28">
        <v>6.0702725818636623</v>
      </c>
      <c r="H36" s="29">
        <v>6.9823967526770616</v>
      </c>
    </row>
    <row r="37" spans="1:8" x14ac:dyDescent="0.25">
      <c r="A37" s="30" t="s">
        <v>28</v>
      </c>
      <c r="B37" s="31" t="s">
        <v>3</v>
      </c>
      <c r="C37" s="73">
        <v>20142.565387817274</v>
      </c>
      <c r="D37" s="73">
        <v>19955.35772736475</v>
      </c>
      <c r="E37" s="76">
        <v>21907.010870874004</v>
      </c>
      <c r="F37" s="22" t="s">
        <v>240</v>
      </c>
      <c r="G37" s="32">
        <v>8.759785305817644</v>
      </c>
      <c r="H37" s="33">
        <v>9.7800960031548527</v>
      </c>
    </row>
    <row r="38" spans="1:8" x14ac:dyDescent="0.25">
      <c r="A38" s="34"/>
      <c r="B38" s="25" t="s">
        <v>241</v>
      </c>
      <c r="C38" s="75">
        <v>5803.41688637281</v>
      </c>
      <c r="D38" s="75">
        <v>5630.4266913945103</v>
      </c>
      <c r="E38" s="75">
        <v>6224.0475592011635</v>
      </c>
      <c r="F38" s="27"/>
      <c r="G38" s="35">
        <v>7.2479830600495063</v>
      </c>
      <c r="H38" s="29">
        <v>10.543088478781499</v>
      </c>
    </row>
    <row r="39" spans="1:8" x14ac:dyDescent="0.25">
      <c r="A39" s="30" t="s">
        <v>29</v>
      </c>
      <c r="B39" s="31" t="s">
        <v>3</v>
      </c>
      <c r="C39" s="73">
        <v>1626.4675514561447</v>
      </c>
      <c r="D39" s="73">
        <v>1507.8877893126125</v>
      </c>
      <c r="E39" s="76">
        <v>1546.1082600229029</v>
      </c>
      <c r="F39" s="22" t="s">
        <v>240</v>
      </c>
      <c r="G39" s="37">
        <v>-4.940725153803271</v>
      </c>
      <c r="H39" s="33">
        <v>2.5347025807347165</v>
      </c>
    </row>
    <row r="40" spans="1:8" x14ac:dyDescent="0.25">
      <c r="A40" s="34"/>
      <c r="B40" s="25" t="s">
        <v>241</v>
      </c>
      <c r="C40" s="75">
        <v>488.86127635829683</v>
      </c>
      <c r="D40" s="75">
        <v>538.54277846328273</v>
      </c>
      <c r="E40" s="75">
        <v>519.58763127242003</v>
      </c>
      <c r="F40" s="27"/>
      <c r="G40" s="28">
        <v>6.2852912267903065</v>
      </c>
      <c r="H40" s="29">
        <v>-3.519710587328035</v>
      </c>
    </row>
    <row r="41" spans="1:8" x14ac:dyDescent="0.25">
      <c r="A41" s="30" t="s">
        <v>27</v>
      </c>
      <c r="B41" s="31" t="s">
        <v>3</v>
      </c>
      <c r="C41" s="73">
        <v>522.77265610437325</v>
      </c>
      <c r="D41" s="73">
        <v>548.50645564819956</v>
      </c>
      <c r="E41" s="76">
        <v>488.40433996709135</v>
      </c>
      <c r="F41" s="22" t="s">
        <v>240</v>
      </c>
      <c r="G41" s="23">
        <v>-6.574237526765387</v>
      </c>
      <c r="H41" s="24">
        <v>-10.957412636116075</v>
      </c>
    </row>
    <row r="42" spans="1:8" x14ac:dyDescent="0.25">
      <c r="A42" s="34"/>
      <c r="B42" s="25" t="s">
        <v>241</v>
      </c>
      <c r="C42" s="75">
        <v>74.989798146963039</v>
      </c>
      <c r="D42" s="75">
        <v>86.622642290671678</v>
      </c>
      <c r="E42" s="75">
        <v>74.620517605928327</v>
      </c>
      <c r="F42" s="27"/>
      <c r="G42" s="23">
        <v>-0.49244103886105961</v>
      </c>
      <c r="H42" s="24">
        <v>-13.855643706259755</v>
      </c>
    </row>
    <row r="43" spans="1:8" x14ac:dyDescent="0.25">
      <c r="A43" s="30" t="s">
        <v>30</v>
      </c>
      <c r="B43" s="31" t="s">
        <v>3</v>
      </c>
      <c r="C43" s="73">
        <v>1285.7752097449563</v>
      </c>
      <c r="D43" s="73">
        <v>1213.5669182954477</v>
      </c>
      <c r="E43" s="76">
        <v>969.44641338119209</v>
      </c>
      <c r="F43" s="22" t="s">
        <v>240</v>
      </c>
      <c r="G43" s="37">
        <v>-24.602185044966802</v>
      </c>
      <c r="H43" s="33">
        <v>-20.115949210047887</v>
      </c>
    </row>
    <row r="44" spans="1:8" x14ac:dyDescent="0.25">
      <c r="A44" s="34"/>
      <c r="B44" s="25" t="s">
        <v>241</v>
      </c>
      <c r="C44" s="75">
        <v>347.99750374575495</v>
      </c>
      <c r="D44" s="75">
        <v>381.91591160621454</v>
      </c>
      <c r="E44" s="75">
        <v>289.38885236976057</v>
      </c>
      <c r="F44" s="27"/>
      <c r="G44" s="28">
        <v>-16.841687295209312</v>
      </c>
      <c r="H44" s="29">
        <v>-24.227076281612653</v>
      </c>
    </row>
    <row r="45" spans="1:8" x14ac:dyDescent="0.25">
      <c r="A45" s="30" t="s">
        <v>31</v>
      </c>
      <c r="B45" s="31" t="s">
        <v>3</v>
      </c>
      <c r="C45" s="73">
        <v>806.36820136690892</v>
      </c>
      <c r="D45" s="73">
        <v>894.01928711349035</v>
      </c>
      <c r="E45" s="76">
        <v>925.45536821006351</v>
      </c>
      <c r="F45" s="22" t="s">
        <v>240</v>
      </c>
      <c r="G45" s="37">
        <v>14.768336182067301</v>
      </c>
      <c r="H45" s="33">
        <v>3.5162643076829454</v>
      </c>
    </row>
    <row r="46" spans="1:8" ht="13.8" thickBot="1" x14ac:dyDescent="0.3">
      <c r="A46" s="54"/>
      <c r="B46" s="41" t="s">
        <v>241</v>
      </c>
      <c r="C46" s="79">
        <v>181.96841620090038</v>
      </c>
      <c r="D46" s="79">
        <v>200.92054025706227</v>
      </c>
      <c r="E46" s="79">
        <v>208.2702175501683</v>
      </c>
      <c r="F46" s="43"/>
      <c r="G46" s="55">
        <v>14.454047520109043</v>
      </c>
      <c r="H46" s="45">
        <v>3.6580019562473183</v>
      </c>
    </row>
    <row r="47" spans="1:8" x14ac:dyDescent="0.25">
      <c r="A47" s="6"/>
      <c r="B47" s="6"/>
      <c r="C47" s="21"/>
      <c r="D47" s="21"/>
      <c r="E47" s="21"/>
      <c r="F47" s="56"/>
      <c r="G47" s="23"/>
      <c r="H47" s="23"/>
    </row>
    <row r="48" spans="1:8" x14ac:dyDescent="0.25">
      <c r="A48" s="6"/>
      <c r="B48" s="57"/>
      <c r="C48" s="21"/>
      <c r="D48" s="21"/>
      <c r="E48" s="21"/>
      <c r="F48" s="58"/>
      <c r="G48" s="23"/>
      <c r="H48" s="23"/>
    </row>
    <row r="49" spans="1:8" x14ac:dyDescent="0.25">
      <c r="A49" s="6"/>
      <c r="B49" s="6"/>
      <c r="C49" s="21"/>
      <c r="D49" s="21"/>
      <c r="E49" s="89"/>
      <c r="F49" s="56"/>
      <c r="G49" s="23"/>
      <c r="H49" s="23"/>
    </row>
    <row r="50" spans="1:8" x14ac:dyDescent="0.25">
      <c r="A50" s="6"/>
      <c r="B50" s="57"/>
      <c r="C50" s="21"/>
      <c r="D50" s="21"/>
      <c r="E50" s="21"/>
      <c r="F50" s="58"/>
      <c r="G50" s="23"/>
      <c r="H50" s="23"/>
    </row>
    <row r="51" spans="1:8" x14ac:dyDescent="0.25">
      <c r="A51" s="6"/>
      <c r="B51" s="6"/>
      <c r="C51" s="21"/>
      <c r="D51" s="21"/>
      <c r="E51" s="21"/>
      <c r="F51" s="56"/>
      <c r="G51" s="23"/>
      <c r="H51" s="23"/>
    </row>
    <row r="52" spans="1:8" x14ac:dyDescent="0.25">
      <c r="A52" s="6"/>
      <c r="B52" s="57"/>
      <c r="C52" s="21"/>
      <c r="D52" s="21"/>
      <c r="E52" s="21"/>
      <c r="F52" s="58"/>
      <c r="G52" s="23"/>
      <c r="H52" s="23"/>
    </row>
    <row r="53" spans="1:8" x14ac:dyDescent="0.25">
      <c r="A53" s="6"/>
      <c r="B53" s="6"/>
      <c r="C53" s="21"/>
      <c r="D53" s="21"/>
      <c r="E53" s="21"/>
      <c r="F53" s="56"/>
      <c r="G53" s="23"/>
      <c r="H53" s="23"/>
    </row>
    <row r="54" spans="1:8" x14ac:dyDescent="0.25">
      <c r="A54" s="6"/>
      <c r="B54" s="57"/>
      <c r="C54" s="21"/>
      <c r="D54" s="21"/>
      <c r="E54" s="21"/>
      <c r="F54" s="58"/>
      <c r="G54" s="23"/>
      <c r="H54" s="23"/>
    </row>
    <row r="55" spans="1:8" x14ac:dyDescent="0.25">
      <c r="A55" s="6"/>
      <c r="B55" s="6"/>
      <c r="C55" s="21"/>
      <c r="D55" s="21"/>
      <c r="E55" s="21"/>
      <c r="F55" s="56"/>
      <c r="G55" s="23"/>
      <c r="H55" s="23"/>
    </row>
    <row r="56" spans="1:8" x14ac:dyDescent="0.25">
      <c r="A56" s="6"/>
      <c r="B56" s="57"/>
      <c r="C56" s="21"/>
      <c r="D56" s="21"/>
      <c r="E56" s="21"/>
      <c r="F56" s="58"/>
      <c r="G56" s="23"/>
      <c r="H56" s="23"/>
    </row>
    <row r="57" spans="1:8" x14ac:dyDescent="0.25">
      <c r="A57" s="6"/>
      <c r="B57" s="6"/>
      <c r="C57" s="59"/>
      <c r="D57" s="59"/>
      <c r="E57" s="21"/>
      <c r="F57" s="56"/>
      <c r="G57" s="23"/>
      <c r="H57" s="23"/>
    </row>
    <row r="58" spans="1:8" x14ac:dyDescent="0.25">
      <c r="A58" s="6"/>
      <c r="B58" s="6"/>
      <c r="C58" s="59"/>
      <c r="D58" s="59"/>
      <c r="E58" s="21"/>
      <c r="F58" s="56"/>
      <c r="G58" s="23"/>
      <c r="H58" s="23"/>
    </row>
    <row r="59" spans="1:8" x14ac:dyDescent="0.25">
      <c r="A59" s="60"/>
      <c r="B59" s="57"/>
      <c r="C59" s="21"/>
      <c r="D59" s="21"/>
      <c r="E59" s="21"/>
      <c r="F59" s="58"/>
      <c r="G59" s="23"/>
      <c r="H59" s="23"/>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11</v>
      </c>
    </row>
    <row r="62" spans="1:8" ht="12.75" customHeight="1" x14ac:dyDescent="0.25">
      <c r="A62" s="52" t="str">
        <f>+Innhold!$B$124</f>
        <v>Skadestatistikk for landbasert forsikring 1. kvartal 2026</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26" display="Tilbake til innholdsfortegnelsen" xr:uid="{00000000-0004-0000-06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146</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ht="12.75" customHeight="1" x14ac:dyDescent="0.25">
      <c r="A7" s="192" t="s">
        <v>26</v>
      </c>
      <c r="B7" s="19" t="s">
        <v>3</v>
      </c>
      <c r="C7" s="20">
        <v>1143605.2632286996</v>
      </c>
      <c r="D7" s="20">
        <v>1070752.3500000001</v>
      </c>
      <c r="E7" s="21">
        <v>1070344.5912341827</v>
      </c>
      <c r="F7" s="22" t="s">
        <v>240</v>
      </c>
      <c r="G7" s="23">
        <v>-6.4061153223169498</v>
      </c>
      <c r="H7" s="24">
        <v>-3.8081519579890255E-2</v>
      </c>
    </row>
    <row r="8" spans="1:8" ht="12.75" customHeight="1" x14ac:dyDescent="0.25">
      <c r="A8" s="193"/>
      <c r="B8" s="25" t="s">
        <v>241</v>
      </c>
      <c r="C8" s="26">
        <v>322603.36023916292</v>
      </c>
      <c r="D8" s="26">
        <v>299443.90000000002</v>
      </c>
      <c r="E8" s="26">
        <v>300193.90000000002</v>
      </c>
      <c r="F8" s="27"/>
      <c r="G8" s="28">
        <v>-6.9464435282228862</v>
      </c>
      <c r="H8" s="29">
        <v>0.25046427728199205</v>
      </c>
    </row>
    <row r="9" spans="1:8" x14ac:dyDescent="0.25">
      <c r="A9" s="30" t="s">
        <v>34</v>
      </c>
      <c r="B9" s="31" t="s">
        <v>3</v>
      </c>
      <c r="C9" s="20">
        <v>11653.158799999999</v>
      </c>
      <c r="D9" s="20">
        <v>10689</v>
      </c>
      <c r="E9" s="21">
        <v>10795.180813075451</v>
      </c>
      <c r="F9" s="22" t="s">
        <v>240</v>
      </c>
      <c r="G9" s="32">
        <v>-7.3626216002870279</v>
      </c>
      <c r="H9" s="33">
        <v>0.99336526406072778</v>
      </c>
    </row>
    <row r="10" spans="1:8" x14ac:dyDescent="0.25">
      <c r="A10" s="34"/>
      <c r="B10" s="25" t="s">
        <v>241</v>
      </c>
      <c r="C10" s="26">
        <v>2963.3062</v>
      </c>
      <c r="D10" s="26">
        <v>2712</v>
      </c>
      <c r="E10" s="26">
        <v>2741</v>
      </c>
      <c r="F10" s="27"/>
      <c r="G10" s="35">
        <v>-7.5019652035959012</v>
      </c>
      <c r="H10" s="29">
        <v>1.0693215339233006</v>
      </c>
    </row>
    <row r="11" spans="1:8" x14ac:dyDescent="0.25">
      <c r="A11" s="30" t="s">
        <v>35</v>
      </c>
      <c r="B11" s="31" t="s">
        <v>3</v>
      </c>
      <c r="C11" s="20">
        <v>3446.8527039999999</v>
      </c>
      <c r="D11" s="20">
        <v>3030</v>
      </c>
      <c r="E11" s="21">
        <v>3349.8196143108985</v>
      </c>
      <c r="F11" s="22" t="s">
        <v>240</v>
      </c>
      <c r="G11" s="37">
        <v>-2.815121446196315</v>
      </c>
      <c r="H11" s="33">
        <v>10.555102782537901</v>
      </c>
    </row>
    <row r="12" spans="1:8" x14ac:dyDescent="0.25">
      <c r="A12" s="34"/>
      <c r="B12" s="25" t="s">
        <v>241</v>
      </c>
      <c r="C12" s="26">
        <v>872.30449599999997</v>
      </c>
      <c r="D12" s="26">
        <v>739</v>
      </c>
      <c r="E12" s="26">
        <v>827</v>
      </c>
      <c r="F12" s="27"/>
      <c r="G12" s="28">
        <v>-5.193656138165764</v>
      </c>
      <c r="H12" s="29">
        <v>11.907983761840327</v>
      </c>
    </row>
    <row r="13" spans="1:8" x14ac:dyDescent="0.25">
      <c r="A13" s="30" t="s">
        <v>36</v>
      </c>
      <c r="B13" s="31" t="s">
        <v>3</v>
      </c>
      <c r="C13" s="20">
        <v>177757.02032000001</v>
      </c>
      <c r="D13" s="20">
        <v>165381</v>
      </c>
      <c r="E13" s="21">
        <v>165148.84961452486</v>
      </c>
      <c r="F13" s="22" t="s">
        <v>240</v>
      </c>
      <c r="G13" s="23">
        <v>-7.0929241966240113</v>
      </c>
      <c r="H13" s="24">
        <v>-0.14037306914043768</v>
      </c>
    </row>
    <row r="14" spans="1:8" x14ac:dyDescent="0.25">
      <c r="A14" s="34"/>
      <c r="B14" s="25" t="s">
        <v>241</v>
      </c>
      <c r="C14" s="26">
        <v>49706.339013333338</v>
      </c>
      <c r="D14" s="26">
        <v>44891</v>
      </c>
      <c r="E14" s="26">
        <v>45270</v>
      </c>
      <c r="F14" s="27"/>
      <c r="G14" s="23">
        <v>-8.9250970829763361</v>
      </c>
      <c r="H14" s="24">
        <v>0.84426722505624241</v>
      </c>
    </row>
    <row r="15" spans="1:8" x14ac:dyDescent="0.25">
      <c r="A15" s="30" t="s">
        <v>18</v>
      </c>
      <c r="B15" s="31" t="s">
        <v>3</v>
      </c>
      <c r="C15" s="20">
        <v>3691.3233600000003</v>
      </c>
      <c r="D15" s="20">
        <v>3447</v>
      </c>
      <c r="E15" s="21">
        <v>3223.6788521151552</v>
      </c>
      <c r="F15" s="22" t="s">
        <v>240</v>
      </c>
      <c r="G15" s="37">
        <v>-12.668749450463892</v>
      </c>
      <c r="H15" s="33">
        <v>-6.4787104115127505</v>
      </c>
    </row>
    <row r="16" spans="1:8" x14ac:dyDescent="0.25">
      <c r="A16" s="34"/>
      <c r="B16" s="25" t="s">
        <v>241</v>
      </c>
      <c r="C16" s="26">
        <v>831.07464000000004</v>
      </c>
      <c r="D16" s="26">
        <v>934</v>
      </c>
      <c r="E16" s="26">
        <v>818</v>
      </c>
      <c r="F16" s="27"/>
      <c r="G16" s="28">
        <v>-1.5732209082929103</v>
      </c>
      <c r="H16" s="29">
        <v>-12.419700214132774</v>
      </c>
    </row>
    <row r="17" spans="1:8" x14ac:dyDescent="0.25">
      <c r="A17" s="30" t="s">
        <v>37</v>
      </c>
      <c r="B17" s="31" t="s">
        <v>3</v>
      </c>
      <c r="C17" s="20">
        <v>3036.7790559999999</v>
      </c>
      <c r="D17" s="20">
        <v>2965</v>
      </c>
      <c r="E17" s="21">
        <v>2736.6313813202978</v>
      </c>
      <c r="F17" s="22" t="s">
        <v>240</v>
      </c>
      <c r="G17" s="37">
        <v>-9.8837508144254684</v>
      </c>
      <c r="H17" s="33">
        <v>-7.7021456553019334</v>
      </c>
    </row>
    <row r="18" spans="1:8" x14ac:dyDescent="0.25">
      <c r="A18" s="34"/>
      <c r="B18" s="25" t="s">
        <v>241</v>
      </c>
      <c r="C18" s="26">
        <v>463.95674400000001</v>
      </c>
      <c r="D18" s="26">
        <v>461</v>
      </c>
      <c r="E18" s="26">
        <v>423</v>
      </c>
      <c r="F18" s="27"/>
      <c r="G18" s="28">
        <v>-8.8277074381744569</v>
      </c>
      <c r="H18" s="29">
        <v>-8.2429501084598655</v>
      </c>
    </row>
    <row r="19" spans="1:8" x14ac:dyDescent="0.25">
      <c r="A19" s="30" t="s">
        <v>38</v>
      </c>
      <c r="B19" s="31" t="s">
        <v>3</v>
      </c>
      <c r="C19" s="20">
        <v>6817.0878400000001</v>
      </c>
      <c r="D19" s="20">
        <v>5769</v>
      </c>
      <c r="E19" s="21">
        <v>4821.9281454036045</v>
      </c>
      <c r="F19" s="22" t="s">
        <v>240</v>
      </c>
      <c r="G19" s="23">
        <v>-29.26703808757722</v>
      </c>
      <c r="H19" s="24">
        <v>-16.416568809089881</v>
      </c>
    </row>
    <row r="20" spans="1:8" x14ac:dyDescent="0.25">
      <c r="A20" s="30"/>
      <c r="B20" s="25" t="s">
        <v>241</v>
      </c>
      <c r="C20" s="26">
        <v>1447.8408266666665</v>
      </c>
      <c r="D20" s="26">
        <v>1254</v>
      </c>
      <c r="E20" s="26">
        <v>1040</v>
      </c>
      <c r="F20" s="27"/>
      <c r="G20" s="23">
        <v>-28.168899450475493</v>
      </c>
      <c r="H20" s="24">
        <v>-17.065390749601278</v>
      </c>
    </row>
    <row r="21" spans="1:8" x14ac:dyDescent="0.25">
      <c r="A21" s="38" t="s">
        <v>39</v>
      </c>
      <c r="B21" s="31" t="s">
        <v>3</v>
      </c>
      <c r="C21" s="20">
        <v>318538.84464000002</v>
      </c>
      <c r="D21" s="20">
        <v>317139</v>
      </c>
      <c r="E21" s="21">
        <v>326002.56333025789</v>
      </c>
      <c r="F21" s="22" t="s">
        <v>240</v>
      </c>
      <c r="G21" s="37">
        <v>2.3431109944198596</v>
      </c>
      <c r="H21" s="33">
        <v>2.7948512577317501</v>
      </c>
    </row>
    <row r="22" spans="1:8" x14ac:dyDescent="0.25">
      <c r="A22" s="34"/>
      <c r="B22" s="25" t="s">
        <v>241</v>
      </c>
      <c r="C22" s="26">
        <v>73315.657360000012</v>
      </c>
      <c r="D22" s="26">
        <v>91257</v>
      </c>
      <c r="E22" s="26">
        <v>86586</v>
      </c>
      <c r="F22" s="27"/>
      <c r="G22" s="28">
        <v>18.100284602017496</v>
      </c>
      <c r="H22" s="29">
        <v>-5.1185114566553835</v>
      </c>
    </row>
    <row r="23" spans="1:8" x14ac:dyDescent="0.25">
      <c r="A23" s="38" t="s">
        <v>40</v>
      </c>
      <c r="B23" s="31" t="s">
        <v>3</v>
      </c>
      <c r="C23" s="20">
        <v>290610.63520000002</v>
      </c>
      <c r="D23" s="20">
        <v>250847</v>
      </c>
      <c r="E23" s="21">
        <v>273288.1741944385</v>
      </c>
      <c r="F23" s="22" t="s">
        <v>240</v>
      </c>
      <c r="G23" s="23">
        <v>-5.9607113117660333</v>
      </c>
      <c r="H23" s="24">
        <v>8.9461600873993063</v>
      </c>
    </row>
    <row r="24" spans="1:8" x14ac:dyDescent="0.25">
      <c r="A24" s="34"/>
      <c r="B24" s="25" t="s">
        <v>241</v>
      </c>
      <c r="C24" s="26">
        <v>92400.224799999996</v>
      </c>
      <c r="D24" s="26">
        <v>72948</v>
      </c>
      <c r="E24" s="26">
        <v>81802</v>
      </c>
      <c r="F24" s="27"/>
      <c r="G24" s="23">
        <v>-11.469912354585517</v>
      </c>
      <c r="H24" s="24">
        <v>12.137412951691616</v>
      </c>
    </row>
    <row r="25" spans="1:8" x14ac:dyDescent="0.25">
      <c r="A25" s="30" t="s">
        <v>41</v>
      </c>
      <c r="B25" s="31" t="s">
        <v>3</v>
      </c>
      <c r="C25" s="20">
        <v>436285.55579999997</v>
      </c>
      <c r="D25" s="20">
        <v>404857</v>
      </c>
      <c r="E25" s="21">
        <v>387382.02357778116</v>
      </c>
      <c r="F25" s="22" t="s">
        <v>240</v>
      </c>
      <c r="G25" s="37">
        <v>-11.209065157462362</v>
      </c>
      <c r="H25" s="33">
        <v>-4.3163330317170931</v>
      </c>
    </row>
    <row r="26" spans="1:8" x14ac:dyDescent="0.25">
      <c r="A26" s="34"/>
      <c r="B26" s="25" t="s">
        <v>241</v>
      </c>
      <c r="C26" s="26">
        <v>122445.5717</v>
      </c>
      <c r="D26" s="26">
        <v>109477</v>
      </c>
      <c r="E26" s="26">
        <v>106042</v>
      </c>
      <c r="F26" s="27"/>
      <c r="G26" s="28">
        <v>-13.396623064646121</v>
      </c>
      <c r="H26" s="29">
        <v>-3.137645350164874</v>
      </c>
    </row>
    <row r="27" spans="1:8" x14ac:dyDescent="0.25">
      <c r="A27" s="30" t="s">
        <v>24</v>
      </c>
      <c r="B27" s="31" t="s">
        <v>3</v>
      </c>
      <c r="C27" s="20">
        <v>260126.7568</v>
      </c>
      <c r="D27" s="20">
        <v>234678</v>
      </c>
      <c r="E27" s="21">
        <v>233982.26332234693</v>
      </c>
      <c r="F27" s="22" t="s">
        <v>240</v>
      </c>
      <c r="G27" s="23">
        <v>-10.050674447824846</v>
      </c>
      <c r="H27" s="24">
        <v>-0.29646437998152919</v>
      </c>
    </row>
    <row r="28" spans="1:8" ht="13.8" thickBot="1" x14ac:dyDescent="0.3">
      <c r="A28" s="54"/>
      <c r="B28" s="41" t="s">
        <v>241</v>
      </c>
      <c r="C28" s="42">
        <v>71859.816533333331</v>
      </c>
      <c r="D28" s="42">
        <v>64114</v>
      </c>
      <c r="E28" s="42">
        <v>64160</v>
      </c>
      <c r="F28" s="43"/>
      <c r="G28" s="55">
        <v>-10.715051756027862</v>
      </c>
      <c r="H28" s="45">
        <v>7.1747200299483893E-2</v>
      </c>
    </row>
    <row r="29" spans="1:8" x14ac:dyDescent="0.25">
      <c r="A29" s="6"/>
      <c r="B29" s="6"/>
      <c r="C29" s="59"/>
      <c r="D29" s="59"/>
      <c r="E29" s="21"/>
      <c r="F29" s="56"/>
      <c r="G29" s="23"/>
      <c r="H29" s="23"/>
    </row>
    <row r="30" spans="1:8" x14ac:dyDescent="0.25">
      <c r="A30" s="60"/>
      <c r="B30" s="57"/>
      <c r="C30" s="21"/>
      <c r="D30" s="21"/>
      <c r="E30" s="21"/>
      <c r="F30" s="58"/>
      <c r="G30" s="23"/>
      <c r="H30" s="23"/>
    </row>
    <row r="31" spans="1:8" x14ac:dyDescent="0.25">
      <c r="A31" s="46"/>
      <c r="B31" s="47"/>
      <c r="C31" s="48"/>
      <c r="D31" s="53"/>
      <c r="E31" s="48"/>
      <c r="F31" s="48"/>
      <c r="G31" s="49"/>
      <c r="H31" s="49"/>
    </row>
    <row r="32" spans="1:8" ht="16.2" thickBot="1" x14ac:dyDescent="0.35">
      <c r="A32" s="4" t="s">
        <v>33</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ht="12.75" customHeight="1" x14ac:dyDescent="0.25">
      <c r="A35" s="192" t="s">
        <v>26</v>
      </c>
      <c r="B35" s="19" t="s">
        <v>3</v>
      </c>
      <c r="C35" s="73">
        <v>24383.949006489664</v>
      </c>
      <c r="D35" s="73">
        <v>24119.338177734498</v>
      </c>
      <c r="E35" s="76">
        <v>25823.671101417967</v>
      </c>
      <c r="F35" s="22" t="s">
        <v>240</v>
      </c>
      <c r="G35" s="23">
        <v>5.9043844561236938</v>
      </c>
      <c r="H35" s="24">
        <v>7.066250786502934</v>
      </c>
    </row>
    <row r="36" spans="1:8" ht="12.75" customHeight="1" x14ac:dyDescent="0.25">
      <c r="A36" s="193"/>
      <c r="B36" s="25" t="s">
        <v>241</v>
      </c>
      <c r="C36" s="75">
        <v>6897.2338808247232</v>
      </c>
      <c r="D36" s="75">
        <v>6838.4285640117414</v>
      </c>
      <c r="E36" s="75">
        <v>7315.9147779994391</v>
      </c>
      <c r="F36" s="27"/>
      <c r="G36" s="28">
        <v>6.0702725818636765</v>
      </c>
      <c r="H36" s="29">
        <v>6.98239675267709</v>
      </c>
    </row>
    <row r="37" spans="1:8" x14ac:dyDescent="0.25">
      <c r="A37" s="30" t="s">
        <v>34</v>
      </c>
      <c r="B37" s="31" t="s">
        <v>3</v>
      </c>
      <c r="C37" s="77">
        <v>1698.6260868707034</v>
      </c>
      <c r="D37" s="77">
        <v>1935.2431545625436</v>
      </c>
      <c r="E37" s="76">
        <v>2254.8035784334493</v>
      </c>
      <c r="F37" s="22" t="s">
        <v>240</v>
      </c>
      <c r="G37" s="32">
        <v>32.742785234587132</v>
      </c>
      <c r="H37" s="33">
        <v>16.51267558381528</v>
      </c>
    </row>
    <row r="38" spans="1:8" x14ac:dyDescent="0.25">
      <c r="A38" s="34"/>
      <c r="B38" s="25" t="s">
        <v>241</v>
      </c>
      <c r="C38" s="75">
        <v>686.65703063907824</v>
      </c>
      <c r="D38" s="75">
        <v>650.74284127166743</v>
      </c>
      <c r="E38" s="75">
        <v>803.22547490228385</v>
      </c>
      <c r="F38" s="27"/>
      <c r="G38" s="35">
        <v>16.976225256838092</v>
      </c>
      <c r="H38" s="29">
        <v>23.432087755685217</v>
      </c>
    </row>
    <row r="39" spans="1:8" x14ac:dyDescent="0.25">
      <c r="A39" s="30" t="s">
        <v>35</v>
      </c>
      <c r="B39" s="31" t="s">
        <v>3</v>
      </c>
      <c r="C39" s="77">
        <v>50.318908378235598</v>
      </c>
      <c r="D39" s="77">
        <v>47.355049127854159</v>
      </c>
      <c r="E39" s="76">
        <v>48.305101531996549</v>
      </c>
      <c r="F39" s="22" t="s">
        <v>240</v>
      </c>
      <c r="G39" s="37">
        <v>-4.0020877064775107</v>
      </c>
      <c r="H39" s="33">
        <v>2.0062325383241273</v>
      </c>
    </row>
    <row r="40" spans="1:8" x14ac:dyDescent="0.25">
      <c r="A40" s="34"/>
      <c r="B40" s="25" t="s">
        <v>241</v>
      </c>
      <c r="C40" s="75">
        <v>19.989047208934213</v>
      </c>
      <c r="D40" s="75">
        <v>18.218777421782736</v>
      </c>
      <c r="E40" s="75">
        <v>18.781600947559994</v>
      </c>
      <c r="F40" s="27"/>
      <c r="G40" s="28">
        <v>-6.0405393451396918</v>
      </c>
      <c r="H40" s="29">
        <v>3.0892496941333292</v>
      </c>
    </row>
    <row r="41" spans="1:8" x14ac:dyDescent="0.25">
      <c r="A41" s="30" t="s">
        <v>36</v>
      </c>
      <c r="B41" s="31" t="s">
        <v>3</v>
      </c>
      <c r="C41" s="77">
        <v>4002.3273797238139</v>
      </c>
      <c r="D41" s="77">
        <v>4241.7613008873786</v>
      </c>
      <c r="E41" s="76">
        <v>4595.0930577657127</v>
      </c>
      <c r="F41" s="22" t="s">
        <v>240</v>
      </c>
      <c r="G41" s="23">
        <v>14.810524522429318</v>
      </c>
      <c r="H41" s="24">
        <v>8.3298359293441706</v>
      </c>
    </row>
    <row r="42" spans="1:8" x14ac:dyDescent="0.25">
      <c r="A42" s="34"/>
      <c r="B42" s="25" t="s">
        <v>241</v>
      </c>
      <c r="C42" s="75">
        <v>931.87959657908618</v>
      </c>
      <c r="D42" s="75">
        <v>977.00653525273992</v>
      </c>
      <c r="E42" s="75">
        <v>1062.1974041724602</v>
      </c>
      <c r="F42" s="27"/>
      <c r="G42" s="23">
        <v>13.984404001522122</v>
      </c>
      <c r="H42" s="24">
        <v>8.7195802531333584</v>
      </c>
    </row>
    <row r="43" spans="1:8" x14ac:dyDescent="0.25">
      <c r="A43" s="30" t="s">
        <v>18</v>
      </c>
      <c r="B43" s="31" t="s">
        <v>3</v>
      </c>
      <c r="C43" s="77">
        <v>389.57711537961688</v>
      </c>
      <c r="D43" s="77">
        <v>362.68655766799566</v>
      </c>
      <c r="E43" s="76">
        <v>370.67399779476403</v>
      </c>
      <c r="F43" s="22" t="s">
        <v>240</v>
      </c>
      <c r="G43" s="37">
        <v>-4.8522145779618029</v>
      </c>
      <c r="H43" s="33">
        <v>2.2022983642200842</v>
      </c>
    </row>
    <row r="44" spans="1:8" x14ac:dyDescent="0.25">
      <c r="A44" s="34"/>
      <c r="B44" s="25" t="s">
        <v>241</v>
      </c>
      <c r="C44" s="75">
        <v>96.62568084818858</v>
      </c>
      <c r="D44" s="75">
        <v>95.270964688142499</v>
      </c>
      <c r="E44" s="75">
        <v>95.488534363964817</v>
      </c>
      <c r="F44" s="27"/>
      <c r="G44" s="28">
        <v>-1.1768574091709354</v>
      </c>
      <c r="H44" s="29">
        <v>0.22836934267907338</v>
      </c>
    </row>
    <row r="45" spans="1:8" x14ac:dyDescent="0.25">
      <c r="A45" s="30" t="s">
        <v>37</v>
      </c>
      <c r="B45" s="31" t="s">
        <v>3</v>
      </c>
      <c r="C45" s="77">
        <v>153.57262747055282</v>
      </c>
      <c r="D45" s="77">
        <v>139.11365236148859</v>
      </c>
      <c r="E45" s="76">
        <v>157.64951251328014</v>
      </c>
      <c r="F45" s="22" t="s">
        <v>240</v>
      </c>
      <c r="G45" s="37">
        <v>2.6546951171419408</v>
      </c>
      <c r="H45" s="33">
        <v>13.324256704601424</v>
      </c>
    </row>
    <row r="46" spans="1:8" x14ac:dyDescent="0.25">
      <c r="A46" s="34"/>
      <c r="B46" s="25" t="s">
        <v>241</v>
      </c>
      <c r="C46" s="75">
        <v>22.792036735518476</v>
      </c>
      <c r="D46" s="75">
        <v>24.056914008564018</v>
      </c>
      <c r="E46" s="75">
        <v>25.839419824999261</v>
      </c>
      <c r="F46" s="27"/>
      <c r="G46" s="28">
        <v>13.370385125484759</v>
      </c>
      <c r="H46" s="29">
        <v>7.4095364675647488</v>
      </c>
    </row>
    <row r="47" spans="1:8" x14ac:dyDescent="0.25">
      <c r="A47" s="30" t="s">
        <v>38</v>
      </c>
      <c r="B47" s="31" t="s">
        <v>3</v>
      </c>
      <c r="C47" s="77">
        <v>234.86771488655748</v>
      </c>
      <c r="D47" s="77">
        <v>184.22698747677435</v>
      </c>
      <c r="E47" s="76">
        <v>169.99970822619221</v>
      </c>
      <c r="F47" s="22" t="s">
        <v>240</v>
      </c>
      <c r="G47" s="23">
        <v>-27.618954223528306</v>
      </c>
      <c r="H47" s="24">
        <v>-7.722690060475415</v>
      </c>
    </row>
    <row r="48" spans="1:8" x14ac:dyDescent="0.25">
      <c r="A48" s="30"/>
      <c r="B48" s="25" t="s">
        <v>241</v>
      </c>
      <c r="C48" s="75">
        <v>54.831998819700289</v>
      </c>
      <c r="D48" s="75">
        <v>39.300657962252743</v>
      </c>
      <c r="E48" s="75">
        <v>37.338861587214829</v>
      </c>
      <c r="F48" s="27"/>
      <c r="G48" s="23">
        <v>-31.903154378899728</v>
      </c>
      <c r="H48" s="24">
        <v>-4.9917647102045208</v>
      </c>
    </row>
    <row r="49" spans="1:8" x14ac:dyDescent="0.25">
      <c r="A49" s="38" t="s">
        <v>39</v>
      </c>
      <c r="B49" s="31" t="s">
        <v>3</v>
      </c>
      <c r="C49" s="77">
        <v>2216.6781347931301</v>
      </c>
      <c r="D49" s="77">
        <v>2138.4567510440343</v>
      </c>
      <c r="E49" s="76">
        <v>2223.6328886466108</v>
      </c>
      <c r="F49" s="22" t="s">
        <v>240</v>
      </c>
      <c r="G49" s="37">
        <v>0.31374667094507913</v>
      </c>
      <c r="H49" s="33">
        <v>3.9830657113356267</v>
      </c>
    </row>
    <row r="50" spans="1:8" x14ac:dyDescent="0.25">
      <c r="A50" s="34"/>
      <c r="B50" s="25" t="s">
        <v>241</v>
      </c>
      <c r="C50" s="75">
        <v>533.56324206124907</v>
      </c>
      <c r="D50" s="75">
        <v>595.58996931904323</v>
      </c>
      <c r="E50" s="75">
        <v>588.49878160186199</v>
      </c>
      <c r="F50" s="27"/>
      <c r="G50" s="28">
        <v>10.295975286525973</v>
      </c>
      <c r="H50" s="29">
        <v>-1.1906157058502487</v>
      </c>
    </row>
    <row r="51" spans="1:8" x14ac:dyDescent="0.25">
      <c r="A51" s="38" t="s">
        <v>40</v>
      </c>
      <c r="B51" s="31" t="s">
        <v>3</v>
      </c>
      <c r="C51" s="77">
        <v>1318.0774466039093</v>
      </c>
      <c r="D51" s="77">
        <v>1286.0443367123853</v>
      </c>
      <c r="E51" s="76">
        <v>1527.067860127722</v>
      </c>
      <c r="F51" s="22" t="s">
        <v>240</v>
      </c>
      <c r="G51" s="23">
        <v>15.855700593488393</v>
      </c>
      <c r="H51" s="24">
        <v>18.741462991197011</v>
      </c>
    </row>
    <row r="52" spans="1:8" x14ac:dyDescent="0.25">
      <c r="A52" s="34"/>
      <c r="B52" s="25" t="s">
        <v>241</v>
      </c>
      <c r="C52" s="75">
        <v>376.96543692144456</v>
      </c>
      <c r="D52" s="75">
        <v>384.15404636413444</v>
      </c>
      <c r="E52" s="75">
        <v>449.48975782451305</v>
      </c>
      <c r="F52" s="27"/>
      <c r="G52" s="23">
        <v>19.238984214402066</v>
      </c>
      <c r="H52" s="24">
        <v>17.007685348821695</v>
      </c>
    </row>
    <row r="53" spans="1:8" x14ac:dyDescent="0.25">
      <c r="A53" s="30" t="s">
        <v>41</v>
      </c>
      <c r="B53" s="31" t="s">
        <v>3</v>
      </c>
      <c r="C53" s="77">
        <v>11945.370972834637</v>
      </c>
      <c r="D53" s="77">
        <v>11598.168726391843</v>
      </c>
      <c r="E53" s="76">
        <v>12175.980348904975</v>
      </c>
      <c r="F53" s="22" t="s">
        <v>240</v>
      </c>
      <c r="G53" s="37">
        <v>1.9305333973702119</v>
      </c>
      <c r="H53" s="33">
        <v>4.9819211648327837</v>
      </c>
    </row>
    <row r="54" spans="1:8" x14ac:dyDescent="0.25">
      <c r="A54" s="34"/>
      <c r="B54" s="25" t="s">
        <v>241</v>
      </c>
      <c r="C54" s="75">
        <v>3574.0647539827442</v>
      </c>
      <c r="D54" s="75">
        <v>3443.9280381644758</v>
      </c>
      <c r="E54" s="75">
        <v>3624.642514074902</v>
      </c>
      <c r="F54" s="27"/>
      <c r="G54" s="28">
        <v>1.4151327290809803</v>
      </c>
      <c r="H54" s="29">
        <v>5.2473360043475878</v>
      </c>
    </row>
    <row r="55" spans="1:8" x14ac:dyDescent="0.25">
      <c r="A55" s="30" t="s">
        <v>24</v>
      </c>
      <c r="B55" s="31" t="s">
        <v>3</v>
      </c>
      <c r="C55" s="77">
        <v>2374.532619548504</v>
      </c>
      <c r="D55" s="77">
        <v>2186.2816615022016</v>
      </c>
      <c r="E55" s="76">
        <v>2312.4435463865111</v>
      </c>
      <c r="F55" s="22" t="s">
        <v>240</v>
      </c>
      <c r="G55" s="23">
        <v>-2.6147913341278297</v>
      </c>
      <c r="H55" s="24">
        <v>5.7706144229203886</v>
      </c>
    </row>
    <row r="56" spans="1:8" ht="13.8" thickBot="1" x14ac:dyDescent="0.3">
      <c r="A56" s="54"/>
      <c r="B56" s="41" t="s">
        <v>241</v>
      </c>
      <c r="C56" s="79">
        <v>599.86505702878162</v>
      </c>
      <c r="D56" s="79">
        <v>590.3648195589393</v>
      </c>
      <c r="E56" s="79">
        <v>610.41242869967971</v>
      </c>
      <c r="F56" s="43"/>
      <c r="G56" s="55">
        <v>1.7582907267745753</v>
      </c>
      <c r="H56" s="45">
        <v>3.3958001013200629</v>
      </c>
    </row>
    <row r="57" spans="1:8" x14ac:dyDescent="0.25">
      <c r="A57" s="6"/>
      <c r="B57" s="6"/>
      <c r="C57" s="59"/>
      <c r="D57" s="59"/>
      <c r="E57" s="21"/>
      <c r="F57" s="56"/>
      <c r="G57" s="23"/>
      <c r="H57" s="23"/>
    </row>
    <row r="58" spans="1:8" x14ac:dyDescent="0.25">
      <c r="A58" s="60"/>
      <c r="B58" s="57"/>
      <c r="C58" s="21"/>
      <c r="D58" s="21"/>
      <c r="E58" s="21"/>
      <c r="F58" s="58"/>
      <c r="G58" s="23"/>
      <c r="H58" s="23"/>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H61" s="187">
        <v>12</v>
      </c>
    </row>
    <row r="62" spans="1:8" ht="12.75" customHeight="1" x14ac:dyDescent="0.25">
      <c r="A62" s="52" t="str">
        <f>+Innhold!$B$124</f>
        <v>Skadestatistikk for landbasert forsikring 1. kvartal 2026</v>
      </c>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28" display="Tilbake til innholdsfortegnelsen" xr:uid="{00000000-0004-0000-07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8"/>
  <sheetViews>
    <sheetView showGridLines="0" showRowColHeaders="0" zoomScaleNormal="100" workbookViewId="0"/>
  </sheetViews>
  <sheetFormatPr baseColWidth="10" defaultColWidth="11.44140625" defaultRowHeight="13.2" x14ac:dyDescent="0.25"/>
  <cols>
    <col min="1" max="1" width="26.44140625" style="1" customWidth="1"/>
    <col min="2" max="2" width="8.21875" style="1" customWidth="1"/>
    <col min="3" max="4" width="10.44140625" style="1" customWidth="1"/>
    <col min="5" max="5" width="9.77734375" style="1" customWidth="1"/>
    <col min="6" max="6" width="1.5546875" style="1" customWidth="1"/>
    <col min="7" max="7" width="7.5546875" style="1" customWidth="1"/>
    <col min="8" max="8" width="8.77734375" style="1" customWidth="1"/>
    <col min="9" max="16384" width="11.44140625" style="1"/>
  </cols>
  <sheetData>
    <row r="1" spans="1:8" ht="5.25" customHeight="1" x14ac:dyDescent="0.25"/>
    <row r="2" spans="1:8" x14ac:dyDescent="0.25">
      <c r="A2" s="85" t="s">
        <v>0</v>
      </c>
      <c r="B2" s="2"/>
      <c r="C2" s="2"/>
      <c r="D2" s="2"/>
      <c r="E2" s="2"/>
      <c r="F2" s="2"/>
      <c r="G2" s="2"/>
    </row>
    <row r="3" spans="1:8" ht="6" customHeight="1" x14ac:dyDescent="0.25">
      <c r="A3" s="3"/>
      <c r="B3" s="2"/>
      <c r="C3" s="2"/>
      <c r="D3" s="2"/>
      <c r="E3" s="2"/>
      <c r="F3" s="2"/>
      <c r="G3" s="2"/>
    </row>
    <row r="4" spans="1:8" ht="16.2" thickBot="1" x14ac:dyDescent="0.35">
      <c r="A4" s="4" t="s">
        <v>147</v>
      </c>
      <c r="B4" s="5"/>
      <c r="C4" s="5"/>
      <c r="D4" s="5"/>
      <c r="E4" s="5"/>
      <c r="F4" s="5"/>
      <c r="G4" s="5"/>
      <c r="H4" s="6"/>
    </row>
    <row r="5" spans="1:8" x14ac:dyDescent="0.25">
      <c r="A5" s="7"/>
      <c r="B5" s="8"/>
      <c r="C5" s="9"/>
      <c r="D5" s="8"/>
      <c r="E5" s="10"/>
      <c r="F5" s="11"/>
      <c r="G5" s="190" t="s">
        <v>1</v>
      </c>
      <c r="H5" s="191"/>
    </row>
    <row r="6" spans="1:8" x14ac:dyDescent="0.25">
      <c r="A6" s="12"/>
      <c r="B6" s="13"/>
      <c r="C6" s="14" t="s">
        <v>235</v>
      </c>
      <c r="D6" s="15" t="s">
        <v>236</v>
      </c>
      <c r="E6" s="15" t="s">
        <v>237</v>
      </c>
      <c r="F6" s="16"/>
      <c r="G6" s="17" t="s">
        <v>238</v>
      </c>
      <c r="H6" s="18" t="s">
        <v>239</v>
      </c>
    </row>
    <row r="7" spans="1:8" x14ac:dyDescent="0.25">
      <c r="A7" s="192" t="s">
        <v>17</v>
      </c>
      <c r="B7" s="19" t="s">
        <v>3</v>
      </c>
      <c r="C7" s="20">
        <v>471768.76188981324</v>
      </c>
      <c r="D7" s="20">
        <v>425729</v>
      </c>
      <c r="E7" s="21">
        <v>393845.39587996114</v>
      </c>
      <c r="F7" s="22" t="s">
        <v>240</v>
      </c>
      <c r="G7" s="23">
        <v>-16.517279715110078</v>
      </c>
      <c r="H7" s="24">
        <v>-7.4891783552538982</v>
      </c>
    </row>
    <row r="8" spans="1:8" x14ac:dyDescent="0.25">
      <c r="A8" s="193"/>
      <c r="B8" s="25" t="s">
        <v>241</v>
      </c>
      <c r="C8" s="26">
        <v>123445.77456879262</v>
      </c>
      <c r="D8" s="26">
        <v>105324</v>
      </c>
      <c r="E8" s="26">
        <v>99240</v>
      </c>
      <c r="F8" s="27"/>
      <c r="G8" s="28">
        <v>-19.608426982086343</v>
      </c>
      <c r="H8" s="29">
        <v>-5.77646120542326</v>
      </c>
    </row>
    <row r="9" spans="1:8" x14ac:dyDescent="0.25">
      <c r="A9" s="30" t="s">
        <v>18</v>
      </c>
      <c r="B9" s="31" t="s">
        <v>3</v>
      </c>
      <c r="C9" s="20">
        <v>30910.074226086959</v>
      </c>
      <c r="D9" s="20">
        <v>28158</v>
      </c>
      <c r="E9" s="21">
        <v>25969.709853853405</v>
      </c>
      <c r="F9" s="22" t="s">
        <v>240</v>
      </c>
      <c r="G9" s="32">
        <v>-15.983023321451853</v>
      </c>
      <c r="H9" s="33">
        <v>-7.7714686630676653</v>
      </c>
    </row>
    <row r="10" spans="1:8" x14ac:dyDescent="0.25">
      <c r="A10" s="34"/>
      <c r="B10" s="25" t="s">
        <v>241</v>
      </c>
      <c r="C10" s="26">
        <v>7054.1993000000002</v>
      </c>
      <c r="D10" s="26">
        <v>6315</v>
      </c>
      <c r="E10" s="26">
        <v>5858</v>
      </c>
      <c r="F10" s="27"/>
      <c r="G10" s="35">
        <v>-16.957265440458997</v>
      </c>
      <c r="H10" s="29">
        <v>-7.2367379255740332</v>
      </c>
    </row>
    <row r="11" spans="1:8" x14ac:dyDescent="0.25">
      <c r="A11" s="30" t="s">
        <v>19</v>
      </c>
      <c r="B11" s="31" t="s">
        <v>3</v>
      </c>
      <c r="C11" s="20">
        <v>90040.914086956516</v>
      </c>
      <c r="D11" s="20">
        <v>72877</v>
      </c>
      <c r="E11" s="21">
        <v>79470.645932698564</v>
      </c>
      <c r="F11" s="22" t="s">
        <v>240</v>
      </c>
      <c r="G11" s="37">
        <v>-11.739405648469742</v>
      </c>
      <c r="H11" s="33">
        <v>9.0476363361534595</v>
      </c>
    </row>
    <row r="12" spans="1:8" x14ac:dyDescent="0.25">
      <c r="A12" s="34"/>
      <c r="B12" s="25" t="s">
        <v>241</v>
      </c>
      <c r="C12" s="26">
        <v>33032.331000000006</v>
      </c>
      <c r="D12" s="26">
        <v>19947</v>
      </c>
      <c r="E12" s="26">
        <v>23763</v>
      </c>
      <c r="F12" s="27"/>
      <c r="G12" s="28">
        <v>-28.061389309764436</v>
      </c>
      <c r="H12" s="29">
        <v>19.130696345315073</v>
      </c>
    </row>
    <row r="13" spans="1:8" x14ac:dyDescent="0.25">
      <c r="A13" s="30" t="s">
        <v>20</v>
      </c>
      <c r="B13" s="31" t="s">
        <v>3</v>
      </c>
      <c r="C13" s="20">
        <v>40751.006708074536</v>
      </c>
      <c r="D13" s="20">
        <v>35821</v>
      </c>
      <c r="E13" s="21">
        <v>31002.735175645743</v>
      </c>
      <c r="F13" s="22" t="s">
        <v>240</v>
      </c>
      <c r="G13" s="23">
        <v>-23.921547760186343</v>
      </c>
      <c r="H13" s="24">
        <v>-13.450950069384604</v>
      </c>
    </row>
    <row r="14" spans="1:8" x14ac:dyDescent="0.25">
      <c r="A14" s="34"/>
      <c r="B14" s="25" t="s">
        <v>241</v>
      </c>
      <c r="C14" s="26">
        <v>7414.1100000000006</v>
      </c>
      <c r="D14" s="26">
        <v>7043</v>
      </c>
      <c r="E14" s="26">
        <v>5936</v>
      </c>
      <c r="F14" s="27"/>
      <c r="G14" s="23">
        <v>-19.936445507282741</v>
      </c>
      <c r="H14" s="24">
        <v>-15.717733920204452</v>
      </c>
    </row>
    <row r="15" spans="1:8" x14ac:dyDescent="0.25">
      <c r="A15" s="30" t="s">
        <v>21</v>
      </c>
      <c r="B15" s="31" t="s">
        <v>3</v>
      </c>
      <c r="C15" s="20">
        <v>9603.1269565217408</v>
      </c>
      <c r="D15" s="20">
        <v>9211</v>
      </c>
      <c r="E15" s="21">
        <v>7914.4305120927365</v>
      </c>
      <c r="F15" s="22" t="s">
        <v>240</v>
      </c>
      <c r="G15" s="37">
        <v>-17.58486014060415</v>
      </c>
      <c r="H15" s="33">
        <v>-14.07631622958705</v>
      </c>
    </row>
    <row r="16" spans="1:8" x14ac:dyDescent="0.25">
      <c r="A16" s="34"/>
      <c r="B16" s="25" t="s">
        <v>241</v>
      </c>
      <c r="C16" s="26">
        <v>2186.907083333333</v>
      </c>
      <c r="D16" s="26">
        <v>2104</v>
      </c>
      <c r="E16" s="26">
        <v>1806</v>
      </c>
      <c r="F16" s="27"/>
      <c r="G16" s="28">
        <v>-17.417616241506977</v>
      </c>
      <c r="H16" s="29">
        <v>-14.163498098859321</v>
      </c>
    </row>
    <row r="17" spans="1:8" x14ac:dyDescent="0.25">
      <c r="A17" s="30" t="s">
        <v>22</v>
      </c>
      <c r="B17" s="31" t="s">
        <v>3</v>
      </c>
      <c r="C17" s="20">
        <v>9583.126956521739</v>
      </c>
      <c r="D17" s="20">
        <v>13282</v>
      </c>
      <c r="E17" s="21">
        <v>6943.127787673885</v>
      </c>
      <c r="F17" s="22" t="s">
        <v>240</v>
      </c>
      <c r="G17" s="37">
        <v>-27.548410668307156</v>
      </c>
      <c r="H17" s="33">
        <v>-47.725283935597915</v>
      </c>
    </row>
    <row r="18" spans="1:8" x14ac:dyDescent="0.25">
      <c r="A18" s="34"/>
      <c r="B18" s="25" t="s">
        <v>241</v>
      </c>
      <c r="C18" s="26">
        <v>1960.9070833333333</v>
      </c>
      <c r="D18" s="26">
        <v>3303</v>
      </c>
      <c r="E18" s="26">
        <v>1611</v>
      </c>
      <c r="F18" s="27"/>
      <c r="G18" s="28">
        <v>-17.844143983534835</v>
      </c>
      <c r="H18" s="29">
        <v>-51.22615803814714</v>
      </c>
    </row>
    <row r="19" spans="1:8" x14ac:dyDescent="0.25">
      <c r="A19" s="30" t="s">
        <v>189</v>
      </c>
      <c r="B19" s="31" t="s">
        <v>3</v>
      </c>
      <c r="C19" s="20">
        <v>243804.51677018634</v>
      </c>
      <c r="D19" s="20">
        <v>214984</v>
      </c>
      <c r="E19" s="21">
        <v>186922.87716214944</v>
      </c>
      <c r="F19" s="22" t="s">
        <v>240</v>
      </c>
      <c r="G19" s="23">
        <v>-23.330839133572894</v>
      </c>
      <c r="H19" s="24">
        <v>-13.052656401337103</v>
      </c>
    </row>
    <row r="20" spans="1:8" x14ac:dyDescent="0.25">
      <c r="A20" s="30"/>
      <c r="B20" s="25" t="s">
        <v>241</v>
      </c>
      <c r="C20" s="26">
        <v>59094.774999999994</v>
      </c>
      <c r="D20" s="26">
        <v>53629</v>
      </c>
      <c r="E20" s="26">
        <v>46180</v>
      </c>
      <c r="F20" s="27"/>
      <c r="G20" s="23">
        <v>-21.854343298540343</v>
      </c>
      <c r="H20" s="24">
        <v>-13.889873016464975</v>
      </c>
    </row>
    <row r="21" spans="1:8" x14ac:dyDescent="0.25">
      <c r="A21" s="38" t="s">
        <v>12</v>
      </c>
      <c r="B21" s="31" t="s">
        <v>3</v>
      </c>
      <c r="C21" s="20">
        <v>2836.0761739130435</v>
      </c>
      <c r="D21" s="20">
        <v>2878</v>
      </c>
      <c r="E21" s="21">
        <v>2597.9463951215425</v>
      </c>
      <c r="F21" s="22" t="s">
        <v>240</v>
      </c>
      <c r="G21" s="37">
        <v>-8.396452146873898</v>
      </c>
      <c r="H21" s="33">
        <v>-9.7308410312181195</v>
      </c>
    </row>
    <row r="22" spans="1:8" x14ac:dyDescent="0.25">
      <c r="A22" s="34"/>
      <c r="B22" s="25" t="s">
        <v>241</v>
      </c>
      <c r="C22" s="26">
        <v>586.94425000000001</v>
      </c>
      <c r="D22" s="26">
        <v>637</v>
      </c>
      <c r="E22" s="26">
        <v>562</v>
      </c>
      <c r="F22" s="27"/>
      <c r="G22" s="28">
        <v>-4.2498499644557484</v>
      </c>
      <c r="H22" s="29">
        <v>-11.773940345368914</v>
      </c>
    </row>
    <row r="23" spans="1:8" x14ac:dyDescent="0.25">
      <c r="A23" s="38" t="s">
        <v>23</v>
      </c>
      <c r="B23" s="31" t="s">
        <v>3</v>
      </c>
      <c r="C23" s="20">
        <v>13037.126956521739</v>
      </c>
      <c r="D23" s="20">
        <v>13167</v>
      </c>
      <c r="E23" s="21">
        <v>15122.511316440197</v>
      </c>
      <c r="F23" s="22" t="s">
        <v>240</v>
      </c>
      <c r="G23" s="23">
        <v>15.995735616237567</v>
      </c>
      <c r="H23" s="24">
        <v>14.851608691730817</v>
      </c>
    </row>
    <row r="24" spans="1:8" x14ac:dyDescent="0.25">
      <c r="A24" s="34"/>
      <c r="B24" s="25" t="s">
        <v>241</v>
      </c>
      <c r="C24" s="26">
        <v>3057.9070833333335</v>
      </c>
      <c r="D24" s="26">
        <v>3298</v>
      </c>
      <c r="E24" s="26">
        <v>3704</v>
      </c>
      <c r="F24" s="27"/>
      <c r="G24" s="28">
        <v>21.128598713417418</v>
      </c>
      <c r="H24" s="29">
        <v>12.310491206791994</v>
      </c>
    </row>
    <row r="25" spans="1:8" x14ac:dyDescent="0.25">
      <c r="A25" s="30" t="s">
        <v>24</v>
      </c>
      <c r="B25" s="31" t="s">
        <v>3</v>
      </c>
      <c r="C25" s="20">
        <v>49753.253913043474</v>
      </c>
      <c r="D25" s="20">
        <v>50292</v>
      </c>
      <c r="E25" s="21">
        <v>50140.813519729476</v>
      </c>
      <c r="F25" s="22" t="s">
        <v>240</v>
      </c>
      <c r="G25" s="23">
        <v>0.77896333647515803</v>
      </c>
      <c r="H25" s="24">
        <v>-0.30061735518675903</v>
      </c>
    </row>
    <row r="26" spans="1:8" ht="13.8" thickBot="1" x14ac:dyDescent="0.3">
      <c r="A26" s="40"/>
      <c r="B26" s="41" t="s">
        <v>241</v>
      </c>
      <c r="C26" s="42">
        <v>15004.814166666667</v>
      </c>
      <c r="D26" s="42">
        <v>12393</v>
      </c>
      <c r="E26" s="42">
        <v>13158</v>
      </c>
      <c r="F26" s="43"/>
      <c r="G26" s="44">
        <v>-12.308144213937567</v>
      </c>
      <c r="H26" s="45">
        <v>6.1728395061728492</v>
      </c>
    </row>
    <row r="31" spans="1:8" x14ac:dyDescent="0.25">
      <c r="A31" s="46"/>
      <c r="B31" s="47"/>
      <c r="C31" s="48"/>
      <c r="D31" s="53"/>
      <c r="E31" s="48"/>
      <c r="F31" s="48"/>
      <c r="G31" s="49"/>
      <c r="H31" s="49"/>
    </row>
    <row r="32" spans="1:8" ht="16.2" thickBot="1" x14ac:dyDescent="0.35">
      <c r="A32" s="4" t="s">
        <v>25</v>
      </c>
      <c r="B32" s="5"/>
      <c r="C32" s="5"/>
      <c r="D32" s="5"/>
      <c r="E32" s="5"/>
      <c r="F32" s="5"/>
      <c r="G32" s="5"/>
      <c r="H32" s="6"/>
    </row>
    <row r="33" spans="1:8" x14ac:dyDescent="0.25">
      <c r="A33" s="7"/>
      <c r="B33" s="8"/>
      <c r="C33" s="195" t="s">
        <v>16</v>
      </c>
      <c r="D33" s="190"/>
      <c r="E33" s="190"/>
      <c r="F33" s="196"/>
      <c r="G33" s="190" t="s">
        <v>1</v>
      </c>
      <c r="H33" s="191"/>
    </row>
    <row r="34" spans="1:8" x14ac:dyDescent="0.25">
      <c r="A34" s="12"/>
      <c r="B34" s="13"/>
      <c r="C34" s="14" t="s">
        <v>235</v>
      </c>
      <c r="D34" s="15" t="s">
        <v>236</v>
      </c>
      <c r="E34" s="15" t="s">
        <v>237</v>
      </c>
      <c r="F34" s="16"/>
      <c r="G34" s="17" t="s">
        <v>238</v>
      </c>
      <c r="H34" s="18" t="s">
        <v>239</v>
      </c>
    </row>
    <row r="35" spans="1:8" x14ac:dyDescent="0.25">
      <c r="A35" s="192" t="s">
        <v>17</v>
      </c>
      <c r="B35" s="19" t="s">
        <v>3</v>
      </c>
      <c r="C35" s="73">
        <v>12228.72573985527</v>
      </c>
      <c r="D35" s="73">
        <v>11351.889827751911</v>
      </c>
      <c r="E35" s="76">
        <v>12513.286576816447</v>
      </c>
      <c r="F35" s="22" t="s">
        <v>240</v>
      </c>
      <c r="G35" s="23">
        <v>2.3269868260578335</v>
      </c>
      <c r="H35" s="24">
        <v>10.230866989435313</v>
      </c>
    </row>
    <row r="36" spans="1:8" x14ac:dyDescent="0.25">
      <c r="A36" s="193"/>
      <c r="B36" s="25" t="s">
        <v>241</v>
      </c>
      <c r="C36" s="75">
        <v>3932.4092415218524</v>
      </c>
      <c r="D36" s="75">
        <v>3205.5196405216943</v>
      </c>
      <c r="E36" s="75">
        <v>3683.1071827156134</v>
      </c>
      <c r="F36" s="27"/>
      <c r="G36" s="28">
        <v>-6.339677370653277</v>
      </c>
      <c r="H36" s="29">
        <v>14.898911744499316</v>
      </c>
    </row>
    <row r="37" spans="1:8" x14ac:dyDescent="0.25">
      <c r="A37" s="30" t="s">
        <v>18</v>
      </c>
      <c r="B37" s="31" t="s">
        <v>3</v>
      </c>
      <c r="C37" s="73">
        <v>3729.6637691422593</v>
      </c>
      <c r="D37" s="73">
        <v>3793.1811011206023</v>
      </c>
      <c r="E37" s="76">
        <v>4932.3072693228123</v>
      </c>
      <c r="F37" s="22" t="s">
        <v>240</v>
      </c>
      <c r="G37" s="32">
        <v>32.245359759524234</v>
      </c>
      <c r="H37" s="33">
        <v>30.030893274926484</v>
      </c>
    </row>
    <row r="38" spans="1:8" x14ac:dyDescent="0.25">
      <c r="A38" s="34"/>
      <c r="B38" s="25" t="s">
        <v>241</v>
      </c>
      <c r="C38" s="75">
        <v>996.00195192763044</v>
      </c>
      <c r="D38" s="75">
        <v>985.75728273006689</v>
      </c>
      <c r="E38" s="75">
        <v>1293.3683942409361</v>
      </c>
      <c r="F38" s="27"/>
      <c r="G38" s="35">
        <v>29.856009994537885</v>
      </c>
      <c r="H38" s="29">
        <v>31.205563164487785</v>
      </c>
    </row>
    <row r="39" spans="1:8" x14ac:dyDescent="0.25">
      <c r="A39" s="30" t="s">
        <v>19</v>
      </c>
      <c r="B39" s="31" t="s">
        <v>3</v>
      </c>
      <c r="C39" s="73">
        <v>4739.8604108759819</v>
      </c>
      <c r="D39" s="73">
        <v>3957.0296788988012</v>
      </c>
      <c r="E39" s="76">
        <v>4256.8655673667599</v>
      </c>
      <c r="F39" s="22" t="s">
        <v>240</v>
      </c>
      <c r="G39" s="37">
        <v>-10.190064720069657</v>
      </c>
      <c r="H39" s="33">
        <v>7.577296932263593</v>
      </c>
    </row>
    <row r="40" spans="1:8" x14ac:dyDescent="0.25">
      <c r="A40" s="34"/>
      <c r="B40" s="25" t="s">
        <v>241</v>
      </c>
      <c r="C40" s="75">
        <v>1776.2840333521599</v>
      </c>
      <c r="D40" s="75">
        <v>1221.4807925270466</v>
      </c>
      <c r="E40" s="75">
        <v>1396.0776031899989</v>
      </c>
      <c r="F40" s="27"/>
      <c r="G40" s="28">
        <v>-21.404596507273936</v>
      </c>
      <c r="H40" s="29">
        <v>14.293864605250121</v>
      </c>
    </row>
    <row r="41" spans="1:8" x14ac:dyDescent="0.25">
      <c r="A41" s="30" t="s">
        <v>20</v>
      </c>
      <c r="B41" s="31" t="s">
        <v>3</v>
      </c>
      <c r="C41" s="73">
        <v>542.1307191545784</v>
      </c>
      <c r="D41" s="73">
        <v>559.49813183409992</v>
      </c>
      <c r="E41" s="76">
        <v>576.71155243330531</v>
      </c>
      <c r="F41" s="22" t="s">
        <v>240</v>
      </c>
      <c r="G41" s="23">
        <v>6.3786891347263435</v>
      </c>
      <c r="H41" s="24">
        <v>3.0765823190111092</v>
      </c>
    </row>
    <row r="42" spans="1:8" x14ac:dyDescent="0.25">
      <c r="A42" s="34"/>
      <c r="B42" s="25" t="s">
        <v>241</v>
      </c>
      <c r="C42" s="75">
        <v>115.36604295373016</v>
      </c>
      <c r="D42" s="75">
        <v>122.72384605806599</v>
      </c>
      <c r="E42" s="75">
        <v>125.21578787732093</v>
      </c>
      <c r="F42" s="27"/>
      <c r="G42" s="23">
        <v>8.5378198570451218</v>
      </c>
      <c r="H42" s="24">
        <v>2.0305278063693493</v>
      </c>
    </row>
    <row r="43" spans="1:8" x14ac:dyDescent="0.25">
      <c r="A43" s="30" t="s">
        <v>21</v>
      </c>
      <c r="B43" s="31" t="s">
        <v>3</v>
      </c>
      <c r="C43" s="73">
        <v>110.49618885356317</v>
      </c>
      <c r="D43" s="73">
        <v>112.14660819086691</v>
      </c>
      <c r="E43" s="76">
        <v>110.18296600070634</v>
      </c>
      <c r="F43" s="22" t="s">
        <v>240</v>
      </c>
      <c r="G43" s="37">
        <v>-0.28346937220787538</v>
      </c>
      <c r="H43" s="33">
        <v>-1.7509599459473293</v>
      </c>
    </row>
    <row r="44" spans="1:8" x14ac:dyDescent="0.25">
      <c r="A44" s="34"/>
      <c r="B44" s="25" t="s">
        <v>241</v>
      </c>
      <c r="C44" s="75">
        <v>27.092527812866095</v>
      </c>
      <c r="D44" s="75">
        <v>26.240463829894743</v>
      </c>
      <c r="E44" s="75">
        <v>26.179844410079358</v>
      </c>
      <c r="F44" s="27"/>
      <c r="G44" s="28">
        <v>-3.3687642920986747</v>
      </c>
      <c r="H44" s="29">
        <v>-0.2310150468694161</v>
      </c>
    </row>
    <row r="45" spans="1:8" x14ac:dyDescent="0.25">
      <c r="A45" s="30" t="s">
        <v>22</v>
      </c>
      <c r="B45" s="31" t="s">
        <v>3</v>
      </c>
      <c r="C45" s="73">
        <v>60.568276110441246</v>
      </c>
      <c r="D45" s="73">
        <v>93.31825897431861</v>
      </c>
      <c r="E45" s="76">
        <v>51.244090421277591</v>
      </c>
      <c r="F45" s="22" t="s">
        <v>240</v>
      </c>
      <c r="G45" s="37">
        <v>-15.394504001008329</v>
      </c>
      <c r="H45" s="33">
        <v>-45.086748312160353</v>
      </c>
    </row>
    <row r="46" spans="1:8" x14ac:dyDescent="0.25">
      <c r="A46" s="34"/>
      <c r="B46" s="25" t="s">
        <v>241</v>
      </c>
      <c r="C46" s="75">
        <v>14.683112247342928</v>
      </c>
      <c r="D46" s="75">
        <v>26.097160319146614</v>
      </c>
      <c r="E46" s="75">
        <v>13.632817509112341</v>
      </c>
      <c r="F46" s="27"/>
      <c r="G46" s="28">
        <v>-7.1530798139927754</v>
      </c>
      <c r="H46" s="29">
        <v>-47.761299151347139</v>
      </c>
    </row>
    <row r="47" spans="1:8" x14ac:dyDescent="0.25">
      <c r="A47" s="30" t="s">
        <v>189</v>
      </c>
      <c r="B47" s="31" t="s">
        <v>3</v>
      </c>
      <c r="C47" s="73">
        <v>1501.9659579247659</v>
      </c>
      <c r="D47" s="73">
        <v>1345.6858568188591</v>
      </c>
      <c r="E47" s="76">
        <v>1292.9118407561475</v>
      </c>
      <c r="F47" s="22" t="s">
        <v>240</v>
      </c>
      <c r="G47" s="23">
        <v>-13.918698760487487</v>
      </c>
      <c r="H47" s="24">
        <v>-3.9217188614486105</v>
      </c>
    </row>
    <row r="48" spans="1:8" x14ac:dyDescent="0.25">
      <c r="A48" s="30"/>
      <c r="B48" s="25" t="s">
        <v>241</v>
      </c>
      <c r="C48" s="75">
        <v>459.59029267381084</v>
      </c>
      <c r="D48" s="75">
        <v>389.81556949029971</v>
      </c>
      <c r="E48" s="75">
        <v>381.30472999008282</v>
      </c>
      <c r="F48" s="27"/>
      <c r="G48" s="23">
        <v>-17.033772020787723</v>
      </c>
      <c r="H48" s="24">
        <v>-2.1832990178778999</v>
      </c>
    </row>
    <row r="49" spans="1:8" x14ac:dyDescent="0.25">
      <c r="A49" s="38" t="s">
        <v>12</v>
      </c>
      <c r="B49" s="31" t="s">
        <v>3</v>
      </c>
      <c r="C49" s="73">
        <v>41.078995755065378</v>
      </c>
      <c r="D49" s="73">
        <v>53.616387975256082</v>
      </c>
      <c r="E49" s="76">
        <v>42.922359522219637</v>
      </c>
      <c r="F49" s="22" t="s">
        <v>240</v>
      </c>
      <c r="G49" s="37">
        <v>4.4873632698943453</v>
      </c>
      <c r="H49" s="33">
        <v>-19.945447384429798</v>
      </c>
    </row>
    <row r="50" spans="1:8" x14ac:dyDescent="0.25">
      <c r="A50" s="34"/>
      <c r="B50" s="25" t="s">
        <v>241</v>
      </c>
      <c r="C50" s="75">
        <v>8.7127273446026763</v>
      </c>
      <c r="D50" s="75">
        <v>13.006031518494101</v>
      </c>
      <c r="E50" s="75">
        <v>9.9359797421979383</v>
      </c>
      <c r="F50" s="27"/>
      <c r="G50" s="28">
        <v>14.039833329032575</v>
      </c>
      <c r="H50" s="29">
        <v>-23.604831127240161</v>
      </c>
    </row>
    <row r="51" spans="1:8" x14ac:dyDescent="0.25">
      <c r="A51" s="38" t="s">
        <v>23</v>
      </c>
      <c r="B51" s="31" t="s">
        <v>3</v>
      </c>
      <c r="C51" s="73">
        <v>371.44159312933158</v>
      </c>
      <c r="D51" s="73">
        <v>343.4005893365773</v>
      </c>
      <c r="E51" s="76">
        <v>364.62915584363265</v>
      </c>
      <c r="F51" s="22" t="s">
        <v>240</v>
      </c>
      <c r="G51" s="23">
        <v>-1.8340534317401875</v>
      </c>
      <c r="H51" s="24">
        <v>6.1818666496953938</v>
      </c>
    </row>
    <row r="52" spans="1:8" x14ac:dyDescent="0.25">
      <c r="A52" s="34"/>
      <c r="B52" s="25" t="s">
        <v>241</v>
      </c>
      <c r="C52" s="75">
        <v>94.596703219104597</v>
      </c>
      <c r="D52" s="75">
        <v>90.464683171018649</v>
      </c>
      <c r="E52" s="75">
        <v>94.967819498923603</v>
      </c>
      <c r="F52" s="27"/>
      <c r="G52" s="28">
        <v>0.3923141792367062</v>
      </c>
      <c r="H52" s="29">
        <v>4.9777837826414668</v>
      </c>
    </row>
    <row r="53" spans="1:8" x14ac:dyDescent="0.25">
      <c r="A53" s="30" t="s">
        <v>24</v>
      </c>
      <c r="B53" s="31" t="s">
        <v>3</v>
      </c>
      <c r="C53" s="73">
        <v>1132.345020409284</v>
      </c>
      <c r="D53" s="73">
        <v>1094.013214602531</v>
      </c>
      <c r="E53" s="76">
        <v>1070.0315300989871</v>
      </c>
      <c r="F53" s="22" t="s">
        <v>240</v>
      </c>
      <c r="G53" s="23">
        <v>-5.50304802751495</v>
      </c>
      <c r="H53" s="24">
        <v>-2.19208362234059</v>
      </c>
    </row>
    <row r="54" spans="1:8" ht="13.8" thickBot="1" x14ac:dyDescent="0.3">
      <c r="A54" s="40"/>
      <c r="B54" s="41" t="s">
        <v>241</v>
      </c>
      <c r="C54" s="79">
        <v>440.08184999060495</v>
      </c>
      <c r="D54" s="79">
        <v>321.69381087766124</v>
      </c>
      <c r="E54" s="79">
        <v>342.42420625696053</v>
      </c>
      <c r="F54" s="43"/>
      <c r="G54" s="44">
        <v>-22.190791039378084</v>
      </c>
      <c r="H54" s="45">
        <v>6.4441387052929713</v>
      </c>
    </row>
    <row r="59" spans="1:8" x14ac:dyDescent="0.25">
      <c r="A59" s="46"/>
      <c r="B59" s="47"/>
      <c r="C59" s="48"/>
      <c r="D59" s="48"/>
      <c r="E59" s="48"/>
      <c r="F59" s="48"/>
      <c r="G59" s="49"/>
      <c r="H59" s="49"/>
    </row>
    <row r="60" spans="1:8" x14ac:dyDescent="0.25">
      <c r="A60" s="50"/>
      <c r="B60" s="50"/>
      <c r="C60" s="50"/>
      <c r="D60" s="50"/>
      <c r="E60" s="50"/>
      <c r="F60" s="50"/>
      <c r="G60" s="50"/>
      <c r="H60" s="50"/>
    </row>
    <row r="61" spans="1:8" ht="12.75" customHeight="1" x14ac:dyDescent="0.25">
      <c r="A61" s="52" t="str">
        <f>+Innhold!$B$123</f>
        <v>Finans Norge / Skadeforsikringsstatistikk</v>
      </c>
      <c r="G61" s="51"/>
      <c r="H61" s="188">
        <v>13</v>
      </c>
    </row>
    <row r="62" spans="1:8" ht="12.75" customHeight="1" x14ac:dyDescent="0.25">
      <c r="A62" s="52" t="str">
        <f>+Innhold!$B$124</f>
        <v>Skadestatistikk for landbasert forsikring 1. kvartal 2026</v>
      </c>
      <c r="G62" s="51"/>
      <c r="H62" s="188"/>
    </row>
    <row r="67" ht="12.75" customHeight="1" x14ac:dyDescent="0.25"/>
    <row r="68" ht="12.75" customHeight="1" x14ac:dyDescent="0.25"/>
  </sheetData>
  <mergeCells count="6">
    <mergeCell ref="H61:H62"/>
    <mergeCell ref="A35:A36"/>
    <mergeCell ref="A7:A8"/>
    <mergeCell ref="G5:H5"/>
    <mergeCell ref="G33:H33"/>
    <mergeCell ref="C33:F33"/>
  </mergeCells>
  <phoneticPr fontId="0" type="noConversion"/>
  <hyperlinks>
    <hyperlink ref="A2" location="Innhold!A31" display="Tilbake til innholdsfortegnelsen" xr:uid="{00000000-0004-0000-0800-000000000000}"/>
  </hyperlinks>
  <pageMargins left="0.78740157480314965" right="0.78740157480314965" top="0.98425196850393704" bottom="0.19685039370078741" header="3.937007874015748E-2" footer="3.937007874015748E-2"/>
  <pageSetup paperSize="9" scale="94"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ee22af-2dda-43e0-a8b0-46d4ab82b360">
      <Terms xmlns="http://schemas.microsoft.com/office/infopath/2007/PartnerControls"/>
    </lcf76f155ced4ddcb4097134ff3c332f>
    <TaxCatchAll xmlns="dfb549d9-2242-4234-b0a8-7a5fc0b14e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28005F25B72CD418919CD4A2D924673" ma:contentTypeVersion="10" ma:contentTypeDescription="Opprett et nytt dokument." ma:contentTypeScope="" ma:versionID="0aec674f7a21cf193f019d329f8d29b4">
  <xsd:schema xmlns:xsd="http://www.w3.org/2001/XMLSchema" xmlns:xs="http://www.w3.org/2001/XMLSchema" xmlns:p="http://schemas.microsoft.com/office/2006/metadata/properties" xmlns:ns2="96ee22af-2dda-43e0-a8b0-46d4ab82b360" xmlns:ns3="dfb549d9-2242-4234-b0a8-7a5fc0b14e8e" targetNamespace="http://schemas.microsoft.com/office/2006/metadata/properties" ma:root="true" ma:fieldsID="365cbe2ac6f7ada105616fe6e4ac1e73" ns2:_="" ns3:_="">
    <xsd:import namespace="96ee22af-2dda-43e0-a8b0-46d4ab82b360"/>
    <xsd:import namespace="dfb549d9-2242-4234-b0a8-7a5fc0b14e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e22af-2dda-43e0-a8b0-46d4ab82b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d0b69f77-55ff-434e-ae2e-5cb16f27438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b549d9-2242-4234-b0a8-7a5fc0b14e8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4f1b9a-eff7-4835-b010-10ba3cda1d5c}" ma:internalName="TaxCatchAll" ma:showField="CatchAllData" ma:web="dfb549d9-2242-4234-b0a8-7a5fc0b14e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E61A67-2711-49FE-85CB-2801689949E3}">
  <ds:schemaRefs>
    <ds:schemaRef ds:uri="http://schemas.microsoft.com/sharepoint/v3/contenttype/forms"/>
  </ds:schemaRefs>
</ds:datastoreItem>
</file>

<file path=customXml/itemProps2.xml><?xml version="1.0" encoding="utf-8"?>
<ds:datastoreItem xmlns:ds="http://schemas.openxmlformats.org/officeDocument/2006/customXml" ds:itemID="{B62F823F-3175-4A0E-A017-4B3D6C392160}">
  <ds:schemaRefs>
    <ds:schemaRef ds:uri="http://schemas.microsoft.com/office/2006/metadata/properties"/>
    <ds:schemaRef ds:uri="http://schemas.microsoft.com/office/infopath/2007/PartnerControls"/>
    <ds:schemaRef ds:uri="96ee22af-2dda-43e0-a8b0-46d4ab82b360"/>
    <ds:schemaRef ds:uri="dfb549d9-2242-4234-b0a8-7a5fc0b14e8e"/>
  </ds:schemaRefs>
</ds:datastoreItem>
</file>

<file path=customXml/itemProps3.xml><?xml version="1.0" encoding="utf-8"?>
<ds:datastoreItem xmlns:ds="http://schemas.openxmlformats.org/officeDocument/2006/customXml" ds:itemID="{6A81B0FF-1DA8-4705-94D1-293F6EA7D8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e22af-2dda-43e0-a8b0-46d4ab82b360"/>
    <ds:schemaRef ds:uri="dfb549d9-2242-4234-b0a8-7a5fc0b14e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23</vt:i4>
      </vt:variant>
      <vt:variant>
        <vt:lpstr>Navngitte områder</vt:lpstr>
      </vt:variant>
      <vt:variant>
        <vt:i4>10</vt:i4>
      </vt:variant>
    </vt:vector>
  </HeadingPairs>
  <TitlesOfParts>
    <vt:vector size="33" baseType="lpstr">
      <vt:lpstr>Forside</vt:lpstr>
      <vt:lpstr>Innhold</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hittil_i_aar</vt:lpstr>
      <vt:lpstr>pros_1</vt:lpstr>
      <vt:lpstr>pros_2</vt:lpstr>
      <vt:lpstr>'Tab2'!Utskriftsområde</vt:lpstr>
      <vt:lpstr>'Tab3'!Utskriftsområde</vt:lpstr>
      <vt:lpstr>Utskriftsområde</vt:lpstr>
      <vt:lpstr>aar</vt:lpstr>
      <vt:lpstr>aar_1</vt:lpstr>
      <vt:lpstr>aar_2</vt:lpstr>
      <vt:lpstr>aaret_i_alt</vt:lpstr>
    </vt:vector>
  </TitlesOfParts>
  <Company>FNH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Harald Moseby (kontakt infoavd)</dc:creator>
  <cp:lastModifiedBy>Tobias Abrahamsen</cp:lastModifiedBy>
  <cp:lastPrinted>2014-09-12T11:46:46Z</cp:lastPrinted>
  <dcterms:created xsi:type="dcterms:W3CDTF">2002-02-09T09:48:14Z</dcterms:created>
  <dcterms:modified xsi:type="dcterms:W3CDTF">2026-06-04T11:56:53Z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0x010100C28005F25B72CD418919CD4A2D924673</vt:lpwstr>
  </property>
  <property fmtid="{D5CDD505-2E9C-101B-9397-08002B2CF9AE}" pid="3" name="MediaServiceImageTags">
    <vt:lpwstr/>
  </property>
  <property fmtid="{D5CDD505-2E9C-101B-9397-08002B2CF9AE}" pid="4" name="_ExtendedDescription">
    <vt:lpwstr/>
  </property>
</Properties>
</file>