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M:\Statistikk og analyse\HMoseby\Kvartalstatistikkene\Skadestatistikk\Rapport\"/>
    </mc:Choice>
  </mc:AlternateContent>
  <xr:revisionPtr revIDLastSave="0" documentId="8_{2B79AF88-A7DF-491A-AC99-B53E6051230C}" xr6:coauthVersionLast="47" xr6:coauthVersionMax="47" xr10:uidLastSave="{00000000-0000-0000-0000-000000000000}"/>
  <bookViews>
    <workbookView xWindow="28680" yWindow="-120" windowWidth="29040" windowHeight="1572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5" i="19" l="1"/>
  <c r="T234" i="19"/>
  <c r="T233" i="19"/>
  <c r="T232" i="19"/>
  <c r="T231" i="19"/>
  <c r="T230" i="19"/>
  <c r="T229" i="19"/>
  <c r="T228" i="19"/>
  <c r="T227" i="19"/>
  <c r="T226" i="19"/>
  <c r="T225" i="19"/>
  <c r="T224" i="19"/>
  <c r="T223" i="19"/>
  <c r="T222" i="19"/>
  <c r="T221" i="19"/>
  <c r="T220" i="19"/>
  <c r="T219" i="19"/>
  <c r="T218" i="19"/>
  <c r="T217" i="19"/>
  <c r="T216" i="19"/>
  <c r="T215" i="19"/>
  <c r="T214" i="19"/>
  <c r="T213" i="19"/>
  <c r="T212" i="19"/>
  <c r="T211" i="19"/>
  <c r="T210" i="19"/>
  <c r="T209" i="19"/>
  <c r="T208" i="19"/>
  <c r="Q235" i="19"/>
  <c r="Q234" i="19"/>
  <c r="Q233" i="19"/>
  <c r="Q232" i="19"/>
  <c r="Q231" i="19"/>
  <c r="Q230" i="19"/>
  <c r="Q229" i="19"/>
  <c r="Q228" i="19"/>
  <c r="Q227" i="19"/>
  <c r="Q226" i="19"/>
  <c r="Q225" i="19"/>
  <c r="Q224" i="19"/>
  <c r="Q223" i="19"/>
  <c r="Q222" i="19"/>
  <c r="Q221" i="19"/>
  <c r="Q220" i="19"/>
  <c r="Q219" i="19"/>
  <c r="Q218" i="19"/>
  <c r="Q217" i="19"/>
  <c r="Q216" i="19"/>
  <c r="Q215" i="19"/>
  <c r="Q214" i="19"/>
  <c r="Q213" i="19"/>
  <c r="Q212" i="19"/>
  <c r="Q211" i="19"/>
  <c r="N235" i="19"/>
  <c r="N234" i="19"/>
  <c r="N233" i="19"/>
  <c r="N232" i="19"/>
  <c r="N231" i="19"/>
  <c r="N230" i="19"/>
  <c r="N229" i="19"/>
  <c r="N228" i="19"/>
  <c r="N227" i="19"/>
  <c r="N226" i="19"/>
  <c r="N225" i="19"/>
  <c r="N224" i="19"/>
  <c r="N223" i="19"/>
  <c r="N222" i="19"/>
  <c r="N221" i="19"/>
  <c r="N220" i="19"/>
  <c r="N219" i="19"/>
  <c r="N218" i="19"/>
  <c r="N217" i="19"/>
  <c r="N216" i="19"/>
  <c r="N215" i="19"/>
  <c r="N214" i="19"/>
  <c r="D235" i="19"/>
  <c r="C235" i="19"/>
  <c r="D234" i="19"/>
  <c r="D233" i="19"/>
  <c r="D232" i="19"/>
  <c r="D231" i="19"/>
  <c r="D230" i="19"/>
  <c r="D229" i="19"/>
  <c r="D228" i="19"/>
  <c r="D227" i="19"/>
  <c r="D226" i="19"/>
  <c r="D225" i="19"/>
  <c r="D224" i="19"/>
  <c r="D223" i="19"/>
  <c r="D222" i="19"/>
  <c r="D221" i="19"/>
  <c r="D220" i="19"/>
  <c r="D219" i="19"/>
  <c r="C234" i="19"/>
  <c r="C233" i="19"/>
  <c r="C232" i="19"/>
  <c r="C231" i="19"/>
  <c r="C230" i="19"/>
  <c r="C229" i="19"/>
  <c r="C228" i="19"/>
  <c r="C227" i="19"/>
  <c r="C226" i="19"/>
  <c r="C225" i="19"/>
  <c r="C224" i="19"/>
  <c r="C223" i="19"/>
  <c r="C222" i="19"/>
  <c r="C221" i="19"/>
  <c r="C220" i="19"/>
  <c r="C219" i="19"/>
  <c r="B124" i="21" l="1"/>
  <c r="S239" i="19"/>
  <c r="S237" i="19" s="1"/>
  <c r="W103" i="19"/>
  <c r="Y106" i="19"/>
  <c r="Y87" i="19"/>
  <c r="W86" i="19"/>
  <c r="Y83" i="19"/>
  <c r="X83" i="19"/>
  <c r="Y130" i="19"/>
  <c r="X130" i="19"/>
  <c r="W122" i="19"/>
  <c r="Y133" i="19"/>
  <c r="X133" i="19"/>
  <c r="Y125" i="19"/>
  <c r="R239" i="19"/>
  <c r="R237" i="19" s="1"/>
  <c r="P239" i="19"/>
  <c r="P237" i="19" s="1"/>
  <c r="O239" i="19"/>
  <c r="O237" i="19" s="1"/>
  <c r="M239" i="19"/>
  <c r="M237" i="19" s="1"/>
  <c r="L239" i="19"/>
  <c r="L237" i="19" s="1"/>
  <c r="L238" i="19"/>
  <c r="G238" i="19"/>
  <c r="E238" i="19"/>
  <c r="D218" i="19"/>
  <c r="C218" i="19"/>
  <c r="D217" i="19"/>
  <c r="C217" i="19"/>
  <c r="D216" i="19"/>
  <c r="C216" i="19"/>
  <c r="D215" i="19"/>
  <c r="C215" i="19"/>
  <c r="D214" i="19"/>
  <c r="C214" i="19"/>
  <c r="N213" i="19"/>
  <c r="D213" i="19"/>
  <c r="C213" i="19"/>
  <c r="N212" i="19"/>
  <c r="D212" i="19"/>
  <c r="C212" i="19"/>
  <c r="N211" i="19"/>
  <c r="D211" i="19"/>
  <c r="C211" i="19"/>
  <c r="Q210" i="19"/>
  <c r="N210" i="19"/>
  <c r="D210" i="19"/>
  <c r="C210" i="19"/>
  <c r="Q209" i="19"/>
  <c r="N209" i="19"/>
  <c r="D209" i="19"/>
  <c r="C209"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W133" i="19"/>
  <c r="T133" i="19"/>
  <c r="Q133" i="19"/>
  <c r="N133" i="19"/>
  <c r="Y132" i="19"/>
  <c r="X132" i="19"/>
  <c r="W132" i="19"/>
  <c r="T132" i="19"/>
  <c r="Q132" i="19"/>
  <c r="N132" i="19"/>
  <c r="D132" i="19"/>
  <c r="D133" i="19" s="1"/>
  <c r="C132" i="19"/>
  <c r="C133" i="19" s="1"/>
  <c r="Y131" i="19"/>
  <c r="X131" i="19"/>
  <c r="W131" i="19"/>
  <c r="T131" i="19"/>
  <c r="Q131" i="19"/>
  <c r="N131" i="19"/>
  <c r="T130" i="19"/>
  <c r="Q130" i="19"/>
  <c r="N130" i="19"/>
  <c r="Y129" i="19"/>
  <c r="T129" i="19"/>
  <c r="Q129" i="19"/>
  <c r="N129" i="19"/>
  <c r="T128" i="19"/>
  <c r="Q128" i="19"/>
  <c r="N128" i="19"/>
  <c r="D128" i="19"/>
  <c r="C128" i="19"/>
  <c r="T127" i="19"/>
  <c r="Q127" i="19"/>
  <c r="N127" i="19"/>
  <c r="T126" i="19"/>
  <c r="Q126" i="19"/>
  <c r="N126" i="19"/>
  <c r="T125" i="19"/>
  <c r="Q125" i="19"/>
  <c r="N125" i="19"/>
  <c r="Y124" i="19"/>
  <c r="X124" i="19"/>
  <c r="W124" i="19"/>
  <c r="T124" i="19"/>
  <c r="Q124" i="19"/>
  <c r="N124" i="19"/>
  <c r="D124" i="19"/>
  <c r="C124" i="19"/>
  <c r="Y123" i="19"/>
  <c r="X123" i="19"/>
  <c r="W123" i="19"/>
  <c r="T123" i="19"/>
  <c r="Q123" i="19"/>
  <c r="N123" i="19"/>
  <c r="Y122" i="19"/>
  <c r="X122" i="19"/>
  <c r="T122" i="19"/>
  <c r="Q122" i="19"/>
  <c r="N122" i="19"/>
  <c r="T121" i="19"/>
  <c r="Q121" i="19"/>
  <c r="N121" i="19"/>
  <c r="C121" i="19"/>
  <c r="C122" i="19" s="1"/>
  <c r="T120" i="19"/>
  <c r="Q120" i="19"/>
  <c r="N120" i="19"/>
  <c r="D120" i="19"/>
  <c r="D121" i="19" s="1"/>
  <c r="D122" i="19" s="1"/>
  <c r="C120" i="19"/>
  <c r="T119" i="19"/>
  <c r="Q119" i="19"/>
  <c r="N119" i="19"/>
  <c r="T118" i="19"/>
  <c r="Q118" i="19"/>
  <c r="N118" i="19"/>
  <c r="Y117" i="19"/>
  <c r="X117" i="19"/>
  <c r="W117" i="19"/>
  <c r="T117" i="19"/>
  <c r="Q117" i="19"/>
  <c r="N117" i="19"/>
  <c r="T116" i="19"/>
  <c r="Q116" i="19"/>
  <c r="N116" i="19"/>
  <c r="D116" i="19"/>
  <c r="C116" i="19"/>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X106" i="19"/>
  <c r="W106" i="19"/>
  <c r="T106" i="19"/>
  <c r="Q106" i="19"/>
  <c r="N106" i="19"/>
  <c r="T105" i="19"/>
  <c r="Q105" i="19"/>
  <c r="N105" i="19"/>
  <c r="T104" i="19"/>
  <c r="Q104" i="19"/>
  <c r="N104" i="19"/>
  <c r="Y103" i="19"/>
  <c r="T103" i="19"/>
  <c r="Q103" i="19"/>
  <c r="N103" i="19"/>
  <c r="Y102" i="19"/>
  <c r="X102" i="19"/>
  <c r="W102" i="19"/>
  <c r="N102" i="19"/>
  <c r="Y101" i="19"/>
  <c r="W101" i="19"/>
  <c r="N101" i="19"/>
  <c r="N100" i="19"/>
  <c r="N99" i="19"/>
  <c r="N98" i="19"/>
  <c r="N97" i="19"/>
  <c r="N96" i="19"/>
  <c r="N95" i="19"/>
  <c r="N94" i="19"/>
  <c r="N93" i="19"/>
  <c r="Y92" i="19"/>
  <c r="X92" i="19"/>
  <c r="W92" i="19"/>
  <c r="N92" i="19"/>
  <c r="X91" i="19"/>
  <c r="W91" i="19"/>
  <c r="N91" i="19"/>
  <c r="X90" i="19"/>
  <c r="W90" i="19"/>
  <c r="N90" i="19"/>
  <c r="X89" i="19"/>
  <c r="W89" i="19"/>
  <c r="N89" i="19"/>
  <c r="Y88" i="19"/>
  <c r="X88" i="19"/>
  <c r="W88" i="19"/>
  <c r="N88" i="19"/>
  <c r="X87" i="19"/>
  <c r="W87" i="19"/>
  <c r="N87" i="19"/>
  <c r="Y86" i="19"/>
  <c r="X86" i="19"/>
  <c r="N86" i="19"/>
  <c r="Y85" i="19"/>
  <c r="X85" i="19"/>
  <c r="W85" i="19"/>
  <c r="N85" i="19"/>
  <c r="Y84" i="19"/>
  <c r="X84" i="19"/>
  <c r="W84" i="19"/>
  <c r="N84" i="19"/>
  <c r="W83" i="19"/>
  <c r="N83" i="19"/>
  <c r="N82" i="19"/>
  <c r="N81" i="19"/>
  <c r="N80" i="19"/>
  <c r="N79" i="19"/>
  <c r="N78" i="19"/>
  <c r="Z77" i="19"/>
  <c r="Y77" i="19"/>
  <c r="X77" i="19"/>
  <c r="N77" i="19"/>
  <c r="Z76" i="19"/>
  <c r="Y76" i="19"/>
  <c r="X76" i="19"/>
  <c r="N76" i="19"/>
  <c r="Z75" i="19"/>
  <c r="Y75" i="19"/>
  <c r="X75" i="19"/>
  <c r="N75" i="19"/>
  <c r="Z74" i="19"/>
  <c r="Y74" i="19"/>
  <c r="X74" i="19"/>
  <c r="N74" i="19"/>
  <c r="N73" i="19"/>
  <c r="Z72" i="19"/>
  <c r="Y72" i="19"/>
  <c r="X72" i="19"/>
  <c r="N72" i="19"/>
  <c r="N71" i="19"/>
  <c r="AD61" i="19"/>
  <c r="P61" i="19"/>
  <c r="A61" i="19"/>
  <c r="AD32" i="19"/>
  <c r="B20" i="21" s="1"/>
  <c r="W32" i="19"/>
  <c r="B18" i="21" s="1"/>
  <c r="I32" i="19"/>
  <c r="B14" i="21" s="1"/>
  <c r="A32" i="19"/>
  <c r="AD6" i="19"/>
  <c r="B19" i="21" s="1"/>
  <c r="W6" i="19"/>
  <c r="B17" i="21" s="1"/>
  <c r="I6" i="19"/>
  <c r="B13" i="21" s="1"/>
  <c r="A6" i="19"/>
  <c r="B11" i="21" s="1"/>
  <c r="A51" i="23"/>
  <c r="B123" i="21"/>
  <c r="B61" i="21"/>
  <c r="H24" i="21"/>
  <c r="H26" i="21" s="1"/>
  <c r="B15" i="21"/>
  <c r="B12" i="21"/>
  <c r="Y115" i="19" l="1"/>
  <c r="X78" i="19"/>
  <c r="W115" i="19"/>
  <c r="Y78" i="19"/>
  <c r="W104" i="19"/>
  <c r="Z78" i="19"/>
  <c r="X115" i="19"/>
  <c r="Y104" i="19"/>
  <c r="W93" i="19"/>
  <c r="W95" i="19" s="1"/>
  <c r="X93" i="19"/>
  <c r="X95" i="19" s="1"/>
  <c r="H28" i="21"/>
  <c r="H29" i="21" s="1"/>
  <c r="H31" i="21" s="1"/>
  <c r="H27" i="21"/>
  <c r="Y121" i="19"/>
  <c r="D125" i="19"/>
  <c r="D126" i="19" s="1"/>
  <c r="D129" i="19"/>
  <c r="D130" i="19" s="1"/>
  <c r="H53" i="24"/>
  <c r="A53" i="24"/>
  <c r="Z70" i="19"/>
  <c r="X121" i="19"/>
  <c r="C125" i="19"/>
  <c r="C126" i="19" s="1"/>
  <c r="C129" i="19"/>
  <c r="C130" i="19" s="1"/>
  <c r="A62" i="19"/>
  <c r="I62" i="19"/>
  <c r="I61" i="19"/>
  <c r="AD62" i="19"/>
  <c r="Y89" i="19"/>
  <c r="Y91" i="19"/>
  <c r="X101" i="19"/>
  <c r="C117" i="19"/>
  <c r="C118" i="19" s="1"/>
  <c r="W125" i="19"/>
  <c r="W128" i="19"/>
  <c r="W129" i="19"/>
  <c r="W130" i="19"/>
  <c r="D117" i="19"/>
  <c r="D118" i="19" s="1"/>
  <c r="X125" i="19"/>
  <c r="X128" i="19"/>
  <c r="X129" i="19"/>
  <c r="W82" i="19"/>
  <c r="W100" i="19" s="1"/>
  <c r="W111" i="19" s="1"/>
  <c r="Y82" i="19"/>
  <c r="Y100" i="19" s="1"/>
  <c r="Y111" i="19" s="1"/>
  <c r="B62" i="21"/>
  <c r="P32" i="19"/>
  <c r="B16" i="21" s="1"/>
  <c r="Y90" i="19"/>
  <c r="A52" i="23"/>
  <c r="P62" i="19"/>
  <c r="W62" i="19"/>
  <c r="X70" i="19"/>
  <c r="H52" i="24"/>
  <c r="A52" i="24"/>
  <c r="W61" i="19"/>
  <c r="Y70" i="19"/>
  <c r="X103" i="19"/>
  <c r="W121" i="19"/>
  <c r="Y128" i="19"/>
  <c r="X82" i="19"/>
  <c r="X100" i="19" s="1"/>
  <c r="X111" i="19" s="1"/>
  <c r="S238" i="19"/>
  <c r="Y93" i="19" l="1"/>
  <c r="Y95" i="19" s="1"/>
  <c r="X104" i="19"/>
  <c r="H33" i="21"/>
  <c r="H34" i="21" s="1"/>
  <c r="H35" i="21" s="1"/>
  <c r="H36" i="21" s="1"/>
  <c r="H37" i="21" s="1"/>
  <c r="H38" i="21" s="1"/>
  <c r="H40" i="21" s="1"/>
  <c r="H32" i="21"/>
  <c r="P238" i="19"/>
  <c r="R238" i="19"/>
  <c r="M238" i="19"/>
  <c r="O238" i="19"/>
  <c r="H43" i="21" l="1"/>
  <c r="H41" i="21"/>
  <c r="H44" i="21" l="1"/>
  <c r="H45" i="21"/>
  <c r="H46" i="21" s="1"/>
  <c r="H47" i="21" s="1"/>
  <c r="H48" i="21" s="1"/>
  <c r="H66" i="21" s="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<sst xmlns="http://schemas.openxmlformats.org/spreadsheetml/2006/main" count="1536" uniqueCount="244">
  <si>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</si>
  <si>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</si>
  <si>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</si>
  <si>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</si>
  <si>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</si>
  <si>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</si>
  <si>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</si>
  <si>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</si>
  <si>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</si>
  <si>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</si>
  <si>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</si>
  <si>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</si>
  <si>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</si>
  <si>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</si>
  <si>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</si>
  <si>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</si>
  <si>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</si>
  <si>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</si>
  <si>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</si>
  <si>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</si>
  <si>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</si>
  <si>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</si>
  <si>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</si>
  <si>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</si>
  <si>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</si>
  <si>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</si>
  <si>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</si>
  <si>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</si>
  <si>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</si>
  <si>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</si>
  <si>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</si>
  <si>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</si>
  <si>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</si>
  <si>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</si>
  <si>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</si>
  <si>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</si>
  <si>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</si>
  <si>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</si>
  <si>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</si>
  <si>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</si>
  <si>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</si>
  <si>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</si>
  <si>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</si>
  <si>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</si>
  <si>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</si>
  <si>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</si>
  <si>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</si>
  <si>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</si>
  <si>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</si>
  <si>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</si>
  <si>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</si>
  <si>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</si>
  <si>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</si>
  <si>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</si>
  <si>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</si>
  <si>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</si>
  <si>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</si>
  <si>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</si>
  <si>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</si>
  <si>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</si>
  <si>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</si>
  <si>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</si>
  <si>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</si>
  <si>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</si>
  <si>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</si>
  <si>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</si>
  <si>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</si>
  <si>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</si>
  <si>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</si>
  <si>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</si>
  <si>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</si>
  <si>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</si>
  <si>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</si>
  <si>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</si>
  <si>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</si>
  <si>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</si>
  <si>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</si>
  <si>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</si>
  <si>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</si>
  <si>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</si>
  <si>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</si>
  <si>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</si>
  <si>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</si>
  <si>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</si>
  <si>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</si>
  <si>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</si>
  <si>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</si>
  <si>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</si>
  <si>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</si>
  <si>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</si>
  <si>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</si>
  <si>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</si>
  <si>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</si>
  <si>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</si>
  <si>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</si>
  <si>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</si>
  <si>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</si>
  <si>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</si>
  <si>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</si>
  <si>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</si>
  <si>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</si>
  <si>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</si>
  <si>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</si>
  <si>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</si>
  <si>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</si>
  <si>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</si>
  <si>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</si>
  <si>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</si>
  <si>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</si>
  <si>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</si>
  <si>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</si>
  <si>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</si>
  <si>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</si>
  <si>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</si>
  <si>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</si>
  <si>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</si>
  <si>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</si>
  <si>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</si>
  <si>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</si>
  <si>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</si>
  <si>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</si>
  <si>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</si>
  <si>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</si>
  <si>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</si>
  <si>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</si>
  <si>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</si>
  <si>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</si>
  <si>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</si>
  <si>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</si>
  <si>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</si>
  <si>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</si>
  <si>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</si>
  <si>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</si>
  <si>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</si>
  <si>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</si>
  <si>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</si>
  <si>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</si>
  <si>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</si>
  <si>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</si>
  <si>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</si>
  <si>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</si>
  <si>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</si>
  <si>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</si>
  <si>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</si>
  <si>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</si>
  <si>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</si>
  <si>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</si>
  <si>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</si>
  <si>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</si>
  <si>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</si>
  <si>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</si>
  <si>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</si>
  <si>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</si>
  <si>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</si>
  <si>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</si>
  <si>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</si>
  <si>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</si>
  <si>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</si>
  <si>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</si>
  <si>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</si>
  <si>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</si>
  <si>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</si>
  <si>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</si>
  <si>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</si>
  <si>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</si>
  <si>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</si>
  <si>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</si>
  <si>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</si>
  <si>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</si>
  <si>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</si>
  <si>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</si>
  <si>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</si>
  <si>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</si>
  <si>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</si>
  <si>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</si>
  <si>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</si>
  <si>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</si>
  <si>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</si>
  <si>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</si>
  <si>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</si>
  <si>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</si>
  <si>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</si>
  <si>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</si>
  <si>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</si>
  <si>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</si>
  <si>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</si>
  <si>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</si>
  <si>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</si>
  <si>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</si>
  <si>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</si>
  <si>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</si>
  <si>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</si>
  <si>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</si>
  <si>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</si>
  <si>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</si>
  <si>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</si>
  <si>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</si>
  <si>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</si>
  <si>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</si>
  <si>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</si>
  <si>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</si>
  <si>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</si>
  <si>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</si>
  <si>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</si>
  <si>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</si>
  <si>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</si>
  <si>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</si>
  <si>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</si>
  <si>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</si>
  <si>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</si>
  <si>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</si>
  <si>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</si>
  <si>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</si>
  <si>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</si>
  <si>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</si>
  <si>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</si>
  <si>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</si>
  <si>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</si>
  <si>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</si>
  <si>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</si>
  <si>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</si>
  <si>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</si>
  <si>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</si>
  <si>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</si>
  <si>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</si>
  <si>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</si>
  <si>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</si>
  <si>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</si>
  <si>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</si>
  <si>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</si>
  <si>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</si>
  <si>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(2019)</t>
  </si>
  <si>
    <t xml:space="preserve">NB. Datagrunnlaget er levert fra Finans Norges medlemsselskaper. Enkelte tall kan bli justert i </t>
  </si>
  <si>
    <t xml:space="preserve">etterkant dersom et selskap oppdager feil eller mangler ved sine data. For mer detaljert beskrivelse </t>
  </si>
  <si>
    <t>2022</t>
  </si>
  <si>
    <t>2023</t>
  </si>
  <si>
    <t>2024</t>
  </si>
  <si>
    <t>22-24</t>
  </si>
  <si>
    <t>23-24</t>
  </si>
  <si>
    <t>*</t>
  </si>
  <si>
    <t>Hittil i år</t>
  </si>
  <si>
    <t>Finans Norge / Skadeforsikringsstatistikk</t>
  </si>
  <si>
    <t>Skadestatistikk for landbasert forsikring 1. kvartal 2024</t>
  </si>
  <si>
    <t>av statistikkens innhold henviser vi til side 27 og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</si>
</sst>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cellStyleXfs>
  <cellXfs count="220">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13" fillId="0" borderId="0" xfId="0" applyFont="1"/>
    <xf numFmtId="0" fontId="13" fillId="0" borderId="6" xfId="0" applyFont="1" applyBorder="1"/>
    <xf numFmtId="0" fontId="26" fillId="0" borderId="0" xfId="15" applyFont="1"/>
    <xf numFmtId="0" fontId="3" fillId="0" borderId="0" xfId="15"/>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 fontId="42" fillId="0" borderId="0" xfId="0" applyNumberFormat="1" applyFont="1"/>
    <xf numFmtId="167" fontId="39" fillId="0" borderId="0" xfId="0" applyNumberFormat="1" applyFont="1"/>
    <xf numFmtId="3" fontId="39" fillId="0" borderId="0" xfId="0" applyNumberFormat="1" applyFont="1"/>
    <xf numFmtId="169" fontId="42" fillId="0" borderId="0" xfId="0" applyNumberFormat="1" applyFont="1"/>
    <xf numFmtId="170" fontId="42" fillId="0" borderId="0" xfId="0" applyNumberFormat="1" applyFont="1"/>
    <xf numFmtId="167"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170" fontId="39" fillId="0" borderId="0" xfId="0" applyNumberFormat="1" applyFont="1"/>
    <xf numFmtId="3" fontId="39" fillId="0" borderId="0" xfId="0" applyNumberFormat="1" applyFont="1" applyBorder="1"/>
    <xf numFmtId="167" fontId="39" fillId="0" borderId="0" xfId="0" applyNumberFormat="1" applyFont="1" applyBorder="1"/>
    <xf numFmtId="171" fontId="39" fillId="0" borderId="0" xfId="0" applyNumberFormat="1" applyFont="1"/>
    <xf numFmtId="1" fontId="39" fillId="0" borderId="0" xfId="0" applyNumberFormat="1" applyFont="1"/>
    <xf numFmtId="169" fontId="39" fillId="0" borderId="0" xfId="0" applyNumberFormat="1"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7" fontId="39" fillId="0" borderId="28" xfId="0" applyNumberFormat="1" applyFont="1" applyBorder="1"/>
    <xf numFmtId="3" fontId="39" fillId="3" borderId="0" xfId="0" applyNumberFormat="1" applyFont="1" applyFill="1"/>
    <xf numFmtId="167"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'Tab2'!$B$71:$B$235</c:f>
              <c:numCache>
                <c:formatCode>General</c:formatCode>
                <c:ptCount val="16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numCache>
            </c:numRef>
          </c:cat>
          <c:val>
            <c:numRef>
              <c:f>'Tab2'!$C$71:$C$235</c:f>
              <c:numCache>
                <c:formatCode>General</c:formatCode>
                <c:ptCount val="165"/>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pt idx="155" formatCode="0.000">
                  <c:v>240.67364342301937</c:v>
                </c:pt>
                <c:pt idx="156" formatCode="0.000">
                  <c:v>258.31884641255607</c:v>
                </c:pt>
                <c:pt idx="157" formatCode="0.000">
                  <c:v>242.59168475336321</c:v>
                </c:pt>
                <c:pt idx="158" formatCode="0.000">
                  <c:v>236.3725230941705</c:v>
                </c:pt>
                <c:pt idx="159" formatCode="0.000">
                  <c:v>270.36808991031376</c:v>
                </c:pt>
                <c:pt idx="160" formatCode="0.000">
                  <c:v>302.38750433482812</c:v>
                </c:pt>
                <c:pt idx="161" formatCode="0.000">
                  <c:v>288.71155948488058</c:v>
                </c:pt>
                <c:pt idx="162" formatCode="0.000">
                  <c:v>250.48845860181598</c:v>
                </c:pt>
                <c:pt idx="163" formatCode="0.000">
                  <c:v>247.76441726457392</c:v>
                </c:pt>
                <c:pt idx="164" formatCode="0.000">
                  <c:v>322.60336023916295</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'Tab2'!$B$71:$B$235</c:f>
              <c:numCache>
                <c:formatCode>General</c:formatCode>
                <c:ptCount val="16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numCache>
            </c:numRef>
          </c:cat>
          <c:val>
            <c:numRef>
              <c:f>'Tab2'!$D$71:$D$235</c:f>
              <c:numCache>
                <c:formatCode>General</c:formatCode>
                <c:ptCount val="165"/>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200.9504247085203</c:v>
                </c:pt>
                <c:pt idx="155" formatCode="0.000">
                  <c:v>222.83402473841534</c:v>
                </c:pt>
                <c:pt idx="156" formatCode="0.000">
                  <c:v>238.37852713004486</c:v>
                </c:pt>
                <c:pt idx="157" formatCode="0.000">
                  <c:v>221.26676780269054</c:v>
                </c:pt>
                <c:pt idx="158" formatCode="0.000">
                  <c:v>212.27484847533628</c:v>
                </c:pt>
                <c:pt idx="159" formatCode="0.000">
                  <c:v>251.76894192825125</c:v>
                </c:pt>
                <c:pt idx="160" formatCode="0.000">
                  <c:v>281.08376346786247</c:v>
                </c:pt>
                <c:pt idx="161" formatCode="0.000">
                  <c:v>265.48782727255423</c:v>
                </c:pt>
                <c:pt idx="162" formatCode="0.000">
                  <c:v>227.83168719680316</c:v>
                </c:pt>
                <c:pt idx="163" formatCode="0.000">
                  <c:v>222.81360381165916</c:v>
                </c:pt>
                <c:pt idx="164" formatCode="0.000">
                  <c:v>297.48140819133039</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'Tab2'!$K$103:$K$235</c:f>
              <c:numCache>
                <c:formatCode>General</c:formatCode>
                <c:ptCount val="133"/>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'Tab2'!$T$103:$T$235</c:f>
              <c:numCache>
                <c:formatCode>#\ ##0.0</c:formatCode>
                <c:ptCount val="133"/>
                <c:pt idx="0">
                  <c:v>253.46852923976613</c:v>
                </c:pt>
                <c:pt idx="1">
                  <c:v>315.36018764434186</c:v>
                </c:pt>
                <c:pt idx="2">
                  <c:v>366.51901558891467</c:v>
                </c:pt>
                <c:pt idx="3">
                  <c:v>328.26904352806423</c:v>
                </c:pt>
                <c:pt idx="4">
                  <c:v>319.55204285714291</c:v>
                </c:pt>
                <c:pt idx="5">
                  <c:v>291.98140519187365</c:v>
                </c:pt>
                <c:pt idx="6">
                  <c:v>382.64073562570468</c:v>
                </c:pt>
                <c:pt idx="7">
                  <c:v>189.77469764837628</c:v>
                </c:pt>
                <c:pt idx="8">
                  <c:v>302.7423858574611</c:v>
                </c:pt>
                <c:pt idx="9">
                  <c:v>326.19288546255518</c:v>
                </c:pt>
                <c:pt idx="10">
                  <c:v>370.85471026490069</c:v>
                </c:pt>
                <c:pt idx="11">
                  <c:v>280.02509615384622</c:v>
                </c:pt>
                <c:pt idx="12">
                  <c:v>275.25871153846157</c:v>
                </c:pt>
                <c:pt idx="13">
                  <c:v>331.43785714285718</c:v>
                </c:pt>
                <c:pt idx="14">
                  <c:v>369.69238327904475</c:v>
                </c:pt>
                <c:pt idx="15">
                  <c:v>358.66272138228948</c:v>
                </c:pt>
                <c:pt idx="16">
                  <c:v>303.67840738758036</c:v>
                </c:pt>
                <c:pt idx="17">
                  <c:v>351.29926142401706</c:v>
                </c:pt>
                <c:pt idx="18">
                  <c:v>368.91361052072256</c:v>
                </c:pt>
                <c:pt idx="19">
                  <c:v>337.81625000000037</c:v>
                </c:pt>
                <c:pt idx="20">
                  <c:v>326.58842356687904</c:v>
                </c:pt>
                <c:pt idx="21">
                  <c:v>358.51883017875923</c:v>
                </c:pt>
                <c:pt idx="22">
                  <c:v>378.26627225130898</c:v>
                </c:pt>
                <c:pt idx="23">
                  <c:v>302.41547248182786</c:v>
                </c:pt>
                <c:pt idx="24">
                  <c:v>298.98898766700933</c:v>
                </c:pt>
                <c:pt idx="25">
                  <c:v>356.11284032753326</c:v>
                </c:pt>
                <c:pt idx="26">
                  <c:v>315.20584442169923</c:v>
                </c:pt>
                <c:pt idx="27">
                  <c:v>291.39612042682916</c:v>
                </c:pt>
                <c:pt idx="28">
                  <c:v>289.22306646525686</c:v>
                </c:pt>
                <c:pt idx="29">
                  <c:v>317.27293380140429</c:v>
                </c:pt>
                <c:pt idx="30">
                  <c:v>325.33679358717444</c:v>
                </c:pt>
                <c:pt idx="31">
                  <c:v>316.58355014895727</c:v>
                </c:pt>
                <c:pt idx="32">
                  <c:v>248.70750493096651</c:v>
                </c:pt>
                <c:pt idx="33">
                  <c:v>301.7816364970646</c:v>
                </c:pt>
                <c:pt idx="34">
                  <c:v>346.82829646017717</c:v>
                </c:pt>
                <c:pt idx="35">
                  <c:v>287.66397584541056</c:v>
                </c:pt>
                <c:pt idx="36">
                  <c:v>293.22834608030598</c:v>
                </c:pt>
                <c:pt idx="37">
                  <c:v>271.93562083729785</c:v>
                </c:pt>
                <c:pt idx="38">
                  <c:v>285.24752374169043</c:v>
                </c:pt>
                <c:pt idx="39">
                  <c:v>311.84562265917612</c:v>
                </c:pt>
                <c:pt idx="40">
                  <c:v>234.50480396678969</c:v>
                </c:pt>
                <c:pt idx="41">
                  <c:v>268.96804060218983</c:v>
                </c:pt>
                <c:pt idx="42">
                  <c:v>227.13079324699356</c:v>
                </c:pt>
                <c:pt idx="43">
                  <c:v>368.38628104875806</c:v>
                </c:pt>
                <c:pt idx="44">
                  <c:v>280.47753202195798</c:v>
                </c:pt>
                <c:pt idx="45">
                  <c:v>328.82637500000004</c:v>
                </c:pt>
                <c:pt idx="46">
                  <c:v>260.77038093065698</c:v>
                </c:pt>
                <c:pt idx="47">
                  <c:v>270.73923423423446</c:v>
                </c:pt>
                <c:pt idx="48">
                  <c:v>247.3653795811519</c:v>
                </c:pt>
                <c:pt idx="49">
                  <c:v>280.29567230632239</c:v>
                </c:pt>
                <c:pt idx="50">
                  <c:v>261.36314566577306</c:v>
                </c:pt>
                <c:pt idx="51">
                  <c:v>303.89934946714055</c:v>
                </c:pt>
                <c:pt idx="52">
                  <c:v>246.11857682060392</c:v>
                </c:pt>
                <c:pt idx="53">
                  <c:v>312.00064373897715</c:v>
                </c:pt>
                <c:pt idx="54">
                  <c:v>220.43474336283177</c:v>
                </c:pt>
                <c:pt idx="55">
                  <c:v>221.35466447368438</c:v>
                </c:pt>
                <c:pt idx="56">
                  <c:v>217.57895998240988</c:v>
                </c:pt>
                <c:pt idx="57">
                  <c:v>205.064181857639</c:v>
                </c:pt>
                <c:pt idx="58">
                  <c:v>205.91526933101645</c:v>
                </c:pt>
                <c:pt idx="59">
                  <c:v>189.62814655172426</c:v>
                </c:pt>
                <c:pt idx="60">
                  <c:v>200.07778301886796</c:v>
                </c:pt>
                <c:pt idx="61">
                  <c:v>231.37583333333336</c:v>
                </c:pt>
                <c:pt idx="62">
                  <c:v>220.67385549872131</c:v>
                </c:pt>
                <c:pt idx="63">
                  <c:v>187.58126680672268</c:v>
                </c:pt>
                <c:pt idx="64">
                  <c:v>220.69374893617027</c:v>
                </c:pt>
                <c:pt idx="65">
                  <c:v>210.8208579881657</c:v>
                </c:pt>
                <c:pt idx="66">
                  <c:v>201.06414898132428</c:v>
                </c:pt>
                <c:pt idx="67">
                  <c:v>183.1191307947021</c:v>
                </c:pt>
                <c:pt idx="68">
                  <c:v>203.45111361771947</c:v>
                </c:pt>
                <c:pt idx="69">
                  <c:v>239.21781147540989</c:v>
                </c:pt>
                <c:pt idx="70">
                  <c:v>234.43758935824533</c:v>
                </c:pt>
                <c:pt idx="71">
                  <c:v>334.90827586206922</c:v>
                </c:pt>
                <c:pt idx="72">
                  <c:v>264.21023200000002</c:v>
                </c:pt>
                <c:pt idx="73">
                  <c:v>289.97402346857604</c:v>
                </c:pt>
                <c:pt idx="74">
                  <c:v>286.34416666666664</c:v>
                </c:pt>
                <c:pt idx="75">
                  <c:v>338.20247235387063</c:v>
                </c:pt>
                <c:pt idx="76">
                  <c:v>292.60305555555567</c:v>
                </c:pt>
                <c:pt idx="77">
                  <c:v>242.2758107059737</c:v>
                </c:pt>
                <c:pt idx="78">
                  <c:v>243.2702288732394</c:v>
                </c:pt>
                <c:pt idx="79">
                  <c:v>246.17083333333338</c:v>
                </c:pt>
                <c:pt idx="80">
                  <c:v>186.19833909370206</c:v>
                </c:pt>
                <c:pt idx="81">
                  <c:v>233.89849999999998</c:v>
                </c:pt>
                <c:pt idx="82">
                  <c:v>200.27839837712514</c:v>
                </c:pt>
                <c:pt idx="83">
                  <c:v>214.97534859789391</c:v>
                </c:pt>
                <c:pt idx="84">
                  <c:v>206.70526661390477</c:v>
                </c:pt>
                <c:pt idx="85">
                  <c:v>216.66753755742982</c:v>
                </c:pt>
                <c:pt idx="86">
                  <c:v>226.43734203454804</c:v>
                </c:pt>
                <c:pt idx="87">
                  <c:v>223.4626646914104</c:v>
                </c:pt>
                <c:pt idx="88">
                  <c:v>195.49536039407946</c:v>
                </c:pt>
                <c:pt idx="89">
                  <c:v>203.19909709930758</c:v>
                </c:pt>
                <c:pt idx="90">
                  <c:v>199.02269081395056</c:v>
                </c:pt>
                <c:pt idx="91">
                  <c:v>206.20028298894448</c:v>
                </c:pt>
                <c:pt idx="92">
                  <c:v>188.40155249024568</c:v>
                </c:pt>
                <c:pt idx="93">
                  <c:v>189.60703887958056</c:v>
                </c:pt>
                <c:pt idx="94">
                  <c:v>200.17197232846354</c:v>
                </c:pt>
                <c:pt idx="95">
                  <c:v>197.05606342783966</c:v>
                </c:pt>
                <c:pt idx="96">
                  <c:v>173.90126364994546</c:v>
                </c:pt>
                <c:pt idx="97">
                  <c:v>187.36790906014113</c:v>
                </c:pt>
                <c:pt idx="98">
                  <c:v>145.44142458365704</c:v>
                </c:pt>
                <c:pt idx="99">
                  <c:v>173.33725510951479</c:v>
                </c:pt>
                <c:pt idx="100">
                  <c:v>139.59364823817504</c:v>
                </c:pt>
                <c:pt idx="101">
                  <c:v>163.83343584734951</c:v>
                </c:pt>
                <c:pt idx="102">
                  <c:v>159.01408254960663</c:v>
                </c:pt>
                <c:pt idx="103">
                  <c:v>156.13735646956613</c:v>
                </c:pt>
                <c:pt idx="104">
                  <c:v>149.35205161962352</c:v>
                </c:pt>
                <c:pt idx="105">
                  <c:v>126.05536571070488</c:v>
                </c:pt>
                <c:pt idx="106">
                  <c:v>134.61072640868974</c:v>
                </c:pt>
                <c:pt idx="107">
                  <c:v>129.43753369272241</c:v>
                </c:pt>
                <c:pt idx="108">
                  <c:v>120.03520374081499</c:v>
                </c:pt>
                <c:pt idx="109">
                  <c:v>139.311727707377</c:v>
                </c:pt>
                <c:pt idx="110">
                  <c:v>152.84406014765958</c:v>
                </c:pt>
                <c:pt idx="111">
                  <c:v>117.52407407103401</c:v>
                </c:pt>
                <c:pt idx="112">
                  <c:v>123.08075453827793</c:v>
                </c:pt>
                <c:pt idx="113">
                  <c:v>141.8170597892684</c:v>
                </c:pt>
                <c:pt idx="114">
                  <c:v>144.98096459642431</c:v>
                </c:pt>
                <c:pt idx="115">
                  <c:v>132.18263076457498</c:v>
                </c:pt>
                <c:pt idx="116">
                  <c:v>145.26349253092982</c:v>
                </c:pt>
                <c:pt idx="117">
                  <c:v>124.32672386453578</c:v>
                </c:pt>
                <c:pt idx="118">
                  <c:v>156.56425948493131</c:v>
                </c:pt>
                <c:pt idx="119">
                  <c:v>111.96184330568823</c:v>
                </c:pt>
                <c:pt idx="120">
                  <c:v>112.42870167125406</c:v>
                </c:pt>
                <c:pt idx="121">
                  <c:v>111.63189322672167</c:v>
                </c:pt>
                <c:pt idx="122">
                  <c:v>116.58092687295333</c:v>
                </c:pt>
                <c:pt idx="123">
                  <c:v>102.58772603283373</c:v>
                </c:pt>
                <c:pt idx="124">
                  <c:v>114.51574120765106</c:v>
                </c:pt>
                <c:pt idx="125">
                  <c:v>155.70215005901753</c:v>
                </c:pt>
                <c:pt idx="126">
                  <c:v>152.01610431556603</c:v>
                </c:pt>
                <c:pt idx="127">
                  <c:v>147.10257243052038</c:v>
                </c:pt>
                <c:pt idx="128">
                  <c:v>144.65306443564003</c:v>
                </c:pt>
                <c:pt idx="129">
                  <c:v>153.30462058750948</c:v>
                </c:pt>
                <c:pt idx="130">
                  <c:v>202.085508914374</c:v>
                </c:pt>
                <c:pt idx="131">
                  <c:v>159.51872164598228</c:v>
                </c:pt>
                <c:pt idx="132">
                  <c:v>144.79399003074536</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'Tab2'!$K$103:$K$235</c:f>
              <c:numCache>
                <c:formatCode>General</c:formatCode>
                <c:ptCount val="133"/>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'Tab2'!$R$103:$R$235</c:f>
              <c:numCache>
                <c:formatCode>#,##0</c:formatCode>
                <c:ptCount val="133"/>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pt idx="123" formatCode="0">
                  <c:v>8198.4054586074526</c:v>
                </c:pt>
                <c:pt idx="124" formatCode="0">
                  <c:v>6778.6444332298142</c:v>
                </c:pt>
                <c:pt idx="125" formatCode="0">
                  <c:v>11377.755536580467</c:v>
                </c:pt>
                <c:pt idx="126" formatCode="0">
                  <c:v>12116.405554623785</c:v>
                </c:pt>
                <c:pt idx="127" formatCode="0">
                  <c:v>10409.999344870157</c:v>
                </c:pt>
                <c:pt idx="128" formatCode="0">
                  <c:v>7838.5406661490688</c:v>
                </c:pt>
                <c:pt idx="129" formatCode="0">
                  <c:v>11351.137162897225</c:v>
                </c:pt>
                <c:pt idx="130" formatCode="0">
                  <c:v>12525.795886792215</c:v>
                </c:pt>
                <c:pt idx="131" formatCode="0">
                  <c:v>9988.9312779503089</c:v>
                </c:pt>
                <c:pt idx="132" formatCode="0">
                  <c:v>8331.0396847826087</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77.624035555218768</c:v>
                </c:pt>
                <c:pt idx="1">
                  <c:v>533.56324206124907</c:v>
                </c:pt>
                <c:pt idx="2">
                  <c:v>96.625680848188594</c:v>
                </c:pt>
                <c:pt idx="3">
                  <c:v>706.64607784801251</c:v>
                </c:pt>
                <c:pt idx="4" formatCode="0.000">
                  <c:v>5482.7748445120542</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2022</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2505.6769390314967</c:v>
                </c:pt>
                <c:pt idx="1">
                  <c:v>1689.9175000707487</c:v>
                </c:pt>
                <c:pt idx="2">
                  <c:v>455.45258046041744</c:v>
                </c:pt>
                <c:pt idx="3">
                  <c:v>759.55744125825504</c:v>
                </c:pt>
                <c:pt idx="4">
                  <c:v>283.75611025797389</c:v>
                </c:pt>
                <c:pt idx="5">
                  <c:v>414.36619515244865</c:v>
                </c:pt>
                <c:pt idx="6">
                  <c:v>81.147399862018034</c:v>
                </c:pt>
                <c:pt idx="7">
                  <c:v>414.92680469493013</c:v>
                </c:pt>
                <c:pt idx="8">
                  <c:v>25.872207222590546</c:v>
                </c:pt>
                <c:pt idx="9">
                  <c:v>360.98911460955628</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2023</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2558.3572859548399</c:v>
                </c:pt>
                <c:pt idx="1">
                  <c:v>2172.8590638677833</c:v>
                </c:pt>
                <c:pt idx="2">
                  <c:v>480.09060016829699</c:v>
                </c:pt>
                <c:pt idx="3">
                  <c:v>691.94667116029279</c:v>
                </c:pt>
                <c:pt idx="4">
                  <c:v>217.7168526859424</c:v>
                </c:pt>
                <c:pt idx="5">
                  <c:v>619.34148160607799</c:v>
                </c:pt>
                <c:pt idx="6">
                  <c:v>74.038735819343103</c:v>
                </c:pt>
                <c:pt idx="7">
                  <c:v>420.45726599679239</c:v>
                </c:pt>
                <c:pt idx="8">
                  <c:v>20.316945875929974</c:v>
                </c:pt>
                <c:pt idx="9">
                  <c:v>368.30294866867189</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2024</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3932.4092415218524</c:v>
                </c:pt>
                <c:pt idx="1">
                  <c:v>2683.8552665969805</c:v>
                </c:pt>
                <c:pt idx="2">
                  <c:v>556.31455547052394</c:v>
                </c:pt>
                <c:pt idx="3">
                  <c:v>677.20724836542172</c:v>
                </c:pt>
                <c:pt idx="4">
                  <c:v>241.95851461356409</c:v>
                </c:pt>
                <c:pt idx="5">
                  <c:v>758.09987079489167</c:v>
                </c:pt>
                <c:pt idx="6">
                  <c:v>152.26295510110907</c:v>
                </c:pt>
                <c:pt idx="7">
                  <c:v>456.87793273317743</c:v>
                </c:pt>
                <c:pt idx="8">
                  <c:v>67.824454293064562</c:v>
                </c:pt>
                <c:pt idx="9">
                  <c:v>415.53689514468016</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2022</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6900.0468369565215</c:v>
                </c:pt>
                <c:pt idx="1">
                  <c:v>24505.067470355734</c:v>
                </c:pt>
                <c:pt idx="2">
                  <c:v>6778.6444332298142</c:v>
                </c:pt>
                <c:pt idx="3" formatCode="_ * #\ ##0_ ;_ * \-#\ ##0_ ;_ * &quot;-&quot;??_ ;_ @_ ">
                  <c:v>71207.251964443858</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2023</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6557.2362137681157</c:v>
                </c:pt>
                <c:pt idx="1">
                  <c:v>26844.315237154151</c:v>
                </c:pt>
                <c:pt idx="2">
                  <c:v>7838.5406661490688</c:v>
                </c:pt>
                <c:pt idx="3" formatCode="_ * #\ ##0_ ;_ * \-#\ ##0_ ;_ * &quot;-&quot;??_ ;_ @_ ">
                  <c:v>75674.261737361783</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2024</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8194.415441304347</c:v>
                </c:pt>
                <c:pt idx="1">
                  <c:v>43293.220189723317</c:v>
                </c:pt>
                <c:pt idx="2">
                  <c:v>8331.0396847826087</c:v>
                </c:pt>
                <c:pt idx="3" formatCode="_ * #\ ##0_ ;_ * \-#\ ##0_ ;_ * &quot;-&quot;??_ ;_ @_ ">
                  <c:v>82218.660648108969</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2022</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1583.5781374260632</c:v>
                </c:pt>
                <c:pt idx="1">
                  <c:v>1376.8794156428473</c:v>
                </c:pt>
                <c:pt idx="2">
                  <c:v>123.13727232676553</c:v>
                </c:pt>
                <c:pt idx="3">
                  <c:v>1111.9996137065696</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2023</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1683.6496945575757</c:v>
                </c:pt>
                <c:pt idx="1">
                  <c:v>1582.0941255005041</c:v>
                </c:pt>
                <c:pt idx="2">
                  <c:v>165.33913199150734</c:v>
                </c:pt>
                <c:pt idx="3">
                  <c:v>1300.1333977730355</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2024</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1770.5452152039006</c:v>
                </c:pt>
                <c:pt idx="1">
                  <c:v>2872.2760083969697</c:v>
                </c:pt>
                <c:pt idx="2">
                  <c:v>172.94986992488299</c:v>
                </c:pt>
                <c:pt idx="3">
                  <c:v>1800.4934145930793</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2022</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66033.36538461539</c:v>
                </c:pt>
                <c:pt idx="1">
                  <c:v>34271.789724271439</c:v>
                </c:pt>
                <c:pt idx="2">
                  <c:v>55060.821866443432</c:v>
                </c:pt>
                <c:pt idx="3">
                  <c:v>11825.08552317248</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2023</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85249</c:v>
                </c:pt>
                <c:pt idx="1">
                  <c:v>35963.894992936745</c:v>
                </c:pt>
                <c:pt idx="2">
                  <c:v>58109</c:v>
                </c:pt>
                <c:pt idx="3">
                  <c:v>14204.681955725435</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2024</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92765.108974358969</c:v>
                </c:pt>
                <c:pt idx="1">
                  <c:v>48264.131969514645</c:v>
                </c:pt>
                <c:pt idx="2">
                  <c:v>63559.629222693104</c:v>
                </c:pt>
                <c:pt idx="3">
                  <c:v>18591.561395126613</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2022</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1816.3347880299252</c:v>
                </c:pt>
                <c:pt idx="1">
                  <c:v>3173.5819999999999</c:v>
                </c:pt>
                <c:pt idx="2">
                  <c:v>2424.5147755102039</c:v>
                </c:pt>
                <c:pt idx="3">
                  <c:v>4575</c:v>
                </c:pt>
                <c:pt idx="4">
                  <c:v>10160.966666666667</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2023</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1472.7774314214464</c:v>
                </c:pt>
                <c:pt idx="1">
                  <c:v>3674.7310000000002</c:v>
                </c:pt>
                <c:pt idx="2">
                  <c:v>2566.4587591836735</c:v>
                </c:pt>
                <c:pt idx="3">
                  <c:v>4666</c:v>
                </c:pt>
                <c:pt idx="4">
                  <c:v>10950.025</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2024</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2296.2699501246884</c:v>
                </c:pt>
                <c:pt idx="1">
                  <c:v>3764.605</c:v>
                </c:pt>
                <c:pt idx="2">
                  <c:v>2800.3848653061223</c:v>
                </c:pt>
                <c:pt idx="3">
                  <c:v>7686.2174959451686</c:v>
                </c:pt>
                <c:pt idx="4">
                  <c:v>11726.093333333334</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'Tab2'!$K$71:$K$235</c:f>
              <c:numCache>
                <c:formatCode>General</c:formatCode>
                <c:ptCount val="16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'Tab2'!$N$71:$N$235</c:f>
              <c:numCache>
                <c:formatCode>#\ ##0.0</c:formatCode>
                <c:ptCount val="165"/>
                <c:pt idx="0">
                  <c:v>232.93711431226771</c:v>
                </c:pt>
                <c:pt idx="1">
                  <c:v>195.12114716636202</c:v>
                </c:pt>
                <c:pt idx="2">
                  <c:v>178.43775316455702</c:v>
                </c:pt>
                <c:pt idx="3">
                  <c:v>218.57944395017796</c:v>
                </c:pt>
                <c:pt idx="4">
                  <c:v>234.3888350785341</c:v>
                </c:pt>
                <c:pt idx="5">
                  <c:v>221.71468642611686</c:v>
                </c:pt>
                <c:pt idx="6">
                  <c:v>219.82614565587735</c:v>
                </c:pt>
                <c:pt idx="7">
                  <c:v>245.87666946308727</c:v>
                </c:pt>
                <c:pt idx="8">
                  <c:v>265.70226821192057</c:v>
                </c:pt>
                <c:pt idx="9">
                  <c:v>290.4200772357724</c:v>
                </c:pt>
                <c:pt idx="10">
                  <c:v>257.34633064516134</c:v>
                </c:pt>
                <c:pt idx="11">
                  <c:v>291.86540079365085</c:v>
                </c:pt>
                <c:pt idx="12">
                  <c:v>270.60403906250002</c:v>
                </c:pt>
                <c:pt idx="13">
                  <c:v>289.55786538461541</c:v>
                </c:pt>
                <c:pt idx="14">
                  <c:v>233.05486567164183</c:v>
                </c:pt>
                <c:pt idx="15">
                  <c:v>272.72765693430659</c:v>
                </c:pt>
                <c:pt idx="16">
                  <c:v>297.9497446808511</c:v>
                </c:pt>
                <c:pt idx="17">
                  <c:v>294.02135824022355</c:v>
                </c:pt>
                <c:pt idx="18">
                  <c:v>240.6101279391425</c:v>
                </c:pt>
                <c:pt idx="19">
                  <c:v>283.08503736413047</c:v>
                </c:pt>
                <c:pt idx="20">
                  <c:v>269.4401728723405</c:v>
                </c:pt>
                <c:pt idx="21">
                  <c:v>192.06914276401568</c:v>
                </c:pt>
                <c:pt idx="22">
                  <c:v>299.15253571428576</c:v>
                </c:pt>
                <c:pt idx="23">
                  <c:v>396.29345070422551</c:v>
                </c:pt>
                <c:pt idx="24">
                  <c:v>279.97223700887201</c:v>
                </c:pt>
                <c:pt idx="25">
                  <c:v>226.2845547945206</c:v>
                </c:pt>
                <c:pt idx="26">
                  <c:v>199.11187344913154</c:v>
                </c:pt>
                <c:pt idx="27">
                  <c:v>251.20135135135138</c:v>
                </c:pt>
                <c:pt idx="28">
                  <c:v>268.97061664641564</c:v>
                </c:pt>
                <c:pt idx="29">
                  <c:v>216.38757494004798</c:v>
                </c:pt>
                <c:pt idx="30">
                  <c:v>187.66571684587819</c:v>
                </c:pt>
                <c:pt idx="31">
                  <c:v>218.43595769682733</c:v>
                </c:pt>
                <c:pt idx="32">
                  <c:v>235.71304970760241</c:v>
                </c:pt>
                <c:pt idx="33">
                  <c:v>226.63718533487292</c:v>
                </c:pt>
                <c:pt idx="34">
                  <c:v>237.19092956120102</c:v>
                </c:pt>
                <c:pt idx="35">
                  <c:v>245.22584765177561</c:v>
                </c:pt>
                <c:pt idx="36">
                  <c:v>229.08606285714291</c:v>
                </c:pt>
                <c:pt idx="37">
                  <c:v>197.39341704288947</c:v>
                </c:pt>
                <c:pt idx="38">
                  <c:v>228.082519729425</c:v>
                </c:pt>
                <c:pt idx="39">
                  <c:v>188.2134798432252</c:v>
                </c:pt>
                <c:pt idx="40">
                  <c:v>236.15631124721605</c:v>
                </c:pt>
                <c:pt idx="41">
                  <c:v>196.53462555066088</c:v>
                </c:pt>
                <c:pt idx="42">
                  <c:v>227.06088300220753</c:v>
                </c:pt>
                <c:pt idx="43">
                  <c:v>268.61981868131863</c:v>
                </c:pt>
                <c:pt idx="44">
                  <c:v>321.7309615384616</c:v>
                </c:pt>
                <c:pt idx="45">
                  <c:v>281.26607142857148</c:v>
                </c:pt>
                <c:pt idx="46">
                  <c:v>285.7631297502715</c:v>
                </c:pt>
                <c:pt idx="47">
                  <c:v>235.53969762419021</c:v>
                </c:pt>
                <c:pt idx="48">
                  <c:v>283.77594486081375</c:v>
                </c:pt>
                <c:pt idx="49">
                  <c:v>244.13158607863988</c:v>
                </c:pt>
                <c:pt idx="50">
                  <c:v>296.64539319872472</c:v>
                </c:pt>
                <c:pt idx="51">
                  <c:v>281.65000000000015</c:v>
                </c:pt>
                <c:pt idx="52">
                  <c:v>617.65665605095546</c:v>
                </c:pt>
                <c:pt idx="53">
                  <c:v>382.46352260778139</c:v>
                </c:pt>
                <c:pt idx="54">
                  <c:v>389.2963350785343</c:v>
                </c:pt>
                <c:pt idx="55">
                  <c:v>375.44559190031174</c:v>
                </c:pt>
                <c:pt idx="56">
                  <c:v>406.45308067831456</c:v>
                </c:pt>
                <c:pt idx="57">
                  <c:v>446.01309877175044</c:v>
                </c:pt>
                <c:pt idx="58">
                  <c:v>472.33310388945756</c:v>
                </c:pt>
                <c:pt idx="59">
                  <c:v>421.43026168699197</c:v>
                </c:pt>
                <c:pt idx="60">
                  <c:v>444.59856495468284</c:v>
                </c:pt>
                <c:pt idx="61">
                  <c:v>393.87212888666005</c:v>
                </c:pt>
                <c:pt idx="62">
                  <c:v>400.30705661322651</c:v>
                </c:pt>
                <c:pt idx="63">
                  <c:v>460.10757944389286</c:v>
                </c:pt>
                <c:pt idx="64">
                  <c:v>501.84530325443802</c:v>
                </c:pt>
                <c:pt idx="65">
                  <c:v>504.28302592954998</c:v>
                </c:pt>
                <c:pt idx="66">
                  <c:v>678.57710176991156</c:v>
                </c:pt>
                <c:pt idx="67">
                  <c:v>614.54125120772903</c:v>
                </c:pt>
                <c:pt idx="68">
                  <c:v>512.26103489483751</c:v>
                </c:pt>
                <c:pt idx="69">
                  <c:v>372.01382492863945</c:v>
                </c:pt>
                <c:pt idx="70">
                  <c:v>461.19184472934478</c:v>
                </c:pt>
                <c:pt idx="71">
                  <c:v>703.17561797752819</c:v>
                </c:pt>
                <c:pt idx="72">
                  <c:v>965.02799584870854</c:v>
                </c:pt>
                <c:pt idx="73">
                  <c:v>638.85209854014613</c:v>
                </c:pt>
                <c:pt idx="74">
                  <c:v>573.77394079555995</c:v>
                </c:pt>
                <c:pt idx="75">
                  <c:v>725.94186292548284</c:v>
                </c:pt>
                <c:pt idx="76">
                  <c:v>661.15598124428186</c:v>
                </c:pt>
                <c:pt idx="77">
                  <c:v>575.27012500000012</c:v>
                </c:pt>
                <c:pt idx="78">
                  <c:v>710.93496806569351</c:v>
                </c:pt>
                <c:pt idx="79">
                  <c:v>647.82037387387402</c:v>
                </c:pt>
                <c:pt idx="80">
                  <c:v>847.26021815008733</c:v>
                </c:pt>
                <c:pt idx="81">
                  <c:v>560.17752226179903</c:v>
                </c:pt>
                <c:pt idx="82">
                  <c:v>595.95780831099205</c:v>
                </c:pt>
                <c:pt idx="83">
                  <c:v>649.20825266429836</c:v>
                </c:pt>
                <c:pt idx="84">
                  <c:v>712.21680950266432</c:v>
                </c:pt>
                <c:pt idx="85">
                  <c:v>470.869623015873</c:v>
                </c:pt>
                <c:pt idx="86">
                  <c:v>622.5088119469026</c:v>
                </c:pt>
                <c:pt idx="87">
                  <c:v>581.85431140350931</c:v>
                </c:pt>
                <c:pt idx="88">
                  <c:v>569.49283201407218</c:v>
                </c:pt>
                <c:pt idx="89">
                  <c:v>434.60159722222232</c:v>
                </c:pt>
                <c:pt idx="90">
                  <c:v>603.34519765421373</c:v>
                </c:pt>
                <c:pt idx="91">
                  <c:v>639.39406034482761</c:v>
                </c:pt>
                <c:pt idx="92">
                  <c:v>777.19457547169839</c:v>
                </c:pt>
                <c:pt idx="93">
                  <c:v>569.96500000000003</c:v>
                </c:pt>
                <c:pt idx="94">
                  <c:v>655.81470161977836</c:v>
                </c:pt>
                <c:pt idx="95">
                  <c:v>684.19648739495824</c:v>
                </c:pt>
                <c:pt idx="96">
                  <c:v>856.4077617021278</c:v>
                </c:pt>
                <c:pt idx="97">
                  <c:v>673.31729923922239</c:v>
                </c:pt>
                <c:pt idx="98">
                  <c:v>860.27577674023826</c:v>
                </c:pt>
                <c:pt idx="99">
                  <c:v>727.34713576158913</c:v>
                </c:pt>
                <c:pt idx="100">
                  <c:v>752.17185602953248</c:v>
                </c:pt>
                <c:pt idx="101">
                  <c:v>696.32190983606574</c:v>
                </c:pt>
                <c:pt idx="102">
                  <c:v>909.43663891145468</c:v>
                </c:pt>
                <c:pt idx="103">
                  <c:v>873.41991379310377</c:v>
                </c:pt>
                <c:pt idx="104">
                  <c:v>916.5566960000001</c:v>
                </c:pt>
                <c:pt idx="105">
                  <c:v>744.09823786793982</c:v>
                </c:pt>
                <c:pt idx="106">
                  <c:v>982.93379385964897</c:v>
                </c:pt>
                <c:pt idx="107">
                  <c:v>929.07792061611417</c:v>
                </c:pt>
                <c:pt idx="108">
                  <c:v>2038.020741600895</c:v>
                </c:pt>
                <c:pt idx="109">
                  <c:v>1039.4918033854567</c:v>
                </c:pt>
                <c:pt idx="110">
                  <c:v>1044.4925045359762</c:v>
                </c:pt>
                <c:pt idx="111">
                  <c:v>1068.5602796553428</c:v>
                </c:pt>
                <c:pt idx="112">
                  <c:v>1262.8422894336686</c:v>
                </c:pt>
                <c:pt idx="113">
                  <c:v>918.30950179797094</c:v>
                </c:pt>
                <c:pt idx="114">
                  <c:v>1094.9430710016616</c:v>
                </c:pt>
                <c:pt idx="115">
                  <c:v>922.77887013791155</c:v>
                </c:pt>
                <c:pt idx="116">
                  <c:v>1022.3125963586797</c:v>
                </c:pt>
                <c:pt idx="117">
                  <c:v>747.40401524048468</c:v>
                </c:pt>
                <c:pt idx="118">
                  <c:v>1030.4609811979956</c:v>
                </c:pt>
                <c:pt idx="119">
                  <c:v>970.27659587697508</c:v>
                </c:pt>
                <c:pt idx="120">
                  <c:v>1191.6011500993093</c:v>
                </c:pt>
                <c:pt idx="121">
                  <c:v>1166.8024614799976</c:v>
                </c:pt>
                <c:pt idx="122">
                  <c:v>849.01924796618005</c:v>
                </c:pt>
                <c:pt idx="123">
                  <c:v>1025.5161641839914</c:v>
                </c:pt>
                <c:pt idx="124">
                  <c:v>1011.4347304773464</c:v>
                </c:pt>
                <c:pt idx="125">
                  <c:v>830.58757686280785</c:v>
                </c:pt>
                <c:pt idx="126">
                  <c:v>1221.8383562451722</c:v>
                </c:pt>
                <c:pt idx="127">
                  <c:v>976.93303898235843</c:v>
                </c:pt>
                <c:pt idx="128">
                  <c:v>1071.8224604504062</c:v>
                </c:pt>
                <c:pt idx="129">
                  <c:v>820.82757694813699</c:v>
                </c:pt>
                <c:pt idx="130">
                  <c:v>1086.5421152890067</c:v>
                </c:pt>
                <c:pt idx="131">
                  <c:v>964.72488082787845</c:v>
                </c:pt>
                <c:pt idx="132">
                  <c:v>1109.0270094900277</c:v>
                </c:pt>
                <c:pt idx="133">
                  <c:v>853.6594023952498</c:v>
                </c:pt>
                <c:pt idx="134">
                  <c:v>1497.1667514517083</c:v>
                </c:pt>
                <c:pt idx="135">
                  <c:v>1015.8282660023655</c:v>
                </c:pt>
                <c:pt idx="136">
                  <c:v>1088.9536964869781</c:v>
                </c:pt>
                <c:pt idx="137">
                  <c:v>807.65004901399948</c:v>
                </c:pt>
                <c:pt idx="138">
                  <c:v>953.84319416157507</c:v>
                </c:pt>
                <c:pt idx="139">
                  <c:v>1191.0340801886794</c:v>
                </c:pt>
                <c:pt idx="140">
                  <c:v>1215.8738309953242</c:v>
                </c:pt>
                <c:pt idx="141">
                  <c:v>1106.1212681850081</c:v>
                </c:pt>
                <c:pt idx="142">
                  <c:v>1232.9420612914205</c:v>
                </c:pt>
                <c:pt idx="143">
                  <c:v>1087.81584039173</c:v>
                </c:pt>
                <c:pt idx="144">
                  <c:v>1157.1458163390637</c:v>
                </c:pt>
                <c:pt idx="145">
                  <c:v>1008.9474988452163</c:v>
                </c:pt>
                <c:pt idx="146">
                  <c:v>1404.2292682641942</c:v>
                </c:pt>
                <c:pt idx="147">
                  <c:v>1307.7300780064691</c:v>
                </c:pt>
                <c:pt idx="148">
                  <c:v>1182.3317362318105</c:v>
                </c:pt>
                <c:pt idx="149">
                  <c:v>993.15594837842684</c:v>
                </c:pt>
                <c:pt idx="150">
                  <c:v>1171.8888169995478</c:v>
                </c:pt>
                <c:pt idx="151">
                  <c:v>1232.2531864130899</c:v>
                </c:pt>
                <c:pt idx="152">
                  <c:v>1816.3423510782743</c:v>
                </c:pt>
                <c:pt idx="153">
                  <c:v>1023.2899077310196</c:v>
                </c:pt>
                <c:pt idx="154">
                  <c:v>1100.9257916149293</c:v>
                </c:pt>
                <c:pt idx="155">
                  <c:v>1213.6003770844584</c:v>
                </c:pt>
                <c:pt idx="156">
                  <c:v>1280.4763647637296</c:v>
                </c:pt>
                <c:pt idx="157">
                  <c:v>966.12600857061454</c:v>
                </c:pt>
                <c:pt idx="158">
                  <c:v>1138.3921144393585</c:v>
                </c:pt>
                <c:pt idx="159">
                  <c:v>1421.1179478030451</c:v>
                </c:pt>
                <c:pt idx="160">
                  <c:v>1384.1536526938296</c:v>
                </c:pt>
                <c:pt idx="161">
                  <c:v>1195.5701843595912</c:v>
                </c:pt>
                <c:pt idx="162">
                  <c:v>2227.7392924759279</c:v>
                </c:pt>
                <c:pt idx="163">
                  <c:v>1767.1685653534848</c:v>
                </c:pt>
                <c:pt idx="164">
                  <c:v>2404.6754351767481</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'Tab2'!$K$71:$K$235</c:f>
              <c:numCache>
                <c:formatCode>General</c:formatCode>
                <c:ptCount val="165"/>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'Tab2'!$L$71:$L$235</c:f>
              <c:numCache>
                <c:formatCode>#,##0</c:formatCode>
                <c:ptCount val="165"/>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pt idx="155" formatCode="0">
                  <c:v>23357.504896820246</c:v>
                </c:pt>
                <c:pt idx="156" formatCode="0">
                  <c:v>24505.067470355731</c:v>
                </c:pt>
                <c:pt idx="157" formatCode="0">
                  <c:v>18109.505441201181</c:v>
                </c:pt>
                <c:pt idx="158" formatCode="0">
                  <c:v>22326.885249827203</c:v>
                </c:pt>
                <c:pt idx="159" formatCode="0">
                  <c:v>24565.831590744419</c:v>
                </c:pt>
                <c:pt idx="160" formatCode="0">
                  <c:v>26844.315237154147</c:v>
                </c:pt>
                <c:pt idx="161" formatCode="0">
                  <c:v>22123.086754773376</c:v>
                </c:pt>
                <c:pt idx="162" formatCode="0">
                  <c:v>33547.567308467726</c:v>
                </c:pt>
                <c:pt idx="163" formatCode="0">
                  <c:v>27405.288644268774</c:v>
                </c:pt>
                <c:pt idx="164" formatCode="0">
                  <c:v>43293.220189723317</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'Tab2'!$K$103:$K$235</c:f>
              <c:numCache>
                <c:formatCode>General</c:formatCode>
                <c:ptCount val="133"/>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'Tab2'!$Q$103:$Q$235</c:f>
              <c:numCache>
                <c:formatCode>#\ ##0.0</c:formatCode>
                <c:ptCount val="133"/>
                <c:pt idx="0">
                  <c:v>682.86124853801175</c:v>
                </c:pt>
                <c:pt idx="1">
                  <c:v>660.59283775981532</c:v>
                </c:pt>
                <c:pt idx="2">
                  <c:v>770.78108256351049</c:v>
                </c:pt>
                <c:pt idx="3">
                  <c:v>757.68044100801899</c:v>
                </c:pt>
                <c:pt idx="4">
                  <c:v>724.96710000000007</c:v>
                </c:pt>
                <c:pt idx="5">
                  <c:v>720.33735891647871</c:v>
                </c:pt>
                <c:pt idx="6">
                  <c:v>769.12359639233398</c:v>
                </c:pt>
                <c:pt idx="7">
                  <c:v>738.28255319148934</c:v>
                </c:pt>
                <c:pt idx="8">
                  <c:v>775.22751113585764</c:v>
                </c:pt>
                <c:pt idx="9">
                  <c:v>602.05789372246704</c:v>
                </c:pt>
                <c:pt idx="10">
                  <c:v>664.25567052980182</c:v>
                </c:pt>
                <c:pt idx="11">
                  <c:v>794.96486263736244</c:v>
                </c:pt>
                <c:pt idx="12">
                  <c:v>727.8950219780221</c:v>
                </c:pt>
                <c:pt idx="13">
                  <c:v>835.01392857142878</c:v>
                </c:pt>
                <c:pt idx="14">
                  <c:v>715.66928610206321</c:v>
                </c:pt>
                <c:pt idx="15">
                  <c:v>653.42191684665238</c:v>
                </c:pt>
                <c:pt idx="16">
                  <c:v>900.58642933618853</c:v>
                </c:pt>
                <c:pt idx="17">
                  <c:v>761.2032731137092</c:v>
                </c:pt>
                <c:pt idx="18">
                  <c:v>803.18139479277352</c:v>
                </c:pt>
                <c:pt idx="19">
                  <c:v>605.71124999999995</c:v>
                </c:pt>
                <c:pt idx="20">
                  <c:v>789.17313428874752</c:v>
                </c:pt>
                <c:pt idx="21">
                  <c:v>953.38969242902238</c:v>
                </c:pt>
                <c:pt idx="22">
                  <c:v>943.88140575916225</c:v>
                </c:pt>
                <c:pt idx="23">
                  <c:v>1071.0011786085156</c:v>
                </c:pt>
                <c:pt idx="24">
                  <c:v>996.15234069886969</c:v>
                </c:pt>
                <c:pt idx="25">
                  <c:v>1053.4344216990787</c:v>
                </c:pt>
                <c:pt idx="26">
                  <c:v>1142.0662461617201</c:v>
                </c:pt>
                <c:pt idx="27">
                  <c:v>887.88445121951236</c:v>
                </c:pt>
                <c:pt idx="28">
                  <c:v>935.37298086606268</c:v>
                </c:pt>
                <c:pt idx="29">
                  <c:v>896.35041875626894</c:v>
                </c:pt>
                <c:pt idx="30">
                  <c:v>671.78322645290621</c:v>
                </c:pt>
                <c:pt idx="31">
                  <c:v>1136.193440913604</c:v>
                </c:pt>
                <c:pt idx="32">
                  <c:v>1052.7293713017755</c:v>
                </c:pt>
                <c:pt idx="33">
                  <c:v>1325.6565508806266</c:v>
                </c:pt>
                <c:pt idx="34">
                  <c:v>863.64358407079624</c:v>
                </c:pt>
                <c:pt idx="35">
                  <c:v>1400.1542632850244</c:v>
                </c:pt>
                <c:pt idx="36">
                  <c:v>1214.2319239961762</c:v>
                </c:pt>
                <c:pt idx="37">
                  <c:v>993.70729305423424</c:v>
                </c:pt>
                <c:pt idx="38">
                  <c:v>1038.895313390314</c:v>
                </c:pt>
                <c:pt idx="39">
                  <c:v>1072.1687640449438</c:v>
                </c:pt>
                <c:pt idx="40">
                  <c:v>1253.264552583026</c:v>
                </c:pt>
                <c:pt idx="41">
                  <c:v>1304.558599452555</c:v>
                </c:pt>
                <c:pt idx="42">
                  <c:v>1679.7647687326551</c:v>
                </c:pt>
                <c:pt idx="43">
                  <c:v>1144.7764006439747</c:v>
                </c:pt>
                <c:pt idx="44">
                  <c:v>1162.7274748398906</c:v>
                </c:pt>
                <c:pt idx="45">
                  <c:v>970.42507499999999</c:v>
                </c:pt>
                <c:pt idx="46">
                  <c:v>1266.2557413321172</c:v>
                </c:pt>
                <c:pt idx="47">
                  <c:v>1309.7359346846849</c:v>
                </c:pt>
                <c:pt idx="48">
                  <c:v>1469.5936649214664</c:v>
                </c:pt>
                <c:pt idx="49">
                  <c:v>1128.0797284060554</c:v>
                </c:pt>
                <c:pt idx="50">
                  <c:v>1190.8081456657728</c:v>
                </c:pt>
                <c:pt idx="51">
                  <c:v>1048.7210235346363</c:v>
                </c:pt>
                <c:pt idx="52">
                  <c:v>1011.4386678507996</c:v>
                </c:pt>
                <c:pt idx="53">
                  <c:v>967.55716269841275</c:v>
                </c:pt>
                <c:pt idx="54">
                  <c:v>894.76217035398224</c:v>
                </c:pt>
                <c:pt idx="55">
                  <c:v>963.95947807017637</c:v>
                </c:pt>
                <c:pt idx="56">
                  <c:v>974.40496042216375</c:v>
                </c:pt>
                <c:pt idx="57">
                  <c:v>1002.4612955729167</c:v>
                </c:pt>
                <c:pt idx="58">
                  <c:v>1119.8829778453523</c:v>
                </c:pt>
                <c:pt idx="59">
                  <c:v>1062.7188663793102</c:v>
                </c:pt>
                <c:pt idx="60">
                  <c:v>1258.3909433962269</c:v>
                </c:pt>
                <c:pt idx="61">
                  <c:v>1065.8266666666668</c:v>
                </c:pt>
                <c:pt idx="62">
                  <c:v>1130.3097122762151</c:v>
                </c:pt>
                <c:pt idx="63">
                  <c:v>1075.2402941176472</c:v>
                </c:pt>
                <c:pt idx="64">
                  <c:v>1439.91465106383</c:v>
                </c:pt>
                <c:pt idx="65">
                  <c:v>1364.0502345731193</c:v>
                </c:pt>
                <c:pt idx="66">
                  <c:v>893.67688455008556</c:v>
                </c:pt>
                <c:pt idx="67">
                  <c:v>1169.1156270695365</c:v>
                </c:pt>
                <c:pt idx="68">
                  <c:v>1224.5190073831011</c:v>
                </c:pt>
                <c:pt idx="69">
                  <c:v>1465.0186352459023</c:v>
                </c:pt>
                <c:pt idx="70">
                  <c:v>1870.5930036555644</c:v>
                </c:pt>
                <c:pt idx="71">
                  <c:v>1441.0000000000002</c:v>
                </c:pt>
                <c:pt idx="72">
                  <c:v>1301.0990740000002</c:v>
                </c:pt>
                <c:pt idx="73">
                  <c:v>1328.3595405727926</c:v>
                </c:pt>
                <c:pt idx="74">
                  <c:v>1578.8458991228069</c:v>
                </c:pt>
                <c:pt idx="75">
                  <c:v>1458.7734715639817</c:v>
                </c:pt>
                <c:pt idx="76">
                  <c:v>1984.1881410256417</c:v>
                </c:pt>
                <c:pt idx="77">
                  <c:v>1660.4786093871217</c:v>
                </c:pt>
                <c:pt idx="78">
                  <c:v>1559.0142918622851</c:v>
                </c:pt>
                <c:pt idx="79">
                  <c:v>1574.0523333333349</c:v>
                </c:pt>
                <c:pt idx="80">
                  <c:v>2021.0550710445473</c:v>
                </c:pt>
                <c:pt idx="81">
                  <c:v>1813.2455000000007</c:v>
                </c:pt>
                <c:pt idx="82">
                  <c:v>1538.7797565687788</c:v>
                </c:pt>
                <c:pt idx="83">
                  <c:v>1527.5454660021117</c:v>
                </c:pt>
                <c:pt idx="84">
                  <c:v>1353.0165135198333</c:v>
                </c:pt>
                <c:pt idx="85">
                  <c:v>1220.6723544220222</c:v>
                </c:pt>
                <c:pt idx="86">
                  <c:v>1348.9594398163592</c:v>
                </c:pt>
                <c:pt idx="87">
                  <c:v>1256.8770405292632</c:v>
                </c:pt>
                <c:pt idx="88">
                  <c:v>1337.3107175680798</c:v>
                </c:pt>
                <c:pt idx="89">
                  <c:v>1307.6667350654986</c:v>
                </c:pt>
                <c:pt idx="90">
                  <c:v>1527.5922097284504</c:v>
                </c:pt>
                <c:pt idx="91">
                  <c:v>1388.4005916567189</c:v>
                </c:pt>
                <c:pt idx="92">
                  <c:v>1693.8473858530283</c:v>
                </c:pt>
                <c:pt idx="93">
                  <c:v>1313.1076588739609</c:v>
                </c:pt>
                <c:pt idx="94">
                  <c:v>1424.5543011884461</c:v>
                </c:pt>
                <c:pt idx="95">
                  <c:v>1243.3610181326762</c:v>
                </c:pt>
                <c:pt idx="96">
                  <c:v>1432.4869695355867</c:v>
                </c:pt>
                <c:pt idx="97">
                  <c:v>1339.0630891614371</c:v>
                </c:pt>
                <c:pt idx="98">
                  <c:v>1487.0953375923648</c:v>
                </c:pt>
                <c:pt idx="99">
                  <c:v>1558.1897796590672</c:v>
                </c:pt>
                <c:pt idx="100">
                  <c:v>1375.5795864622501</c:v>
                </c:pt>
                <c:pt idx="101">
                  <c:v>1064.4049223557404</c:v>
                </c:pt>
                <c:pt idx="102">
                  <c:v>1591.1370721730893</c:v>
                </c:pt>
                <c:pt idx="103">
                  <c:v>1290.4892452379786</c:v>
                </c:pt>
                <c:pt idx="104">
                  <c:v>1371.78514211741</c:v>
                </c:pt>
                <c:pt idx="105">
                  <c:v>1767.4788469651301</c:v>
                </c:pt>
                <c:pt idx="106">
                  <c:v>1003.2705702647659</c:v>
                </c:pt>
                <c:pt idx="107">
                  <c:v>1257.8405491913747</c:v>
                </c:pt>
                <c:pt idx="108">
                  <c:v>1305.9002338009357</c:v>
                </c:pt>
                <c:pt idx="109">
                  <c:v>1512.0595856369632</c:v>
                </c:pt>
                <c:pt idx="110">
                  <c:v>1853.6535650613187</c:v>
                </c:pt>
                <c:pt idx="111">
                  <c:v>1464.4411816611112</c:v>
                </c:pt>
                <c:pt idx="112">
                  <c:v>1391.7580004738079</c:v>
                </c:pt>
                <c:pt idx="113">
                  <c:v>1349.4210907296606</c:v>
                </c:pt>
                <c:pt idx="114">
                  <c:v>1486.9707423619029</c:v>
                </c:pt>
                <c:pt idx="115">
                  <c:v>1218.3600073469861</c:v>
                </c:pt>
                <c:pt idx="116">
                  <c:v>1766.4113683229159</c:v>
                </c:pt>
                <c:pt idx="117">
                  <c:v>1183.1751341909353</c:v>
                </c:pt>
                <c:pt idx="118">
                  <c:v>1028.6804399332309</c:v>
                </c:pt>
                <c:pt idx="119">
                  <c:v>1183.0993195667572</c:v>
                </c:pt>
                <c:pt idx="120">
                  <c:v>1458.4309956439163</c:v>
                </c:pt>
                <c:pt idx="121">
                  <c:v>1419.0507160787417</c:v>
                </c:pt>
                <c:pt idx="122">
                  <c:v>1321.7936144405164</c:v>
                </c:pt>
                <c:pt idx="123">
                  <c:v>1207.0915768796028</c:v>
                </c:pt>
                <c:pt idx="124">
                  <c:v>1472.702949650765</c:v>
                </c:pt>
                <c:pt idx="125">
                  <c:v>1260.2939872154921</c:v>
                </c:pt>
                <c:pt idx="126">
                  <c:v>1793.2570925267182</c:v>
                </c:pt>
                <c:pt idx="127">
                  <c:v>1743.2762818768369</c:v>
                </c:pt>
                <c:pt idx="128">
                  <c:v>1473.0033043018059</c:v>
                </c:pt>
                <c:pt idx="129">
                  <c:v>1659.6342809542775</c:v>
                </c:pt>
                <c:pt idx="130">
                  <c:v>1170.3058294821637</c:v>
                </c:pt>
                <c:pt idx="131">
                  <c:v>1701.3026133314506</c:v>
                </c:pt>
                <c:pt idx="132">
                  <c:v>1482.3041286504799</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'Tab2'!$K$103:$K$235</c:f>
              <c:numCache>
                <c:formatCode>General</c:formatCode>
                <c:ptCount val="133"/>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'Tab2'!$O$103:$O$235</c:f>
              <c:numCache>
                <c:formatCode>#,##0</c:formatCode>
                <c:ptCount val="133"/>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pt idx="123" formatCode="0">
                  <c:v>7240.0729996128648</c:v>
                </c:pt>
                <c:pt idx="124" formatCode="0">
                  <c:v>6900.0468369565224</c:v>
                </c:pt>
                <c:pt idx="125" formatCode="0">
                  <c:v>6398.5711338452893</c:v>
                </c:pt>
                <c:pt idx="126" formatCode="0">
                  <c:v>9773.5265829437976</c:v>
                </c:pt>
                <c:pt idx="127" formatCode="0">
                  <c:v>7886.590696433057</c:v>
                </c:pt>
                <c:pt idx="128" formatCode="0">
                  <c:v>6557.2362137681157</c:v>
                </c:pt>
                <c:pt idx="129" formatCode="0">
                  <c:v>6814.816473074854</c:v>
                </c:pt>
                <c:pt idx="130" formatCode="0">
                  <c:v>7564.7841240265989</c:v>
                </c:pt>
                <c:pt idx="131" formatCode="0">
                  <c:v>10671.830522463766</c:v>
                </c:pt>
                <c:pt idx="132" formatCode="0">
                  <c:v>8194.415441304347</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1. KVARTAL 2024 </a:t>
          </a:r>
          <a:r>
            <a:rPr lang="nb-NO" sz="1000">
              <a:effectLst/>
              <a:latin typeface="Arial"/>
              <a:ea typeface="ＭＳ 明朝"/>
              <a:cs typeface="Times New Roman"/>
            </a:rPr>
            <a:t>(4</a:t>
          </a:r>
          <a:r>
            <a:rPr lang="nb-NO" sz="1000">
              <a:solidFill>
                <a:schemeClr val="dk1"/>
              </a:solidFill>
              <a:effectLst/>
              <a:latin typeface="Arial"/>
              <a:ea typeface="ＭＳ 明朝"/>
              <a:cs typeface="Times New Roman"/>
            </a:rPr>
            <a:t>. juni 2024</a:t>
          </a:r>
          <a:r>
            <a:rPr lang="nb-NO" sz="10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15875</xdr:rowOff>
    </xdr:from>
    <xdr:to>
      <xdr:col>6</xdr:col>
      <xdr:colOff>492125</xdr:colOff>
      <xdr:row>47</xdr:row>
      <xdr:rowOff>15876</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0" y="285750"/>
          <a:ext cx="5413375" cy="8461376"/>
        </a:xfrm>
        <a:prstGeom prst="rect">
          <a:avLst/>
        </a:prstGeom>
        <a:solidFill>
          <a:srgbClr val="FFFFFF"/>
        </a:solidFill>
        <a:ln w="9525">
          <a:noFill/>
          <a:miter lim="800000"/>
          <a:headEnd/>
          <a:tailEnd/>
        </a:ln>
      </xdr:spPr>
      <xdr:txBody>
        <a:bodyPr vertOverflow="clip" wrap="square" lIns="27432" tIns="27432" rIns="0" bIns="0" anchor="t" upright="1"/>
        <a:lstStyle/>
        <a:p>
          <a:pPr rtl="0"/>
          <a:r>
            <a:rPr lang="nb-NO" sz="900" b="1" i="0" baseline="0">
              <a:latin typeface="Times New Roman" pitchFamily="18" charset="0"/>
              <a:ea typeface="+mn-ea"/>
              <a:cs typeface="Times New Roman" pitchFamily="18" charset="0"/>
            </a:rPr>
            <a:t>Hovedtrekk 1.kvartal 2024 </a:t>
          </a:r>
        </a:p>
        <a:p>
          <a:pPr rtl="0"/>
          <a:r>
            <a:rPr lang="nb-NO" sz="900" b="1" i="0" baseline="0">
              <a:latin typeface="Times New Roman" pitchFamily="18" charset="0"/>
              <a:ea typeface="+mn-ea"/>
              <a:cs typeface="Times New Roman" pitchFamily="18" charset="0"/>
            </a:rPr>
            <a:t>Vanskelige kjøreforhold – kald vinter og lav kronekurs</a:t>
          </a:r>
        </a:p>
        <a:p>
          <a:pPr rtl="0"/>
          <a:r>
            <a:rPr lang="nb-NO" sz="900" b="0" i="1" baseline="0">
              <a:latin typeface="Times New Roman" pitchFamily="18" charset="0"/>
              <a:ea typeface="+mn-ea"/>
              <a:cs typeface="Times New Roman" pitchFamily="18" charset="0"/>
            </a:rPr>
            <a:t>Merk at enkelte korona-effekter fortsatt gjaldt deler av 1.kvartal 2022, men i mindre grad enn i perioden 2020-2021. </a:t>
          </a:r>
        </a:p>
        <a:p>
          <a:pPr rtl="0"/>
          <a:r>
            <a:rPr lang="nb-NO" sz="900" b="0" i="0" baseline="0">
              <a:latin typeface="Times New Roman" pitchFamily="18" charset="0"/>
              <a:ea typeface="+mn-ea"/>
              <a:cs typeface="Times New Roman" pitchFamily="18" charset="0"/>
            </a:rPr>
            <a:t>Erstatningene for landbasert forsikring totalt hittil i år ble på 18,4 mrd.kr, mot 14,6 mrd. i fjor til samme tid. Økningen fra i fjor på 3,8 mrd.kr skyldes i stor grad motorvognskader (1,4 mrd.kr), mer vannskader på bygning og innbo (1,3 mrd.kr) og mer reiseskader (139 mill.kr) </a:t>
          </a:r>
        </a:p>
        <a:p>
          <a:pPr rtl="0"/>
          <a:endParaRPr lang="nb-NO" sz="900" b="0" i="0" baseline="0">
            <a:latin typeface="Times New Roman" pitchFamily="18" charset="0"/>
            <a:ea typeface="+mn-ea"/>
            <a:cs typeface="Times New Roman" pitchFamily="18" charset="0"/>
          </a:endParaRPr>
        </a:p>
        <a:p>
          <a:pPr rtl="0"/>
          <a:r>
            <a:rPr lang="nb-NO" sz="900" b="1" i="0" baseline="0">
              <a:latin typeface="Times New Roman" pitchFamily="18" charset="0"/>
              <a:ea typeface="+mn-ea"/>
              <a:cs typeface="Times New Roman" pitchFamily="18" charset="0"/>
            </a:rPr>
            <a:t>Motor – krevende kjøreforhold – mye tyveri fra kjøretøy  </a:t>
          </a:r>
        </a:p>
        <a:p>
          <a:pPr rtl="0"/>
          <a:r>
            <a:rPr lang="nb-NO" sz="900" b="0" i="0" baseline="0">
              <a:latin typeface="Times New Roman" pitchFamily="18" charset="0"/>
              <a:ea typeface="+mn-ea"/>
              <a:cs typeface="Times New Roman" pitchFamily="18" charset="0"/>
            </a:rPr>
            <a:t>Erstatning på motorvogn totalt ble på 6,9 mrd.kr som er en økning på 25 prosent fra i fjor. Det er kasko som har økt mest i kroner. Mens tyveri fra kjøretøy har prosentvis økt mest fra i fjor med 113 prosent. Glasskadene er på nesten 534 mill.kr hittil i år, noe som er nesten 12 prosent mer enn i fjor. Det er også stor økning av erstatning etter ansvar – påkjørsler – med 30 prosent fra i fjor. Antall meldte skader økte med nesten 7 prosent totalt, og hvor det er kasko, redning og ansvarsskader som økte mest. Vinteren i 2024 var svært krevende med mye glatt føre i sentrale strøk. I fjor til samme tid var det også en del vinterskader, men det var mer varierende forhold.</a:t>
          </a:r>
        </a:p>
        <a:p>
          <a:pPr rtl="0"/>
          <a:r>
            <a:rPr lang="nb-NO" sz="900" b="0" i="0" baseline="0">
              <a:latin typeface="Times New Roman" pitchFamily="18" charset="0"/>
              <a:ea typeface="+mn-ea"/>
              <a:cs typeface="Times New Roman" pitchFamily="18" charset="0"/>
            </a:rPr>
            <a:t>Tyveri fra kjøretøy har stor økning i antall fra i fjor, med 35 prosent. I gjennomsnitt ble det stjålet ting fra kjøretøy for rundt nesten 38.000 kr som er en økning på hele 57 prosent fra i fjor. </a:t>
          </a:r>
        </a:p>
        <a:p>
          <a:pPr rtl="0"/>
          <a:endParaRPr lang="nb-NO" sz="900" b="0" i="0" baseline="0">
            <a:latin typeface="Times New Roman" pitchFamily="18" charset="0"/>
            <a:ea typeface="+mn-ea"/>
            <a:cs typeface="Times New Roman" pitchFamily="18" charset="0"/>
          </a:endParaRPr>
        </a:p>
        <a:p>
          <a:r>
            <a:rPr lang="nb-NO" sz="900" b="1">
              <a:effectLst/>
              <a:latin typeface="Times New Roman" panose="02020603050405020304" pitchFamily="18" charset="0"/>
              <a:ea typeface="+mn-ea"/>
              <a:cs typeface="Times New Roman" panose="02020603050405020304" pitchFamily="18" charset="0"/>
            </a:rPr>
            <a:t>Hus, hjem, hytte – mer brann- og vannskader</a:t>
          </a:r>
          <a:endParaRPr lang="nb-NO" sz="900">
            <a:effectLst/>
            <a:latin typeface="Times New Roman" panose="02020603050405020304" pitchFamily="18" charset="0"/>
            <a:ea typeface="+mn-ea"/>
            <a:cs typeface="Times New Roman" panose="02020603050405020304" pitchFamily="18" charset="0"/>
          </a:endParaRPr>
        </a:p>
        <a:p>
          <a:r>
            <a:rPr lang="nb-NO" sz="900">
              <a:effectLst/>
              <a:latin typeface="Times New Roman" panose="02020603050405020304" pitchFamily="18" charset="0"/>
              <a:ea typeface="+mn-ea"/>
              <a:cs typeface="Times New Roman" panose="02020603050405020304" pitchFamily="18" charset="0"/>
            </a:rPr>
            <a:t>For hus, hjem og hytter ble de totale erstatningene hittil i år på 3,9 mrd.kr, en økning på 54 prosent fra i fjor. Brannskadene ble på 996 mill.kr som er en økning på 46 prosent fra i fjor, og vannskadeerstatningene økte med hele 83 prosent, til 1,8 mrd.kr hittil i år. Antall meldte vannskader hittil i år var 33.000 som er en økning på 67 prosent fra i fjor. Innbrudd/tyveri/ran hittil i år øker fortsatt noe, men mindre enn økningen i fjor; til sammen ble det erstattet slike skader for 115 mill.kr hittil i år. </a:t>
          </a:r>
        </a:p>
        <a:p>
          <a:pPr rtl="0"/>
          <a:endParaRPr lang="nb-NO" sz="900" b="0" i="0" baseline="0">
            <a:latin typeface="Times New Roman" pitchFamily="18" charset="0"/>
            <a:ea typeface="+mn-ea"/>
            <a:cs typeface="Times New Roman" pitchFamily="18" charset="0"/>
          </a:endParaRPr>
        </a:p>
        <a:p>
          <a:r>
            <a:rPr lang="nb-NO" sz="900" b="1">
              <a:effectLst/>
              <a:latin typeface="Times New Roman" panose="02020603050405020304" pitchFamily="18" charset="0"/>
              <a:ea typeface="+mn-ea"/>
              <a:cs typeface="Times New Roman" panose="02020603050405020304" pitchFamily="18" charset="0"/>
            </a:rPr>
            <a:t>Næringsbygg og landbruk – mye vannskader og mindre brann </a:t>
          </a:r>
          <a:endParaRPr lang="nb-NO" sz="900">
            <a:effectLst/>
            <a:latin typeface="Times New Roman" panose="02020603050405020304" pitchFamily="18" charset="0"/>
            <a:ea typeface="+mn-ea"/>
            <a:cs typeface="Times New Roman" panose="02020603050405020304" pitchFamily="18" charset="0"/>
          </a:endParaRPr>
        </a:p>
        <a:p>
          <a:r>
            <a:rPr lang="nb-NO" sz="900">
              <a:effectLst/>
              <a:latin typeface="Times New Roman" panose="02020603050405020304" pitchFamily="18" charset="0"/>
              <a:ea typeface="+mn-ea"/>
              <a:cs typeface="Times New Roman" panose="02020603050405020304" pitchFamily="18" charset="0"/>
            </a:rPr>
            <a:t>Hittil i år ble det erstattet skader for totalt nesten 2,7 mrd.kr mot 2,2 mrd.kr i fjor. Økningen skyldes vannskader, som ble på nesten 1,1 mrd.kr hittil i år, en økning på 79 prosent. Brannskadene er redusert fra i fjor med 23 prosent og utgjør nå nesten 775 mill.kr. I fjor var det en del større branner, mens det så langt i år har vært færre storskader. </a:t>
          </a:r>
        </a:p>
        <a:p>
          <a:pPr rtl="0"/>
          <a:endParaRPr lang="nb-NO" sz="900" b="0" i="0" baseline="0">
            <a:latin typeface="Times New Roman" pitchFamily="18" charset="0"/>
            <a:ea typeface="+mn-ea"/>
            <a:cs typeface="Times New Roman" pitchFamily="18" charset="0"/>
          </a:endParaRPr>
        </a:p>
        <a:p>
          <a:r>
            <a:rPr lang="nb-NO" sz="900" b="1">
              <a:effectLst/>
              <a:latin typeface="Times New Roman" panose="02020603050405020304" pitchFamily="18" charset="0"/>
              <a:ea typeface="+mn-ea"/>
              <a:cs typeface="Times New Roman" panose="02020603050405020304" pitchFamily="18" charset="0"/>
            </a:rPr>
            <a:t>Reiseforsikring – lav kronekurs, men økt reising</a:t>
          </a:r>
          <a:endParaRPr lang="nb-NO" sz="900">
            <a:effectLst/>
            <a:latin typeface="Times New Roman" panose="02020603050405020304" pitchFamily="18" charset="0"/>
            <a:ea typeface="+mn-ea"/>
            <a:cs typeface="Times New Roman" panose="02020603050405020304" pitchFamily="18" charset="0"/>
          </a:endParaRPr>
        </a:p>
        <a:p>
          <a:r>
            <a:rPr lang="nb-NO" sz="900">
              <a:effectLst/>
              <a:latin typeface="Times New Roman" panose="02020603050405020304" pitchFamily="18" charset="0"/>
              <a:ea typeface="+mn-ea"/>
              <a:cs typeface="Times New Roman" panose="02020603050405020304" pitchFamily="18" charset="0"/>
            </a:rPr>
            <a:t>Hittil i år er det meldt nesten 93.000 reiseskader som er en økning på rundt 9 prosent fra i fjor.</a:t>
          </a:r>
        </a:p>
        <a:p>
          <a:r>
            <a:rPr lang="nb-NO" sz="900">
              <a:effectLst/>
              <a:latin typeface="Times New Roman" panose="02020603050405020304" pitchFamily="18" charset="0"/>
              <a:ea typeface="+mn-ea"/>
              <a:cs typeface="Times New Roman" panose="02020603050405020304" pitchFamily="18" charset="0"/>
            </a:rPr>
            <a:t>Samlet erstatning hittil er på 758 mill.kr, mot fjorårets 619 mill.kr. Til tross for ugunstig kronekurs og «dyrtid» øker reiseaktiviteten og med det skadene. Rett i etterkant av at koronatiltakene opphørte (starten av 2022), økte også reiseskadene, men da var det særlig tyveriskadene som økte, mens reisesykdommer var det færre av. Nå er antall reisesykdomsskader økt med 19 prosent siden 2019 (siste normalkvartal før koronatiltak) og erstatningene etter reisesykdom økte med nesten 16 prosent fra 2019. At økningen i beløp er noe mindre enn antallsøkningen, kan skyldes at reisene nå ikke er på de mest fjerntliggende stedene. Sykdomserstatningen hittil i år er på nesten 368 mill.kr, en økning på nesten 45 prosent fra i fjor og utgjør 48 prosent av de totale erstatningene på reiseforsikring.   </a:t>
          </a:r>
        </a:p>
        <a:p>
          <a:pPr rtl="0"/>
          <a:endParaRPr lang="nb-NO" sz="900" b="0" i="0" baseline="0">
            <a:latin typeface="Times New Roman" pitchFamily="18" charset="0"/>
            <a:ea typeface="+mn-ea"/>
            <a:cs typeface="Times New Roman" pitchFamily="18" charset="0"/>
          </a:endParaRPr>
        </a:p>
        <a:p>
          <a:r>
            <a:rPr lang="nb-NO" sz="900" b="1">
              <a:effectLst/>
              <a:latin typeface="Times New Roman" panose="02020603050405020304" pitchFamily="18" charset="0"/>
              <a:ea typeface="+mn-ea"/>
              <a:cs typeface="Times New Roman" panose="02020603050405020304" pitchFamily="18" charset="0"/>
            </a:rPr>
            <a:t>Behandlingsforsikring – redusert bruk </a:t>
          </a:r>
          <a:endParaRPr lang="nb-NO" sz="900">
            <a:effectLst/>
            <a:latin typeface="Times New Roman" panose="02020603050405020304" pitchFamily="18" charset="0"/>
            <a:ea typeface="+mn-ea"/>
            <a:cs typeface="Times New Roman" panose="02020603050405020304" pitchFamily="18" charset="0"/>
          </a:endParaRPr>
        </a:p>
        <a:p>
          <a:r>
            <a:rPr lang="nb-NO" sz="900">
              <a:effectLst/>
              <a:latin typeface="Times New Roman" panose="02020603050405020304" pitchFamily="18" charset="0"/>
              <a:ea typeface="+mn-ea"/>
              <a:cs typeface="Times New Roman" panose="02020603050405020304" pitchFamily="18" charset="0"/>
            </a:rPr>
            <a:t>Det er fortsatt noe økning i porteføljen på behandlingsforsikring, men mindre enn tidligere. Det er også innført egenandel på enkelte behandlinger som kan ha medført mindre bruk. Hittil i år er det 1 prosent færre tilfeller og 2 prosent redusert erstatning enn i fjor. Bruken er mest redusert på fysioterapi/kiropraktikk, mens det fortsatt er økning i bruk av psykologi og psykiater. Hittil i år er forsikringen brukt av nesten 141.000 mot 142.900 i fjor til samme tid. I fjor var det erstatningskostnad på 699 mill.kr mot i år på 685 mill.kr.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endParaRPr lang="en-US" sz="1050" b="0" i="0" strike="noStrike">
            <a:solidFill>
              <a:srgbClr val="000000"/>
            </a:solidFill>
            <a:latin typeface="Times New Roman"/>
            <a:cs typeface="Times New Roman"/>
          </a:endParaRPr>
        </a:p>
        <a:p>
          <a:pPr algn="l" rtl="0">
            <a:defRPr sz="1000"/>
          </a:pPr>
          <a:r>
            <a:rPr lang="en-US" sz="1050" b="0" i="0" strike="noStrike">
              <a:solidFill>
                <a:srgbClr val="000000"/>
              </a:solidFill>
              <a:latin typeface="Times New Roman" pitchFamily="18" charset="0"/>
              <a:ea typeface="+mn-ea"/>
              <a:cs typeface="Times New Roman" pitchFamily="18" charset="0"/>
            </a:rPr>
            <a:t>  Codan </a:t>
          </a:r>
        </a:p>
        <a:p>
          <a:pPr algn="l" rtl="0">
            <a:defRPr sz="1000"/>
          </a:pPr>
          <a:r>
            <a:rPr lang="en-US" sz="1050" b="0" i="0" strike="noStrike">
              <a:solidFill>
                <a:srgbClr val="000000"/>
              </a:solidFill>
              <a:latin typeface="Times New Roman" pitchFamily="18" charset="0"/>
              <a:ea typeface="+mn-ea"/>
              <a:cs typeface="Times New Roman" pitchFamily="18" charset="0"/>
            </a:rPr>
            <a:t>  Danica </a:t>
          </a:r>
        </a:p>
        <a:p>
          <a:pPr algn="l" rtl="0">
            <a:defRPr sz="1000"/>
          </a:pPr>
          <a:r>
            <a:rPr lang="en-US" sz="1050" b="0" i="0" strike="noStrike">
              <a:solidFill>
                <a:srgbClr val="000000"/>
              </a:solidFill>
              <a:latin typeface="Times New Roman" pitchFamily="18" charset="0"/>
              <a:ea typeface="+mn-ea"/>
              <a:cs typeface="Times New Roman" pitchFamily="18" charset="0"/>
            </a:rPr>
            <a:t>  DNB Liv </a:t>
          </a:r>
        </a:p>
        <a:p>
          <a:pPr algn="l" rtl="0">
            <a:defRPr sz="1000"/>
          </a:pPr>
          <a:r>
            <a:rPr lang="en-US" sz="1050" b="0" i="0" strike="noStrike">
              <a:solidFill>
                <a:srgbClr val="000000"/>
              </a:solidFill>
              <a:latin typeface="Times New Roman" pitchFamily="18" charset="0"/>
              <a:ea typeface="+mn-ea"/>
              <a:cs typeface="Times New Roman" pitchFamily="18" charset="0"/>
            </a:rPr>
            <a:t>  Eika </a:t>
          </a:r>
        </a:p>
        <a:p>
          <a:pPr algn="l" rtl="0">
            <a:defRPr sz="1000"/>
          </a:pPr>
          <a:r>
            <a:rPr lang="en-US" sz="1050" b="0" i="0" strike="noStrike">
              <a:solidFill>
                <a:srgbClr val="000000"/>
              </a:solidFill>
              <a:latin typeface="Times New Roman" pitchFamily="18" charset="0"/>
              <a:ea typeface="+mn-ea"/>
              <a:cs typeface="Times New Roman" pitchFamily="18" charset="0"/>
            </a:rPr>
            <a:t>  Eir Försäkring AB </a:t>
          </a:r>
        </a:p>
        <a:p>
          <a:pPr algn="l" rtl="0">
            <a:defRPr sz="1000"/>
          </a:pPr>
          <a:r>
            <a:rPr lang="en-US" sz="1050" b="0" i="0" strike="noStrike">
              <a:solidFill>
                <a:srgbClr val="000000"/>
              </a:solidFill>
              <a:latin typeface="Times New Roman" pitchFamily="18" charset="0"/>
              <a:ea typeface="+mn-ea"/>
              <a:cs typeface="Times New Roman" pitchFamily="18" charset="0"/>
            </a:rPr>
            <a:t>  Euro Accident </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 </a:t>
          </a:r>
        </a:p>
        <a:p>
          <a:pPr algn="l" rtl="0">
            <a:defRPr sz="1000"/>
          </a:pPr>
          <a:r>
            <a:rPr lang="en-US" sz="1050" b="0" i="0" strike="noStrike">
              <a:solidFill>
                <a:srgbClr val="000000"/>
              </a:solidFill>
              <a:latin typeface="Times New Roman" pitchFamily="18" charset="0"/>
              <a:ea typeface="+mn-ea"/>
              <a:cs typeface="Times New Roman" pitchFamily="18" charset="0"/>
            </a:rPr>
            <a:t>  Fremtind </a:t>
          </a:r>
        </a:p>
        <a:p>
          <a:pPr algn="l" rtl="0">
            <a:defRPr sz="1000"/>
          </a:pPr>
          <a:r>
            <a:rPr lang="en-US" sz="1050" b="0" i="0" strike="noStrike">
              <a:solidFill>
                <a:srgbClr val="000000"/>
              </a:solidFill>
              <a:latin typeface="Times New Roman" pitchFamily="18" charset="0"/>
              <a:ea typeface="+mn-ea"/>
              <a:cs typeface="Times New Roman" pitchFamily="18" charset="0"/>
            </a:rPr>
            <a:t>  Frende </a:t>
          </a:r>
        </a:p>
        <a:p>
          <a:pPr algn="l" rtl="0">
            <a:defRPr sz="1000"/>
          </a:pPr>
          <a:r>
            <a:rPr lang="en-US" sz="1050" b="0" i="0" strike="noStrike">
              <a:solidFill>
                <a:srgbClr val="000000"/>
              </a:solidFill>
              <a:latin typeface="Times New Roman" pitchFamily="18" charset="0"/>
              <a:ea typeface="+mn-ea"/>
              <a:cs typeface="Times New Roman" pitchFamily="18" charset="0"/>
            </a:rPr>
            <a:t>  Gjensidige </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 </a:t>
          </a:r>
        </a:p>
        <a:p>
          <a:pPr algn="l" rtl="0">
            <a:defRPr sz="1000"/>
          </a:pPr>
          <a:r>
            <a:rPr lang="en-US" sz="1050" b="0" i="0" strike="noStrike">
              <a:solidFill>
                <a:srgbClr val="000000"/>
              </a:solidFill>
              <a:latin typeface="Times New Roman" pitchFamily="18" charset="0"/>
              <a:ea typeface="+mn-ea"/>
              <a:cs typeface="Times New Roman" pitchFamily="18" charset="0"/>
            </a:rPr>
            <a:t>  If </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 </a:t>
          </a:r>
        </a:p>
        <a:p>
          <a:pPr algn="l" rtl="0">
            <a:defRPr sz="1000"/>
          </a:pPr>
          <a:r>
            <a:rPr lang="en-US" sz="1050" b="0" i="0" strike="noStrike">
              <a:solidFill>
                <a:srgbClr val="000000"/>
              </a:solidFill>
              <a:latin typeface="Times New Roman" pitchFamily="18" charset="0"/>
              <a:ea typeface="+mn-ea"/>
              <a:cs typeface="Times New Roman" pitchFamily="18" charset="0"/>
            </a:rPr>
            <a:t>  KLP </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 AS </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 </a:t>
          </a:r>
        </a:p>
        <a:p>
          <a:pPr algn="l" rtl="0">
            <a:defRPr sz="1000"/>
          </a:pPr>
          <a:r>
            <a:rPr lang="en-US" sz="1050" b="0" i="0" strike="noStrike">
              <a:solidFill>
                <a:srgbClr val="000000"/>
              </a:solidFill>
              <a:latin typeface="Times New Roman" pitchFamily="18" charset="0"/>
              <a:ea typeface="+mn-ea"/>
              <a:cs typeface="Times New Roman" pitchFamily="18" charset="0"/>
            </a:rPr>
            <a:t>  Ly Forsikring </a:t>
          </a:r>
        </a:p>
        <a:p>
          <a:pPr algn="l" rtl="0">
            <a:defRPr sz="1000"/>
          </a:pPr>
          <a:r>
            <a:rPr lang="en-US" sz="1050" b="0" i="0" strike="noStrike">
              <a:solidFill>
                <a:srgbClr val="000000"/>
              </a:solidFill>
              <a:latin typeface="Times New Roman" pitchFamily="18" charset="0"/>
              <a:ea typeface="+mn-ea"/>
              <a:cs typeface="Times New Roman" pitchFamily="18" charset="0"/>
            </a:rPr>
            <a:t>  Møretrygd </a:t>
          </a:r>
        </a:p>
        <a:p>
          <a:pPr algn="l" rtl="0">
            <a:defRPr sz="1000"/>
          </a:pPr>
          <a:r>
            <a:rPr lang="en-US" sz="1050" b="0" i="0" strike="noStrike">
              <a:solidFill>
                <a:srgbClr val="000000"/>
              </a:solidFill>
              <a:latin typeface="Times New Roman" pitchFamily="18" charset="0"/>
              <a:ea typeface="+mn-ea"/>
              <a:cs typeface="Times New Roman" pitchFamily="18" charset="0"/>
            </a:rPr>
            <a:t>  Nordea </a:t>
          </a:r>
        </a:p>
        <a:p>
          <a:pPr algn="l" rtl="0">
            <a:defRPr sz="1000"/>
          </a:pPr>
          <a:r>
            <a:rPr lang="en-US" sz="1050" b="0" i="0" strike="noStrike">
              <a:solidFill>
                <a:srgbClr val="000000"/>
              </a:solidFill>
              <a:latin typeface="Times New Roman" pitchFamily="18" charset="0"/>
              <a:ea typeface="+mn-ea"/>
              <a:cs typeface="Times New Roman" pitchFamily="18" charset="0"/>
            </a:rPr>
            <a:t>  Oslo Forsikring </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 </a:t>
          </a:r>
        </a:p>
        <a:p>
          <a:pPr algn="l" rtl="0">
            <a:defRPr sz="1000"/>
          </a:pPr>
          <a:r>
            <a:rPr lang="en-US" sz="1050" b="0" i="0" strike="noStrike">
              <a:solidFill>
                <a:srgbClr val="000000"/>
              </a:solidFill>
              <a:latin typeface="Times New Roman" pitchFamily="18" charset="0"/>
              <a:ea typeface="+mn-ea"/>
              <a:cs typeface="Times New Roman" pitchFamily="18" charset="0"/>
            </a:rPr>
            <a:t>  Protector </a:t>
          </a:r>
        </a:p>
        <a:p>
          <a:pPr algn="l" rtl="0">
            <a:defRPr sz="1000"/>
          </a:pPr>
          <a:r>
            <a:rPr lang="en-US" sz="1050" b="0" i="0" strike="noStrike">
              <a:solidFill>
                <a:srgbClr val="000000"/>
              </a:solidFill>
              <a:latin typeface="Times New Roman" pitchFamily="18" charset="0"/>
              <a:ea typeface="+mn-ea"/>
              <a:cs typeface="Times New Roman" pitchFamily="18" charset="0"/>
            </a:rPr>
            <a:t>  Skogbrand </a:t>
          </a:r>
        </a:p>
        <a:p>
          <a:pPr algn="l" rtl="0">
            <a:defRPr sz="1000"/>
          </a:pPr>
          <a:r>
            <a:rPr lang="en-US" sz="1050" b="0" i="0" strike="noStrike">
              <a:solidFill>
                <a:srgbClr val="000000"/>
              </a:solidFill>
              <a:latin typeface="Times New Roman" pitchFamily="18" charset="0"/>
              <a:ea typeface="+mn-ea"/>
              <a:cs typeface="Times New Roman" pitchFamily="18" charset="0"/>
            </a:rPr>
            <a:t>  Storebrand </a:t>
          </a:r>
        </a:p>
        <a:p>
          <a:pPr algn="l" rtl="0">
            <a:defRPr sz="1000"/>
          </a:pPr>
          <a:r>
            <a:rPr lang="en-US" sz="1050" b="0" i="0" strike="noStrike">
              <a:solidFill>
                <a:srgbClr val="000000"/>
              </a:solidFill>
              <a:latin typeface="Times New Roman" pitchFamily="18" charset="0"/>
              <a:ea typeface="+mn-ea"/>
              <a:cs typeface="Times New Roman" pitchFamily="18" charset="0"/>
            </a:rPr>
            <a:t>  Telenor </a:t>
          </a:r>
        </a:p>
        <a:p>
          <a:pPr algn="l" rtl="0">
            <a:defRPr sz="1000"/>
          </a:pPr>
          <a:r>
            <a:rPr lang="en-US" sz="1050" b="0" i="0" strike="noStrike">
              <a:solidFill>
                <a:srgbClr val="000000"/>
              </a:solidFill>
              <a:latin typeface="Times New Roman" pitchFamily="18" charset="0"/>
              <a:ea typeface="+mn-ea"/>
              <a:cs typeface="Times New Roman" pitchFamily="18" charset="0"/>
            </a:rPr>
            <a:t>  Tryg </a:t>
          </a:r>
        </a:p>
        <a:p>
          <a:pPr algn="l" rtl="0">
            <a:defRPr sz="1000"/>
          </a:pPr>
          <a:r>
            <a:rPr lang="en-US" sz="1050" b="0" i="0" strike="noStrike">
              <a:solidFill>
                <a:srgbClr val="000000"/>
              </a:solidFill>
              <a:latin typeface="Times New Roman" pitchFamily="18" charset="0"/>
              <a:ea typeface="+mn-ea"/>
              <a:cs typeface="Times New Roman" pitchFamily="18" charset="0"/>
            </a:rPr>
            <a:t>  W. R. Berkley </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  </a:t>
          </a:r>
        </a:p>
        <a:p>
          <a:pPr algn="l" rtl="0">
            <a:defRPr sz="1000"/>
          </a:pPr>
          <a:r>
            <a:rPr lang="en-US" sz="1050" b="0" i="0" strike="noStrike">
              <a:solidFill>
                <a:srgbClr val="000000"/>
              </a:solidFill>
              <a:latin typeface="Times New Roman" pitchFamily="18" charset="0"/>
              <a:ea typeface="+mn-ea"/>
              <a:cs typeface="Times New Roman" pitchFamily="18" charset="0"/>
            </a:rPr>
            <a:t>  YouPlus Livsforsikring  </a:t>
          </a:r>
        </a:p>
        <a:p>
          <a:pPr algn="l" rtl="0">
            <a:defRPr sz="1000"/>
          </a:pPr>
          <a:endParaRPr lang="en-US" sz="1050" b="0" i="0" strike="noStrike">
            <a:solidFill>
              <a:srgbClr val="000000"/>
            </a:solidFill>
            <a:latin typeface="Times New Roman" pitchFamily="18" charset="0"/>
            <a:ea typeface="+mn-ea"/>
            <a:cs typeface="Times New Roman" pitchFamily="18" charset="0"/>
          </a:endParaRP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1">
              <a:effectLst/>
              <a:latin typeface="Times New Roman" panose="02020603050405020304" pitchFamily="18" charset="0"/>
              <a:ea typeface="+mn-ea"/>
              <a:cs typeface="Times New Roman" panose="02020603050405020304" pitchFamily="18" charset="0"/>
            </a:rPr>
            <a:t>Naturskadeutbetalingene</a:t>
          </a:r>
          <a:r>
            <a:rPr lang="en-US" sz="1200" b="0" i="0">
              <a:effectLst/>
              <a:latin typeface="Times New Roman" panose="02020603050405020304" pitchFamily="18" charset="0"/>
              <a:ea typeface="+mn-ea"/>
              <a:cs typeface="Times New Roman" panose="02020603050405020304" pitchFamily="18" charset="0"/>
            </a:rPr>
            <a:t> er holdt utenfor statistikken. Det samme gjelder </a:t>
          </a:r>
          <a:r>
            <a:rPr lang="en-US" sz="1200" b="0" i="1">
              <a:effectLst/>
              <a:latin typeface="Times New Roman" panose="02020603050405020304" pitchFamily="18" charset="0"/>
              <a:ea typeface="+mn-ea"/>
              <a:cs typeface="Times New Roman" panose="02020603050405020304" pitchFamily="18" charset="0"/>
            </a:rPr>
            <a:t>kreditt</a:t>
          </a:r>
          <a:r>
            <a:rPr lang="en-US" sz="1200" b="0" i="0">
              <a:effectLst/>
              <a:latin typeface="Times New Roman" panose="02020603050405020304" pitchFamily="18" charset="0"/>
              <a:ea typeface="+mn-ea"/>
              <a:cs typeface="Times New Roman" panose="02020603050405020304" pitchFamily="18" charset="0"/>
            </a:rPr>
            <a:t>- og </a:t>
          </a:r>
          <a:r>
            <a:rPr lang="en-US" sz="1200" b="0" i="1">
              <a:effectLst/>
              <a:latin typeface="Times New Roman" panose="02020603050405020304" pitchFamily="18" charset="0"/>
              <a:ea typeface="+mn-ea"/>
              <a:cs typeface="Times New Roman" panose="02020603050405020304" pitchFamily="18" charset="0"/>
            </a:rPr>
            <a:t>sjøforsikring.</a:t>
          </a:r>
          <a:endParaRPr lang="nb-NO" sz="1200">
            <a:effectLst/>
            <a:latin typeface="Times New Roman" panose="02020603050405020304" pitchFamily="18" charset="0"/>
            <a:cs typeface="Times New Roman" panose="02020603050405020304" pitchFamily="18" charset="0"/>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(tall hittil i år).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a:t>
          </a:r>
          <a:r>
            <a:rPr lang="en-US" sz="1200" b="0" i="0" strike="noStrike">
              <a:solidFill>
                <a:srgbClr val="000000"/>
              </a:solidFill>
              <a:latin typeface="Times New Roman"/>
              <a:ea typeface="+mn-ea"/>
              <a:cs typeface="Times New Roman"/>
            </a:rPr>
            <a:t>tidsperiode statistikken omfatter (tall hittil i år). I </a:t>
          </a:r>
          <a:r>
            <a:rPr lang="en-US" sz="1200" b="0" i="0" strike="noStrike">
              <a:solidFill>
                <a:srgbClr val="000000"/>
              </a:solidFill>
              <a:latin typeface="Times New Roman"/>
              <a:cs typeface="Times New Roman"/>
            </a:rPr>
            <a:t>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heetViews>
  <sheetFormatPr defaultColWidth="11.42578125" defaultRowHeight="12.75" x14ac:dyDescent="0.2"/>
  <cols>
    <col min="1" max="1" width="16.28515625" style="151" customWidth="1"/>
    <col min="2" max="4" width="11.42578125" style="151"/>
    <col min="5" max="5" width="14.140625" style="151" bestFit="1" customWidth="1"/>
    <col min="6" max="7" width="11.42578125" style="151"/>
    <col min="8" max="8" width="13.42578125" style="151" customWidth="1"/>
    <col min="9" max="9" width="11.42578125" style="151"/>
    <col min="10" max="10" width="13.42578125" style="151" bestFit="1" customWidth="1"/>
    <col min="11" max="256" width="11.42578125" style="151"/>
    <col min="257" max="257" width="16.28515625" style="151" customWidth="1"/>
    <col min="258" max="260" width="11.42578125" style="151"/>
    <col min="261" max="261" width="14.140625" style="151" bestFit="1" customWidth="1"/>
    <col min="262" max="263" width="11.42578125" style="151"/>
    <col min="264" max="264" width="13.42578125" style="151" customWidth="1"/>
    <col min="265" max="265" width="11.42578125" style="151"/>
    <col min="266" max="266" width="13.42578125" style="151" bestFit="1" customWidth="1"/>
    <col min="267" max="512" width="11.42578125" style="151"/>
    <col min="513" max="513" width="16.28515625" style="151" customWidth="1"/>
    <col min="514" max="516" width="11.42578125" style="151"/>
    <col min="517" max="517" width="14.140625" style="151" bestFit="1" customWidth="1"/>
    <col min="518" max="519" width="11.42578125" style="151"/>
    <col min="520" max="520" width="13.42578125" style="151" customWidth="1"/>
    <col min="521" max="521" width="11.42578125" style="151"/>
    <col min="522" max="522" width="13.42578125" style="151" bestFit="1" customWidth="1"/>
    <col min="523" max="768" width="11.42578125" style="151"/>
    <col min="769" max="769" width="16.28515625" style="151" customWidth="1"/>
    <col min="770" max="772" width="11.42578125" style="151"/>
    <col min="773" max="773" width="14.140625" style="151" bestFit="1" customWidth="1"/>
    <col min="774" max="775" width="11.42578125" style="151"/>
    <col min="776" max="776" width="13.42578125" style="151" customWidth="1"/>
    <col min="777" max="777" width="11.42578125" style="151"/>
    <col min="778" max="778" width="13.42578125" style="151" bestFit="1" customWidth="1"/>
    <col min="779" max="1024" width="11.42578125" style="151"/>
    <col min="1025" max="1025" width="16.28515625" style="151" customWidth="1"/>
    <col min="1026" max="1028" width="11.42578125" style="151"/>
    <col min="1029" max="1029" width="14.140625" style="151" bestFit="1" customWidth="1"/>
    <col min="1030" max="1031" width="11.42578125" style="151"/>
    <col min="1032" max="1032" width="13.42578125" style="151" customWidth="1"/>
    <col min="1033" max="1033" width="11.42578125" style="151"/>
    <col min="1034" max="1034" width="13.42578125" style="151" bestFit="1" customWidth="1"/>
    <col min="1035" max="1280" width="11.42578125" style="151"/>
    <col min="1281" max="1281" width="16.28515625" style="151" customWidth="1"/>
    <col min="1282" max="1284" width="11.42578125" style="151"/>
    <col min="1285" max="1285" width="14.140625" style="151" bestFit="1" customWidth="1"/>
    <col min="1286" max="1287" width="11.42578125" style="151"/>
    <col min="1288" max="1288" width="13.42578125" style="151" customWidth="1"/>
    <col min="1289" max="1289" width="11.42578125" style="151"/>
    <col min="1290" max="1290" width="13.42578125" style="151" bestFit="1" customWidth="1"/>
    <col min="1291" max="1536" width="11.42578125" style="151"/>
    <col min="1537" max="1537" width="16.28515625" style="151" customWidth="1"/>
    <col min="1538" max="1540" width="11.42578125" style="151"/>
    <col min="1541" max="1541" width="14.140625" style="151" bestFit="1" customWidth="1"/>
    <col min="1542" max="1543" width="11.42578125" style="151"/>
    <col min="1544" max="1544" width="13.42578125" style="151" customWidth="1"/>
    <col min="1545" max="1545" width="11.42578125" style="151"/>
    <col min="1546" max="1546" width="13.42578125" style="151" bestFit="1" customWidth="1"/>
    <col min="1547" max="1792" width="11.42578125" style="151"/>
    <col min="1793" max="1793" width="16.28515625" style="151" customWidth="1"/>
    <col min="1794" max="1796" width="11.42578125" style="151"/>
    <col min="1797" max="1797" width="14.140625" style="151" bestFit="1" customWidth="1"/>
    <col min="1798" max="1799" width="11.42578125" style="151"/>
    <col min="1800" max="1800" width="13.42578125" style="151" customWidth="1"/>
    <col min="1801" max="1801" width="11.42578125" style="151"/>
    <col min="1802" max="1802" width="13.42578125" style="151" bestFit="1" customWidth="1"/>
    <col min="1803" max="2048" width="11.42578125" style="151"/>
    <col min="2049" max="2049" width="16.28515625" style="151" customWidth="1"/>
    <col min="2050" max="2052" width="11.42578125" style="151"/>
    <col min="2053" max="2053" width="14.140625" style="151" bestFit="1" customWidth="1"/>
    <col min="2054" max="2055" width="11.42578125" style="151"/>
    <col min="2056" max="2056" width="13.42578125" style="151" customWidth="1"/>
    <col min="2057" max="2057" width="11.42578125" style="151"/>
    <col min="2058" max="2058" width="13.42578125" style="151" bestFit="1" customWidth="1"/>
    <col min="2059" max="2304" width="11.42578125" style="151"/>
    <col min="2305" max="2305" width="16.28515625" style="151" customWidth="1"/>
    <col min="2306" max="2308" width="11.42578125" style="151"/>
    <col min="2309" max="2309" width="14.140625" style="151" bestFit="1" customWidth="1"/>
    <col min="2310" max="2311" width="11.42578125" style="151"/>
    <col min="2312" max="2312" width="13.42578125" style="151" customWidth="1"/>
    <col min="2313" max="2313" width="11.42578125" style="151"/>
    <col min="2314" max="2314" width="13.42578125" style="151" bestFit="1" customWidth="1"/>
    <col min="2315" max="2560" width="11.42578125" style="151"/>
    <col min="2561" max="2561" width="16.28515625" style="151" customWidth="1"/>
    <col min="2562" max="2564" width="11.42578125" style="151"/>
    <col min="2565" max="2565" width="14.140625" style="151" bestFit="1" customWidth="1"/>
    <col min="2566" max="2567" width="11.42578125" style="151"/>
    <col min="2568" max="2568" width="13.42578125" style="151" customWidth="1"/>
    <col min="2569" max="2569" width="11.42578125" style="151"/>
    <col min="2570" max="2570" width="13.42578125" style="151" bestFit="1" customWidth="1"/>
    <col min="2571" max="2816" width="11.42578125" style="151"/>
    <col min="2817" max="2817" width="16.28515625" style="151" customWidth="1"/>
    <col min="2818" max="2820" width="11.42578125" style="151"/>
    <col min="2821" max="2821" width="14.140625" style="151" bestFit="1" customWidth="1"/>
    <col min="2822" max="2823" width="11.42578125" style="151"/>
    <col min="2824" max="2824" width="13.42578125" style="151" customWidth="1"/>
    <col min="2825" max="2825" width="11.42578125" style="151"/>
    <col min="2826" max="2826" width="13.42578125" style="151" bestFit="1" customWidth="1"/>
    <col min="2827" max="3072" width="11.42578125" style="151"/>
    <col min="3073" max="3073" width="16.28515625" style="151" customWidth="1"/>
    <col min="3074" max="3076" width="11.42578125" style="151"/>
    <col min="3077" max="3077" width="14.140625" style="151" bestFit="1" customWidth="1"/>
    <col min="3078" max="3079" width="11.42578125" style="151"/>
    <col min="3080" max="3080" width="13.42578125" style="151" customWidth="1"/>
    <col min="3081" max="3081" width="11.42578125" style="151"/>
    <col min="3082" max="3082" width="13.42578125" style="151" bestFit="1" customWidth="1"/>
    <col min="3083" max="3328" width="11.42578125" style="151"/>
    <col min="3329" max="3329" width="16.28515625" style="151" customWidth="1"/>
    <col min="3330" max="3332" width="11.42578125" style="151"/>
    <col min="3333" max="3333" width="14.140625" style="151" bestFit="1" customWidth="1"/>
    <col min="3334" max="3335" width="11.42578125" style="151"/>
    <col min="3336" max="3336" width="13.42578125" style="151" customWidth="1"/>
    <col min="3337" max="3337" width="11.42578125" style="151"/>
    <col min="3338" max="3338" width="13.42578125" style="151" bestFit="1" customWidth="1"/>
    <col min="3339" max="3584" width="11.42578125" style="151"/>
    <col min="3585" max="3585" width="16.28515625" style="151" customWidth="1"/>
    <col min="3586" max="3588" width="11.42578125" style="151"/>
    <col min="3589" max="3589" width="14.140625" style="151" bestFit="1" customWidth="1"/>
    <col min="3590" max="3591" width="11.42578125" style="151"/>
    <col min="3592" max="3592" width="13.42578125" style="151" customWidth="1"/>
    <col min="3593" max="3593" width="11.42578125" style="151"/>
    <col min="3594" max="3594" width="13.42578125" style="151" bestFit="1" customWidth="1"/>
    <col min="3595" max="3840" width="11.42578125" style="151"/>
    <col min="3841" max="3841" width="16.28515625" style="151" customWidth="1"/>
    <col min="3842" max="3844" width="11.42578125" style="151"/>
    <col min="3845" max="3845" width="14.140625" style="151" bestFit="1" customWidth="1"/>
    <col min="3846" max="3847" width="11.42578125" style="151"/>
    <col min="3848" max="3848" width="13.42578125" style="151" customWidth="1"/>
    <col min="3849" max="3849" width="11.42578125" style="151"/>
    <col min="3850" max="3850" width="13.42578125" style="151" bestFit="1" customWidth="1"/>
    <col min="3851" max="4096" width="11.42578125" style="151"/>
    <col min="4097" max="4097" width="16.28515625" style="151" customWidth="1"/>
    <col min="4098" max="4100" width="11.42578125" style="151"/>
    <col min="4101" max="4101" width="14.140625" style="151" bestFit="1" customWidth="1"/>
    <col min="4102" max="4103" width="11.42578125" style="151"/>
    <col min="4104" max="4104" width="13.42578125" style="151" customWidth="1"/>
    <col min="4105" max="4105" width="11.42578125" style="151"/>
    <col min="4106" max="4106" width="13.42578125" style="151" bestFit="1" customWidth="1"/>
    <col min="4107" max="4352" width="11.42578125" style="151"/>
    <col min="4353" max="4353" width="16.28515625" style="151" customWidth="1"/>
    <col min="4354" max="4356" width="11.42578125" style="151"/>
    <col min="4357" max="4357" width="14.140625" style="151" bestFit="1" customWidth="1"/>
    <col min="4358" max="4359" width="11.42578125" style="151"/>
    <col min="4360" max="4360" width="13.42578125" style="151" customWidth="1"/>
    <col min="4361" max="4361" width="11.42578125" style="151"/>
    <col min="4362" max="4362" width="13.42578125" style="151" bestFit="1" customWidth="1"/>
    <col min="4363" max="4608" width="11.42578125" style="151"/>
    <col min="4609" max="4609" width="16.28515625" style="151" customWidth="1"/>
    <col min="4610" max="4612" width="11.42578125" style="151"/>
    <col min="4613" max="4613" width="14.140625" style="151" bestFit="1" customWidth="1"/>
    <col min="4614" max="4615" width="11.42578125" style="151"/>
    <col min="4616" max="4616" width="13.42578125" style="151" customWidth="1"/>
    <col min="4617" max="4617" width="11.42578125" style="151"/>
    <col min="4618" max="4618" width="13.42578125" style="151" bestFit="1" customWidth="1"/>
    <col min="4619" max="4864" width="11.42578125" style="151"/>
    <col min="4865" max="4865" width="16.28515625" style="151" customWidth="1"/>
    <col min="4866" max="4868" width="11.42578125" style="151"/>
    <col min="4869" max="4869" width="14.140625" style="151" bestFit="1" customWidth="1"/>
    <col min="4870" max="4871" width="11.42578125" style="151"/>
    <col min="4872" max="4872" width="13.42578125" style="151" customWidth="1"/>
    <col min="4873" max="4873" width="11.42578125" style="151"/>
    <col min="4874" max="4874" width="13.42578125" style="151" bestFit="1" customWidth="1"/>
    <col min="4875" max="5120" width="11.42578125" style="151"/>
    <col min="5121" max="5121" width="16.28515625" style="151" customWidth="1"/>
    <col min="5122" max="5124" width="11.42578125" style="151"/>
    <col min="5125" max="5125" width="14.140625" style="151" bestFit="1" customWidth="1"/>
    <col min="5126" max="5127" width="11.42578125" style="151"/>
    <col min="5128" max="5128" width="13.42578125" style="151" customWidth="1"/>
    <col min="5129" max="5129" width="11.42578125" style="151"/>
    <col min="5130" max="5130" width="13.42578125" style="151" bestFit="1" customWidth="1"/>
    <col min="5131" max="5376" width="11.42578125" style="151"/>
    <col min="5377" max="5377" width="16.28515625" style="151" customWidth="1"/>
    <col min="5378" max="5380" width="11.42578125" style="151"/>
    <col min="5381" max="5381" width="14.140625" style="151" bestFit="1" customWidth="1"/>
    <col min="5382" max="5383" width="11.42578125" style="151"/>
    <col min="5384" max="5384" width="13.42578125" style="151" customWidth="1"/>
    <col min="5385" max="5385" width="11.42578125" style="151"/>
    <col min="5386" max="5386" width="13.42578125" style="151" bestFit="1" customWidth="1"/>
    <col min="5387" max="5632" width="11.42578125" style="151"/>
    <col min="5633" max="5633" width="16.28515625" style="151" customWidth="1"/>
    <col min="5634" max="5636" width="11.42578125" style="151"/>
    <col min="5637" max="5637" width="14.140625" style="151" bestFit="1" customWidth="1"/>
    <col min="5638" max="5639" width="11.42578125" style="151"/>
    <col min="5640" max="5640" width="13.42578125" style="151" customWidth="1"/>
    <col min="5641" max="5641" width="11.42578125" style="151"/>
    <col min="5642" max="5642" width="13.42578125" style="151" bestFit="1" customWidth="1"/>
    <col min="5643" max="5888" width="11.42578125" style="151"/>
    <col min="5889" max="5889" width="16.28515625" style="151" customWidth="1"/>
    <col min="5890" max="5892" width="11.42578125" style="151"/>
    <col min="5893" max="5893" width="14.140625" style="151" bestFit="1" customWidth="1"/>
    <col min="5894" max="5895" width="11.42578125" style="151"/>
    <col min="5896" max="5896" width="13.42578125" style="151" customWidth="1"/>
    <col min="5897" max="5897" width="11.42578125" style="151"/>
    <col min="5898" max="5898" width="13.42578125" style="151" bestFit="1" customWidth="1"/>
    <col min="5899" max="6144" width="11.42578125" style="151"/>
    <col min="6145" max="6145" width="16.28515625" style="151" customWidth="1"/>
    <col min="6146" max="6148" width="11.42578125" style="151"/>
    <col min="6149" max="6149" width="14.140625" style="151" bestFit="1" customWidth="1"/>
    <col min="6150" max="6151" width="11.42578125" style="151"/>
    <col min="6152" max="6152" width="13.42578125" style="151" customWidth="1"/>
    <col min="6153" max="6153" width="11.42578125" style="151"/>
    <col min="6154" max="6154" width="13.42578125" style="151" bestFit="1" customWidth="1"/>
    <col min="6155" max="6400" width="11.42578125" style="151"/>
    <col min="6401" max="6401" width="16.28515625" style="151" customWidth="1"/>
    <col min="6402" max="6404" width="11.42578125" style="151"/>
    <col min="6405" max="6405" width="14.140625" style="151" bestFit="1" customWidth="1"/>
    <col min="6406" max="6407" width="11.42578125" style="151"/>
    <col min="6408" max="6408" width="13.42578125" style="151" customWidth="1"/>
    <col min="6409" max="6409" width="11.42578125" style="151"/>
    <col min="6410" max="6410" width="13.42578125" style="151" bestFit="1" customWidth="1"/>
    <col min="6411" max="6656" width="11.42578125" style="151"/>
    <col min="6657" max="6657" width="16.28515625" style="151" customWidth="1"/>
    <col min="6658" max="6660" width="11.42578125" style="151"/>
    <col min="6661" max="6661" width="14.140625" style="151" bestFit="1" customWidth="1"/>
    <col min="6662" max="6663" width="11.42578125" style="151"/>
    <col min="6664" max="6664" width="13.42578125" style="151" customWidth="1"/>
    <col min="6665" max="6665" width="11.42578125" style="151"/>
    <col min="6666" max="6666" width="13.42578125" style="151" bestFit="1" customWidth="1"/>
    <col min="6667" max="6912" width="11.42578125" style="151"/>
    <col min="6913" max="6913" width="16.28515625" style="151" customWidth="1"/>
    <col min="6914" max="6916" width="11.42578125" style="151"/>
    <col min="6917" max="6917" width="14.140625" style="151" bestFit="1" customWidth="1"/>
    <col min="6918" max="6919" width="11.42578125" style="151"/>
    <col min="6920" max="6920" width="13.42578125" style="151" customWidth="1"/>
    <col min="6921" max="6921" width="11.42578125" style="151"/>
    <col min="6922" max="6922" width="13.42578125" style="151" bestFit="1" customWidth="1"/>
    <col min="6923" max="7168" width="11.42578125" style="151"/>
    <col min="7169" max="7169" width="16.28515625" style="151" customWidth="1"/>
    <col min="7170" max="7172" width="11.42578125" style="151"/>
    <col min="7173" max="7173" width="14.140625" style="151" bestFit="1" customWidth="1"/>
    <col min="7174" max="7175" width="11.42578125" style="151"/>
    <col min="7176" max="7176" width="13.42578125" style="151" customWidth="1"/>
    <col min="7177" max="7177" width="11.42578125" style="151"/>
    <col min="7178" max="7178" width="13.42578125" style="151" bestFit="1" customWidth="1"/>
    <col min="7179" max="7424" width="11.42578125" style="151"/>
    <col min="7425" max="7425" width="16.28515625" style="151" customWidth="1"/>
    <col min="7426" max="7428" width="11.42578125" style="151"/>
    <col min="7429" max="7429" width="14.140625" style="151" bestFit="1" customWidth="1"/>
    <col min="7430" max="7431" width="11.42578125" style="151"/>
    <col min="7432" max="7432" width="13.42578125" style="151" customWidth="1"/>
    <col min="7433" max="7433" width="11.42578125" style="151"/>
    <col min="7434" max="7434" width="13.42578125" style="151" bestFit="1" customWidth="1"/>
    <col min="7435" max="7680" width="11.42578125" style="151"/>
    <col min="7681" max="7681" width="16.28515625" style="151" customWidth="1"/>
    <col min="7682" max="7684" width="11.42578125" style="151"/>
    <col min="7685" max="7685" width="14.140625" style="151" bestFit="1" customWidth="1"/>
    <col min="7686" max="7687" width="11.42578125" style="151"/>
    <col min="7688" max="7688" width="13.42578125" style="151" customWidth="1"/>
    <col min="7689" max="7689" width="11.42578125" style="151"/>
    <col min="7690" max="7690" width="13.42578125" style="151" bestFit="1" customWidth="1"/>
    <col min="7691" max="7936" width="11.42578125" style="151"/>
    <col min="7937" max="7937" width="16.28515625" style="151" customWidth="1"/>
    <col min="7938" max="7940" width="11.42578125" style="151"/>
    <col min="7941" max="7941" width="14.140625" style="151" bestFit="1" customWidth="1"/>
    <col min="7942" max="7943" width="11.42578125" style="151"/>
    <col min="7944" max="7944" width="13.42578125" style="151" customWidth="1"/>
    <col min="7945" max="7945" width="11.42578125" style="151"/>
    <col min="7946" max="7946" width="13.42578125" style="151" bestFit="1" customWidth="1"/>
    <col min="7947" max="8192" width="11.42578125" style="151"/>
    <col min="8193" max="8193" width="16.28515625" style="151" customWidth="1"/>
    <col min="8194" max="8196" width="11.42578125" style="151"/>
    <col min="8197" max="8197" width="14.140625" style="151" bestFit="1" customWidth="1"/>
    <col min="8198" max="8199" width="11.42578125" style="151"/>
    <col min="8200" max="8200" width="13.42578125" style="151" customWidth="1"/>
    <col min="8201" max="8201" width="11.42578125" style="151"/>
    <col min="8202" max="8202" width="13.42578125" style="151" bestFit="1" customWidth="1"/>
    <col min="8203" max="8448" width="11.42578125" style="151"/>
    <col min="8449" max="8449" width="16.28515625" style="151" customWidth="1"/>
    <col min="8450" max="8452" width="11.42578125" style="151"/>
    <col min="8453" max="8453" width="14.140625" style="151" bestFit="1" customWidth="1"/>
    <col min="8454" max="8455" width="11.42578125" style="151"/>
    <col min="8456" max="8456" width="13.42578125" style="151" customWidth="1"/>
    <col min="8457" max="8457" width="11.42578125" style="151"/>
    <col min="8458" max="8458" width="13.42578125" style="151" bestFit="1" customWidth="1"/>
    <col min="8459" max="8704" width="11.42578125" style="151"/>
    <col min="8705" max="8705" width="16.28515625" style="151" customWidth="1"/>
    <col min="8706" max="8708" width="11.42578125" style="151"/>
    <col min="8709" max="8709" width="14.140625" style="151" bestFit="1" customWidth="1"/>
    <col min="8710" max="8711" width="11.42578125" style="151"/>
    <col min="8712" max="8712" width="13.42578125" style="151" customWidth="1"/>
    <col min="8713" max="8713" width="11.42578125" style="151"/>
    <col min="8714" max="8714" width="13.42578125" style="151" bestFit="1" customWidth="1"/>
    <col min="8715" max="8960" width="11.42578125" style="151"/>
    <col min="8961" max="8961" width="16.28515625" style="151" customWidth="1"/>
    <col min="8962" max="8964" width="11.42578125" style="151"/>
    <col min="8965" max="8965" width="14.140625" style="151" bestFit="1" customWidth="1"/>
    <col min="8966" max="8967" width="11.42578125" style="151"/>
    <col min="8968" max="8968" width="13.42578125" style="151" customWidth="1"/>
    <col min="8969" max="8969" width="11.42578125" style="151"/>
    <col min="8970" max="8970" width="13.42578125" style="151" bestFit="1" customWidth="1"/>
    <col min="8971" max="9216" width="11.42578125" style="151"/>
    <col min="9217" max="9217" width="16.28515625" style="151" customWidth="1"/>
    <col min="9218" max="9220" width="11.42578125" style="151"/>
    <col min="9221" max="9221" width="14.140625" style="151" bestFit="1" customWidth="1"/>
    <col min="9222" max="9223" width="11.42578125" style="151"/>
    <col min="9224" max="9224" width="13.42578125" style="151" customWidth="1"/>
    <col min="9225" max="9225" width="11.42578125" style="151"/>
    <col min="9226" max="9226" width="13.42578125" style="151" bestFit="1" customWidth="1"/>
    <col min="9227" max="9472" width="11.42578125" style="151"/>
    <col min="9473" max="9473" width="16.28515625" style="151" customWidth="1"/>
    <col min="9474" max="9476" width="11.42578125" style="151"/>
    <col min="9477" max="9477" width="14.140625" style="151" bestFit="1" customWidth="1"/>
    <col min="9478" max="9479" width="11.42578125" style="151"/>
    <col min="9480" max="9480" width="13.42578125" style="151" customWidth="1"/>
    <col min="9481" max="9481" width="11.42578125" style="151"/>
    <col min="9482" max="9482" width="13.42578125" style="151" bestFit="1" customWidth="1"/>
    <col min="9483" max="9728" width="11.42578125" style="151"/>
    <col min="9729" max="9729" width="16.28515625" style="151" customWidth="1"/>
    <col min="9730" max="9732" width="11.42578125" style="151"/>
    <col min="9733" max="9733" width="14.140625" style="151" bestFit="1" customWidth="1"/>
    <col min="9734" max="9735" width="11.42578125" style="151"/>
    <col min="9736" max="9736" width="13.42578125" style="151" customWidth="1"/>
    <col min="9737" max="9737" width="11.42578125" style="151"/>
    <col min="9738" max="9738" width="13.42578125" style="151" bestFit="1" customWidth="1"/>
    <col min="9739" max="9984" width="11.42578125" style="151"/>
    <col min="9985" max="9985" width="16.28515625" style="151" customWidth="1"/>
    <col min="9986" max="9988" width="11.42578125" style="151"/>
    <col min="9989" max="9989" width="14.140625" style="151" bestFit="1" customWidth="1"/>
    <col min="9990" max="9991" width="11.42578125" style="151"/>
    <col min="9992" max="9992" width="13.42578125" style="151" customWidth="1"/>
    <col min="9993" max="9993" width="11.42578125" style="151"/>
    <col min="9994" max="9994" width="13.42578125" style="151" bestFit="1" customWidth="1"/>
    <col min="9995" max="10240" width="11.42578125" style="151"/>
    <col min="10241" max="10241" width="16.28515625" style="151" customWidth="1"/>
    <col min="10242" max="10244" width="11.42578125" style="151"/>
    <col min="10245" max="10245" width="14.140625" style="151" bestFit="1" customWidth="1"/>
    <col min="10246" max="10247" width="11.42578125" style="151"/>
    <col min="10248" max="10248" width="13.42578125" style="151" customWidth="1"/>
    <col min="10249" max="10249" width="11.42578125" style="151"/>
    <col min="10250" max="10250" width="13.42578125" style="151" bestFit="1" customWidth="1"/>
    <col min="10251" max="10496" width="11.42578125" style="151"/>
    <col min="10497" max="10497" width="16.28515625" style="151" customWidth="1"/>
    <col min="10498" max="10500" width="11.42578125" style="151"/>
    <col min="10501" max="10501" width="14.140625" style="151" bestFit="1" customWidth="1"/>
    <col min="10502" max="10503" width="11.42578125" style="151"/>
    <col min="10504" max="10504" width="13.42578125" style="151" customWidth="1"/>
    <col min="10505" max="10505" width="11.42578125" style="151"/>
    <col min="10506" max="10506" width="13.42578125" style="151" bestFit="1" customWidth="1"/>
    <col min="10507" max="10752" width="11.42578125" style="151"/>
    <col min="10753" max="10753" width="16.28515625" style="151" customWidth="1"/>
    <col min="10754" max="10756" width="11.42578125" style="151"/>
    <col min="10757" max="10757" width="14.140625" style="151" bestFit="1" customWidth="1"/>
    <col min="10758" max="10759" width="11.42578125" style="151"/>
    <col min="10760" max="10760" width="13.42578125" style="151" customWidth="1"/>
    <col min="10761" max="10761" width="11.42578125" style="151"/>
    <col min="10762" max="10762" width="13.42578125" style="151" bestFit="1" customWidth="1"/>
    <col min="10763" max="11008" width="11.42578125" style="151"/>
    <col min="11009" max="11009" width="16.28515625" style="151" customWidth="1"/>
    <col min="11010" max="11012" width="11.42578125" style="151"/>
    <col min="11013" max="11013" width="14.140625" style="151" bestFit="1" customWidth="1"/>
    <col min="11014" max="11015" width="11.42578125" style="151"/>
    <col min="11016" max="11016" width="13.42578125" style="151" customWidth="1"/>
    <col min="11017" max="11017" width="11.42578125" style="151"/>
    <col min="11018" max="11018" width="13.42578125" style="151" bestFit="1" customWidth="1"/>
    <col min="11019" max="11264" width="11.42578125" style="151"/>
    <col min="11265" max="11265" width="16.28515625" style="151" customWidth="1"/>
    <col min="11266" max="11268" width="11.42578125" style="151"/>
    <col min="11269" max="11269" width="14.140625" style="151" bestFit="1" customWidth="1"/>
    <col min="11270" max="11271" width="11.42578125" style="151"/>
    <col min="11272" max="11272" width="13.42578125" style="151" customWidth="1"/>
    <col min="11273" max="11273" width="11.42578125" style="151"/>
    <col min="11274" max="11274" width="13.42578125" style="151" bestFit="1" customWidth="1"/>
    <col min="11275" max="11520" width="11.42578125" style="151"/>
    <col min="11521" max="11521" width="16.28515625" style="151" customWidth="1"/>
    <col min="11522" max="11524" width="11.42578125" style="151"/>
    <col min="11525" max="11525" width="14.140625" style="151" bestFit="1" customWidth="1"/>
    <col min="11526" max="11527" width="11.42578125" style="151"/>
    <col min="11528" max="11528" width="13.42578125" style="151" customWidth="1"/>
    <col min="11529" max="11529" width="11.42578125" style="151"/>
    <col min="11530" max="11530" width="13.42578125" style="151" bestFit="1" customWidth="1"/>
    <col min="11531" max="11776" width="11.42578125" style="151"/>
    <col min="11777" max="11777" width="16.28515625" style="151" customWidth="1"/>
    <col min="11778" max="11780" width="11.42578125" style="151"/>
    <col min="11781" max="11781" width="14.140625" style="151" bestFit="1" customWidth="1"/>
    <col min="11782" max="11783" width="11.42578125" style="151"/>
    <col min="11784" max="11784" width="13.42578125" style="151" customWidth="1"/>
    <col min="11785" max="11785" width="11.42578125" style="151"/>
    <col min="11786" max="11786" width="13.42578125" style="151" bestFit="1" customWidth="1"/>
    <col min="11787" max="12032" width="11.42578125" style="151"/>
    <col min="12033" max="12033" width="16.28515625" style="151" customWidth="1"/>
    <col min="12034" max="12036" width="11.42578125" style="151"/>
    <col min="12037" max="12037" width="14.140625" style="151" bestFit="1" customWidth="1"/>
    <col min="12038" max="12039" width="11.42578125" style="151"/>
    <col min="12040" max="12040" width="13.42578125" style="151" customWidth="1"/>
    <col min="12041" max="12041" width="11.42578125" style="151"/>
    <col min="12042" max="12042" width="13.42578125" style="151" bestFit="1" customWidth="1"/>
    <col min="12043" max="12288" width="11.42578125" style="151"/>
    <col min="12289" max="12289" width="16.28515625" style="151" customWidth="1"/>
    <col min="12290" max="12292" width="11.42578125" style="151"/>
    <col min="12293" max="12293" width="14.140625" style="151" bestFit="1" customWidth="1"/>
    <col min="12294" max="12295" width="11.42578125" style="151"/>
    <col min="12296" max="12296" width="13.42578125" style="151" customWidth="1"/>
    <col min="12297" max="12297" width="11.42578125" style="151"/>
    <col min="12298" max="12298" width="13.42578125" style="151" bestFit="1" customWidth="1"/>
    <col min="12299" max="12544" width="11.42578125" style="151"/>
    <col min="12545" max="12545" width="16.28515625" style="151" customWidth="1"/>
    <col min="12546" max="12548" width="11.42578125" style="151"/>
    <col min="12549" max="12549" width="14.140625" style="151" bestFit="1" customWidth="1"/>
    <col min="12550" max="12551" width="11.42578125" style="151"/>
    <col min="12552" max="12552" width="13.42578125" style="151" customWidth="1"/>
    <col min="12553" max="12553" width="11.42578125" style="151"/>
    <col min="12554" max="12554" width="13.42578125" style="151" bestFit="1" customWidth="1"/>
    <col min="12555" max="12800" width="11.42578125" style="151"/>
    <col min="12801" max="12801" width="16.28515625" style="151" customWidth="1"/>
    <col min="12802" max="12804" width="11.42578125" style="151"/>
    <col min="12805" max="12805" width="14.140625" style="151" bestFit="1" customWidth="1"/>
    <col min="12806" max="12807" width="11.42578125" style="151"/>
    <col min="12808" max="12808" width="13.42578125" style="151" customWidth="1"/>
    <col min="12809" max="12809" width="11.42578125" style="151"/>
    <col min="12810" max="12810" width="13.42578125" style="151" bestFit="1" customWidth="1"/>
    <col min="12811" max="13056" width="11.42578125" style="151"/>
    <col min="13057" max="13057" width="16.28515625" style="151" customWidth="1"/>
    <col min="13058" max="13060" width="11.42578125" style="151"/>
    <col min="13061" max="13061" width="14.140625" style="151" bestFit="1" customWidth="1"/>
    <col min="13062" max="13063" width="11.42578125" style="151"/>
    <col min="13064" max="13064" width="13.42578125" style="151" customWidth="1"/>
    <col min="13065" max="13065" width="11.42578125" style="151"/>
    <col min="13066" max="13066" width="13.42578125" style="151" bestFit="1" customWidth="1"/>
    <col min="13067" max="13312" width="11.42578125" style="151"/>
    <col min="13313" max="13313" width="16.28515625" style="151" customWidth="1"/>
    <col min="13314" max="13316" width="11.42578125" style="151"/>
    <col min="13317" max="13317" width="14.140625" style="151" bestFit="1" customWidth="1"/>
    <col min="13318" max="13319" width="11.42578125" style="151"/>
    <col min="13320" max="13320" width="13.42578125" style="151" customWidth="1"/>
    <col min="13321" max="13321" width="11.42578125" style="151"/>
    <col min="13322" max="13322" width="13.42578125" style="151" bestFit="1" customWidth="1"/>
    <col min="13323" max="13568" width="11.42578125" style="151"/>
    <col min="13569" max="13569" width="16.28515625" style="151" customWidth="1"/>
    <col min="13570" max="13572" width="11.42578125" style="151"/>
    <col min="13573" max="13573" width="14.140625" style="151" bestFit="1" customWidth="1"/>
    <col min="13574" max="13575" width="11.42578125" style="151"/>
    <col min="13576" max="13576" width="13.42578125" style="151" customWidth="1"/>
    <col min="13577" max="13577" width="11.42578125" style="151"/>
    <col min="13578" max="13578" width="13.42578125" style="151" bestFit="1" customWidth="1"/>
    <col min="13579" max="13824" width="11.42578125" style="151"/>
    <col min="13825" max="13825" width="16.28515625" style="151" customWidth="1"/>
    <col min="13826" max="13828" width="11.42578125" style="151"/>
    <col min="13829" max="13829" width="14.140625" style="151" bestFit="1" customWidth="1"/>
    <col min="13830" max="13831" width="11.42578125" style="151"/>
    <col min="13832" max="13832" width="13.42578125" style="151" customWidth="1"/>
    <col min="13833" max="13833" width="11.42578125" style="151"/>
    <col min="13834" max="13834" width="13.42578125" style="151" bestFit="1" customWidth="1"/>
    <col min="13835" max="14080" width="11.42578125" style="151"/>
    <col min="14081" max="14081" width="16.28515625" style="151" customWidth="1"/>
    <col min="14082" max="14084" width="11.42578125" style="151"/>
    <col min="14085" max="14085" width="14.140625" style="151" bestFit="1" customWidth="1"/>
    <col min="14086" max="14087" width="11.42578125" style="151"/>
    <col min="14088" max="14088" width="13.42578125" style="151" customWidth="1"/>
    <col min="14089" max="14089" width="11.42578125" style="151"/>
    <col min="14090" max="14090" width="13.42578125" style="151" bestFit="1" customWidth="1"/>
    <col min="14091" max="14336" width="11.42578125" style="151"/>
    <col min="14337" max="14337" width="16.28515625" style="151" customWidth="1"/>
    <col min="14338" max="14340" width="11.42578125" style="151"/>
    <col min="14341" max="14341" width="14.140625" style="151" bestFit="1" customWidth="1"/>
    <col min="14342" max="14343" width="11.42578125" style="151"/>
    <col min="14344" max="14344" width="13.42578125" style="151" customWidth="1"/>
    <col min="14345" max="14345" width="11.42578125" style="151"/>
    <col min="14346" max="14346" width="13.42578125" style="151" bestFit="1" customWidth="1"/>
    <col min="14347" max="14592" width="11.42578125" style="151"/>
    <col min="14593" max="14593" width="16.28515625" style="151" customWidth="1"/>
    <col min="14594" max="14596" width="11.42578125" style="151"/>
    <col min="14597" max="14597" width="14.140625" style="151" bestFit="1" customWidth="1"/>
    <col min="14598" max="14599" width="11.42578125" style="151"/>
    <col min="14600" max="14600" width="13.42578125" style="151" customWidth="1"/>
    <col min="14601" max="14601" width="11.42578125" style="151"/>
    <col min="14602" max="14602" width="13.42578125" style="151" bestFit="1" customWidth="1"/>
    <col min="14603" max="14848" width="11.42578125" style="151"/>
    <col min="14849" max="14849" width="16.28515625" style="151" customWidth="1"/>
    <col min="14850" max="14852" width="11.42578125" style="151"/>
    <col min="14853" max="14853" width="14.140625" style="151" bestFit="1" customWidth="1"/>
    <col min="14854" max="14855" width="11.42578125" style="151"/>
    <col min="14856" max="14856" width="13.42578125" style="151" customWidth="1"/>
    <col min="14857" max="14857" width="11.42578125" style="151"/>
    <col min="14858" max="14858" width="13.42578125" style="151" bestFit="1" customWidth="1"/>
    <col min="14859" max="15104" width="11.42578125" style="151"/>
    <col min="15105" max="15105" width="16.28515625" style="151" customWidth="1"/>
    <col min="15106" max="15108" width="11.42578125" style="151"/>
    <col min="15109" max="15109" width="14.140625" style="151" bestFit="1" customWidth="1"/>
    <col min="15110" max="15111" width="11.42578125" style="151"/>
    <col min="15112" max="15112" width="13.42578125" style="151" customWidth="1"/>
    <col min="15113" max="15113" width="11.42578125" style="151"/>
    <col min="15114" max="15114" width="13.42578125" style="151" bestFit="1" customWidth="1"/>
    <col min="15115" max="15360" width="11.42578125" style="151"/>
    <col min="15361" max="15361" width="16.28515625" style="151" customWidth="1"/>
    <col min="15362" max="15364" width="11.42578125" style="151"/>
    <col min="15365" max="15365" width="14.140625" style="151" bestFit="1" customWidth="1"/>
    <col min="15366" max="15367" width="11.42578125" style="151"/>
    <col min="15368" max="15368" width="13.42578125" style="151" customWidth="1"/>
    <col min="15369" max="15369" width="11.42578125" style="151"/>
    <col min="15370" max="15370" width="13.42578125" style="151" bestFit="1" customWidth="1"/>
    <col min="15371" max="15616" width="11.42578125" style="151"/>
    <col min="15617" max="15617" width="16.28515625" style="151" customWidth="1"/>
    <col min="15618" max="15620" width="11.42578125" style="151"/>
    <col min="15621" max="15621" width="14.140625" style="151" bestFit="1" customWidth="1"/>
    <col min="15622" max="15623" width="11.42578125" style="151"/>
    <col min="15624" max="15624" width="13.42578125" style="151" customWidth="1"/>
    <col min="15625" max="15625" width="11.42578125" style="151"/>
    <col min="15626" max="15626" width="13.42578125" style="151" bestFit="1" customWidth="1"/>
    <col min="15627" max="15872" width="11.42578125" style="151"/>
    <col min="15873" max="15873" width="16.28515625" style="151" customWidth="1"/>
    <col min="15874" max="15876" width="11.42578125" style="151"/>
    <col min="15877" max="15877" width="14.140625" style="151" bestFit="1" customWidth="1"/>
    <col min="15878" max="15879" width="11.42578125" style="151"/>
    <col min="15880" max="15880" width="13.42578125" style="151" customWidth="1"/>
    <col min="15881" max="15881" width="11.42578125" style="151"/>
    <col min="15882" max="15882" width="13.42578125" style="151" bestFit="1" customWidth="1"/>
    <col min="15883" max="16128" width="11.42578125" style="151"/>
    <col min="16129" max="16129" width="16.28515625" style="151" customWidth="1"/>
    <col min="16130" max="16132" width="11.42578125" style="151"/>
    <col min="16133" max="16133" width="14.140625" style="151" bestFit="1" customWidth="1"/>
    <col min="16134" max="16135" width="11.42578125" style="151"/>
    <col min="16136" max="16136" width="13.42578125" style="151" customWidth="1"/>
    <col min="16137" max="16137" width="11.42578125" style="151"/>
    <col min="16138" max="16138" width="13.42578125" style="151" bestFit="1" customWidth="1"/>
    <col min="16139" max="16384" width="11.42578125" style="151"/>
  </cols>
  <sheetData>
    <row r="5" spans="2:9" x14ac:dyDescent="0.2">
      <c r="B5" s="150"/>
      <c r="C5" s="150"/>
      <c r="D5" s="150"/>
      <c r="E5" s="150"/>
      <c r="F5" s="150"/>
      <c r="G5" s="150"/>
      <c r="H5" s="150"/>
    </row>
    <row r="6" spans="2:9" ht="23.25" x14ac:dyDescent="0.35">
      <c r="B6" s="152"/>
      <c r="C6" s="150"/>
      <c r="D6" s="150"/>
      <c r="E6" s="150"/>
      <c r="F6" s="150"/>
      <c r="G6" s="150"/>
      <c r="H6" s="150"/>
      <c r="I6" s="153"/>
    </row>
    <row r="7" spans="2:9" x14ac:dyDescent="0.2">
      <c r="B7" s="150"/>
      <c r="C7" s="150"/>
      <c r="D7" s="150"/>
      <c r="E7" s="150"/>
      <c r="F7" s="150"/>
      <c r="G7" s="150"/>
      <c r="H7" s="150"/>
      <c r="I7" s="150"/>
    </row>
    <row r="8" spans="2:9" x14ac:dyDescent="0.2">
      <c r="B8" s="150"/>
      <c r="C8" s="150"/>
      <c r="D8" s="150"/>
      <c r="F8" s="150"/>
      <c r="G8" s="150"/>
      <c r="H8" s="150"/>
    </row>
    <row r="9" spans="2:9" x14ac:dyDescent="0.2">
      <c r="B9" s="150"/>
      <c r="C9" s="150"/>
      <c r="D9" s="150"/>
      <c r="E9" s="150"/>
      <c r="F9" s="150"/>
      <c r="G9" s="150"/>
      <c r="H9" s="150"/>
    </row>
    <row r="10" spans="2:9" ht="23.25" x14ac:dyDescent="0.35">
      <c r="B10" s="150"/>
      <c r="C10" s="150"/>
      <c r="D10" s="150"/>
      <c r="I10" s="153"/>
    </row>
    <row r="11" spans="2:9" x14ac:dyDescent="0.2">
      <c r="B11" s="150"/>
      <c r="C11" s="150"/>
      <c r="D11" s="150"/>
    </row>
    <row r="12" spans="2:9" ht="27" customHeight="1" x14ac:dyDescent="0.35">
      <c r="B12" s="150"/>
      <c r="C12" s="150"/>
      <c r="D12" s="150"/>
      <c r="E12" s="150"/>
      <c r="F12" s="150"/>
      <c r="G12" s="150"/>
      <c r="H12" s="150"/>
      <c r="I12" s="153"/>
    </row>
    <row r="13" spans="2:9" ht="19.5" customHeight="1" x14ac:dyDescent="0.35">
      <c r="B13" s="150"/>
      <c r="C13" s="154"/>
      <c r="D13" s="154"/>
      <c r="E13" s="154"/>
      <c r="F13" s="154"/>
      <c r="G13" s="154"/>
      <c r="H13" s="154"/>
      <c r="I13" s="153"/>
    </row>
    <row r="14" spans="2:9" x14ac:dyDescent="0.2">
      <c r="B14" s="150"/>
      <c r="C14" s="150"/>
      <c r="D14" s="150"/>
      <c r="F14" s="150"/>
      <c r="G14" s="150"/>
      <c r="H14" s="150"/>
    </row>
    <row r="15" spans="2:9" x14ac:dyDescent="0.2">
      <c r="B15" s="150"/>
      <c r="C15" s="150"/>
      <c r="D15" s="150"/>
      <c r="F15" s="150"/>
      <c r="G15" s="150"/>
      <c r="H15" s="150"/>
      <c r="I15" s="150"/>
    </row>
    <row r="16" spans="2:9" ht="34.5" x14ac:dyDescent="0.45">
      <c r="B16" s="150"/>
      <c r="C16" s="150"/>
      <c r="D16" s="150"/>
      <c r="E16" s="155"/>
      <c r="F16" s="150"/>
      <c r="G16" s="150"/>
      <c r="H16" s="150"/>
      <c r="I16" s="150"/>
    </row>
    <row r="17" spans="2:9" ht="33" x14ac:dyDescent="0.45">
      <c r="B17" s="150"/>
      <c r="C17" s="150"/>
      <c r="D17" s="150"/>
      <c r="E17" s="156"/>
      <c r="F17" s="150"/>
      <c r="G17" s="150"/>
      <c r="H17" s="150"/>
      <c r="I17" s="150"/>
    </row>
    <row r="18" spans="2:9" ht="33" x14ac:dyDescent="0.45">
      <c r="D18" s="156"/>
    </row>
    <row r="19" spans="2:9" ht="18.75" x14ac:dyDescent="0.3">
      <c r="E19" s="157"/>
      <c r="I19" s="158"/>
    </row>
    <row r="21" spans="2:9" x14ac:dyDescent="0.2">
      <c r="E21" s="159"/>
    </row>
    <row r="22" spans="2:9" ht="26.25" x14ac:dyDescent="0.4">
      <c r="E22" s="160"/>
    </row>
    <row r="25" spans="2:9" ht="18.75" x14ac:dyDescent="0.3">
      <c r="E25" s="161"/>
    </row>
    <row r="26" spans="2:9" ht="18.75" x14ac:dyDescent="0.3">
      <c r="E26" s="162"/>
    </row>
    <row r="28" spans="2:9" x14ac:dyDescent="0.2">
      <c r="D28" s="154"/>
      <c r="E28" s="154"/>
      <c r="F28" s="154"/>
      <c r="G28" s="154"/>
      <c r="H28" s="154"/>
    </row>
    <row r="33" spans="1:9" ht="35.25" x14ac:dyDescent="0.2">
      <c r="A33" s="163"/>
    </row>
    <row r="36" spans="1:9" ht="33" x14ac:dyDescent="0.2">
      <c r="B36" s="164"/>
    </row>
    <row r="39" spans="1:9" ht="18" x14ac:dyDescent="0.25">
      <c r="B39" s="165"/>
    </row>
    <row r="41" spans="1:9" ht="18.75" x14ac:dyDescent="0.3">
      <c r="I41" s="166"/>
    </row>
    <row r="43" spans="1:9" ht="18.75" x14ac:dyDescent="0.3">
      <c r="B43" s="199"/>
      <c r="C43" s="199"/>
      <c r="D43" s="199"/>
    </row>
    <row r="57" spans="10:10" ht="18.75" x14ac:dyDescent="0.3">
      <c r="J57" s="167"/>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3" t="s">
        <v>1</v>
      </c>
      <c r="H5" s="204"/>
    </row>
    <row r="6" spans="1:8" x14ac:dyDescent="0.2">
      <c r="A6" s="12"/>
      <c r="B6" s="13"/>
      <c r="C6" s="14" t="s">
        <v>234</v>
      </c>
      <c r="D6" s="15" t="s">
        <v>235</v>
      </c>
      <c r="E6" s="15" t="s">
        <v>236</v>
      </c>
      <c r="F6" s="16"/>
      <c r="G6" s="17" t="s">
        <v>237</v>
      </c>
      <c r="H6" s="18" t="s">
        <v>238</v>
      </c>
    </row>
    <row r="7" spans="1:8" x14ac:dyDescent="0.2">
      <c r="A7" s="205" t="s">
        <v>42</v>
      </c>
      <c r="B7" s="19" t="s">
        <v>3</v>
      </c>
      <c r="C7" s="20">
        <v>249832.07214984566</v>
      </c>
      <c r="D7" s="20">
        <v>264124.51689077239</v>
      </c>
      <c r="E7" s="21">
        <v>288731.08679594018</v>
      </c>
      <c r="F7" s="22" t="s">
        <v>239</v>
      </c>
      <c r="G7" s="23">
        <v>15.570064448236025</v>
      </c>
      <c r="H7" s="24">
        <v>9.3162763513331015</v>
      </c>
    </row>
    <row r="8" spans="1:8" x14ac:dyDescent="0.2">
      <c r="A8" s="206"/>
      <c r="B8" s="25" t="s">
        <v>240</v>
      </c>
      <c r="C8" s="26">
        <v>55060.821866443432</v>
      </c>
      <c r="D8" s="26">
        <v>58109</v>
      </c>
      <c r="E8" s="26">
        <v>63559.629222693104</v>
      </c>
      <c r="F8" s="27"/>
      <c r="G8" s="28">
        <v>15.435307843505399</v>
      </c>
      <c r="H8" s="29">
        <v>9.3800086435717418</v>
      </c>
    </row>
    <row r="9" spans="1:8" x14ac:dyDescent="0.2">
      <c r="A9" s="30" t="s">
        <v>18</v>
      </c>
      <c r="B9" s="31" t="s">
        <v>3</v>
      </c>
      <c r="C9" s="20">
        <v>12845.532191304348</v>
      </c>
      <c r="D9" s="20">
        <v>11937.251773913044</v>
      </c>
      <c r="E9" s="21">
        <v>15806.69476081362</v>
      </c>
      <c r="F9" s="22" t="s">
        <v>239</v>
      </c>
      <c r="G9" s="32">
        <v>23.052081653057542</v>
      </c>
      <c r="H9" s="33">
        <v>32.414856117524693</v>
      </c>
    </row>
    <row r="10" spans="1:8" x14ac:dyDescent="0.2">
      <c r="A10" s="34"/>
      <c r="B10" s="25" t="s">
        <v>240</v>
      </c>
      <c r="C10" s="26">
        <v>2409.0737608695654</v>
      </c>
      <c r="D10" s="26">
        <v>2178</v>
      </c>
      <c r="E10" s="26">
        <v>2910.3129434782609</v>
      </c>
      <c r="F10" s="27"/>
      <c r="G10" s="35">
        <v>20.806302851755405</v>
      </c>
      <c r="H10" s="29">
        <v>33.62318381442887</v>
      </c>
    </row>
    <row r="11" spans="1:8" x14ac:dyDescent="0.2">
      <c r="A11" s="30" t="s">
        <v>19</v>
      </c>
      <c r="B11" s="31" t="s">
        <v>3</v>
      </c>
      <c r="C11" s="20">
        <v>10764.107304347826</v>
      </c>
      <c r="D11" s="20">
        <v>16236.505913043478</v>
      </c>
      <c r="E11" s="21">
        <v>30240.949193480184</v>
      </c>
      <c r="F11" s="22" t="s">
        <v>239</v>
      </c>
      <c r="G11" s="37">
        <v>180.94247240795613</v>
      </c>
      <c r="H11" s="33">
        <v>86.252814216550973</v>
      </c>
    </row>
    <row r="12" spans="1:8" x14ac:dyDescent="0.2">
      <c r="A12" s="34"/>
      <c r="B12" s="25" t="s">
        <v>240</v>
      </c>
      <c r="C12" s="26">
        <v>2362.2458695652176</v>
      </c>
      <c r="D12" s="26">
        <v>3202</v>
      </c>
      <c r="E12" s="26">
        <v>6172.3764782608696</v>
      </c>
      <c r="F12" s="27"/>
      <c r="G12" s="28">
        <v>161.29271968615717</v>
      </c>
      <c r="H12" s="29">
        <v>92.766286016891598</v>
      </c>
    </row>
    <row r="13" spans="1:8" x14ac:dyDescent="0.2">
      <c r="A13" s="30" t="s">
        <v>20</v>
      </c>
      <c r="B13" s="31" t="s">
        <v>3</v>
      </c>
      <c r="C13" s="20">
        <v>31657.432049689443</v>
      </c>
      <c r="D13" s="20">
        <v>32287.336149068324</v>
      </c>
      <c r="E13" s="21">
        <v>36113.40771655101</v>
      </c>
      <c r="F13" s="22" t="s">
        <v>239</v>
      </c>
      <c r="G13" s="23">
        <v>14.075606827071368</v>
      </c>
      <c r="H13" s="24">
        <v>11.850068862348962</v>
      </c>
    </row>
    <row r="14" spans="1:8" x14ac:dyDescent="0.2">
      <c r="A14" s="34"/>
      <c r="B14" s="25" t="s">
        <v>240</v>
      </c>
      <c r="C14" s="26">
        <v>5045.1170807453418</v>
      </c>
      <c r="D14" s="26">
        <v>5836</v>
      </c>
      <c r="E14" s="26">
        <v>6248.0840372670809</v>
      </c>
      <c r="F14" s="27"/>
      <c r="G14" s="38">
        <v>23.844183143199089</v>
      </c>
      <c r="H14" s="24">
        <v>7.0610698640692533</v>
      </c>
    </row>
    <row r="15" spans="1:8" x14ac:dyDescent="0.2">
      <c r="A15" s="30" t="s">
        <v>21</v>
      </c>
      <c r="B15" s="31" t="s">
        <v>3</v>
      </c>
      <c r="C15" s="20">
        <v>2829.7093478260867</v>
      </c>
      <c r="D15" s="20">
        <v>3271.4313768115944</v>
      </c>
      <c r="E15" s="21">
        <v>3800.7895093896113</v>
      </c>
      <c r="F15" s="22" t="s">
        <v>239</v>
      </c>
      <c r="G15" s="37">
        <v>34.317311151039348</v>
      </c>
      <c r="H15" s="33">
        <v>16.181239084829599</v>
      </c>
    </row>
    <row r="16" spans="1:8" x14ac:dyDescent="0.2">
      <c r="A16" s="34"/>
      <c r="B16" s="25" t="s">
        <v>240</v>
      </c>
      <c r="C16" s="26">
        <v>576.03414855072469</v>
      </c>
      <c r="D16" s="26">
        <v>745</v>
      </c>
      <c r="E16" s="26">
        <v>832.6078442028986</v>
      </c>
      <c r="F16" s="27"/>
      <c r="G16" s="28">
        <v>44.541403716724346</v>
      </c>
      <c r="H16" s="29">
        <v>11.75944217488572</v>
      </c>
    </row>
    <row r="17" spans="1:8" x14ac:dyDescent="0.2">
      <c r="A17" s="30" t="s">
        <v>22</v>
      </c>
      <c r="B17" s="31" t="s">
        <v>3</v>
      </c>
      <c r="C17" s="20">
        <v>7941.7093478260867</v>
      </c>
      <c r="D17" s="20">
        <v>9443.4313768115935</v>
      </c>
      <c r="E17" s="21">
        <v>10419.284191824616</v>
      </c>
      <c r="F17" s="22" t="s">
        <v>239</v>
      </c>
      <c r="G17" s="37">
        <v>31.196997214166799</v>
      </c>
      <c r="H17" s="33">
        <v>10.333667668822528</v>
      </c>
    </row>
    <row r="18" spans="1:8" x14ac:dyDescent="0.2">
      <c r="A18" s="34"/>
      <c r="B18" s="25" t="s">
        <v>240</v>
      </c>
      <c r="C18" s="26">
        <v>1461.0341485507247</v>
      </c>
      <c r="D18" s="26">
        <v>1537</v>
      </c>
      <c r="E18" s="26">
        <v>1763.6078442028986</v>
      </c>
      <c r="F18" s="27"/>
      <c r="G18" s="28">
        <v>20.709556717227471</v>
      </c>
      <c r="H18" s="29">
        <v>14.743516213591306</v>
      </c>
    </row>
    <row r="19" spans="1:8" x14ac:dyDescent="0.2">
      <c r="A19" s="30" t="s">
        <v>189</v>
      </c>
      <c r="B19" s="31" t="s">
        <v>3</v>
      </c>
      <c r="C19" s="20">
        <v>174752.0801242236</v>
      </c>
      <c r="D19" s="20">
        <v>180191.84037267079</v>
      </c>
      <c r="E19" s="21">
        <v>199584.15811115038</v>
      </c>
      <c r="F19" s="22" t="s">
        <v>239</v>
      </c>
      <c r="G19" s="23">
        <v>14.209889787449015</v>
      </c>
      <c r="H19" s="24">
        <v>10.762039889471467</v>
      </c>
    </row>
    <row r="20" spans="1:8" x14ac:dyDescent="0.2">
      <c r="A20" s="30"/>
      <c r="B20" s="25" t="s">
        <v>240</v>
      </c>
      <c r="C20" s="26">
        <v>40958.292701863356</v>
      </c>
      <c r="D20" s="26">
        <v>37761</v>
      </c>
      <c r="E20" s="26">
        <v>43355.210093167705</v>
      </c>
      <c r="F20" s="27"/>
      <c r="G20" s="38">
        <v>5.852093027293833</v>
      </c>
      <c r="H20" s="24">
        <v>14.814782694228711</v>
      </c>
    </row>
    <row r="21" spans="1:8" x14ac:dyDescent="0.2">
      <c r="A21" s="39" t="s">
        <v>12</v>
      </c>
      <c r="B21" s="31" t="s">
        <v>3</v>
      </c>
      <c r="C21" s="20">
        <v>1887.4256086956523</v>
      </c>
      <c r="D21" s="20">
        <v>1878.4588260869566</v>
      </c>
      <c r="E21" s="21">
        <v>2095.5943068704019</v>
      </c>
      <c r="F21" s="22" t="s">
        <v>239</v>
      </c>
      <c r="G21" s="37">
        <v>11.029239892459074</v>
      </c>
      <c r="H21" s="33">
        <v>11.55923556949945</v>
      </c>
    </row>
    <row r="22" spans="1:8" x14ac:dyDescent="0.2">
      <c r="A22" s="34"/>
      <c r="B22" s="25" t="s">
        <v>240</v>
      </c>
      <c r="C22" s="26">
        <v>407.02048913043478</v>
      </c>
      <c r="D22" s="26">
        <v>290</v>
      </c>
      <c r="E22" s="26">
        <v>357.36470652173915</v>
      </c>
      <c r="F22" s="27"/>
      <c r="G22" s="28">
        <v>-12.199823825768831</v>
      </c>
      <c r="H22" s="29">
        <v>23.229209145427305</v>
      </c>
    </row>
    <row r="23" spans="1:8" x14ac:dyDescent="0.2">
      <c r="A23" s="39" t="s">
        <v>23</v>
      </c>
      <c r="B23" s="31" t="s">
        <v>3</v>
      </c>
      <c r="C23" s="20">
        <v>5248.7093478260867</v>
      </c>
      <c r="D23" s="20">
        <v>5164.4313768115944</v>
      </c>
      <c r="E23" s="21">
        <v>5044.6074969305719</v>
      </c>
      <c r="F23" s="22" t="s">
        <v>239</v>
      </c>
      <c r="G23" s="23">
        <v>-3.8886102729245238</v>
      </c>
      <c r="H23" s="24">
        <v>-2.3201756619138081</v>
      </c>
    </row>
    <row r="24" spans="1:8" x14ac:dyDescent="0.2">
      <c r="A24" s="34"/>
      <c r="B24" s="25" t="s">
        <v>240</v>
      </c>
      <c r="C24" s="26">
        <v>1364.0341485507247</v>
      </c>
      <c r="D24" s="26">
        <v>1396</v>
      </c>
      <c r="E24" s="26">
        <v>1345.6078442028986</v>
      </c>
      <c r="F24" s="27"/>
      <c r="G24" s="28">
        <v>-1.3508682584965896</v>
      </c>
      <c r="H24" s="29">
        <v>-3.6097532805946457</v>
      </c>
    </row>
    <row r="25" spans="1:8" x14ac:dyDescent="0.2">
      <c r="A25" s="30" t="s">
        <v>24</v>
      </c>
      <c r="B25" s="31" t="s">
        <v>3</v>
      </c>
      <c r="C25" s="20">
        <v>6306.4186956521735</v>
      </c>
      <c r="D25" s="20">
        <v>9164.8627536231888</v>
      </c>
      <c r="E25" s="21">
        <v>6310.7186793848368</v>
      </c>
      <c r="F25" s="22" t="s">
        <v>239</v>
      </c>
      <c r="G25" s="23">
        <v>6.8184241170470727E-2</v>
      </c>
      <c r="H25" s="24">
        <v>-31.142245672037035</v>
      </c>
    </row>
    <row r="26" spans="1:8" ht="13.5" thickBot="1" x14ac:dyDescent="0.25">
      <c r="A26" s="41"/>
      <c r="B26" s="42" t="s">
        <v>240</v>
      </c>
      <c r="C26" s="43">
        <v>1903.0682971014494</v>
      </c>
      <c r="D26" s="43">
        <v>6100</v>
      </c>
      <c r="E26" s="43">
        <v>2996.2156884057972</v>
      </c>
      <c r="F26" s="44"/>
      <c r="G26" s="45">
        <v>57.4413116423259</v>
      </c>
      <c r="H26" s="46">
        <v>-50.881710026134478</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234</v>
      </c>
      <c r="D34" s="15" t="s">
        <v>235</v>
      </c>
      <c r="E34" s="15" t="s">
        <v>236</v>
      </c>
      <c r="F34" s="16"/>
      <c r="G34" s="17" t="s">
        <v>237</v>
      </c>
      <c r="H34" s="18" t="s">
        <v>238</v>
      </c>
    </row>
    <row r="35" spans="1:8" ht="12.75" customHeight="1" x14ac:dyDescent="0.2">
      <c r="A35" s="205" t="s">
        <v>42</v>
      </c>
      <c r="B35" s="19" t="s">
        <v>3</v>
      </c>
      <c r="C35" s="80">
        <v>1971.5021411937805</v>
      </c>
      <c r="D35" s="80">
        <v>2368.1170533942236</v>
      </c>
      <c r="E35" s="83">
        <v>2752.9487013166354</v>
      </c>
      <c r="F35" s="22" t="s">
        <v>239</v>
      </c>
      <c r="G35" s="23">
        <v>39.637114451708129</v>
      </c>
      <c r="H35" s="24">
        <v>16.250533197707952</v>
      </c>
    </row>
    <row r="36" spans="1:8" ht="12.75" customHeight="1" x14ac:dyDescent="0.2">
      <c r="A36" s="206"/>
      <c r="B36" s="25" t="s">
        <v>240</v>
      </c>
      <c r="C36" s="82">
        <v>471.72309693838343</v>
      </c>
      <c r="D36" s="82">
        <v>461.21811219021293</v>
      </c>
      <c r="E36" s="82">
        <v>571.61245224774143</v>
      </c>
      <c r="F36" s="27"/>
      <c r="G36" s="28">
        <v>21.175421758584264</v>
      </c>
      <c r="H36" s="29">
        <v>23.935386997985077</v>
      </c>
    </row>
    <row r="37" spans="1:8" x14ac:dyDescent="0.2">
      <c r="A37" s="30" t="s">
        <v>18</v>
      </c>
      <c r="B37" s="31" t="s">
        <v>3</v>
      </c>
      <c r="C37" s="80">
        <v>566.07669651839956</v>
      </c>
      <c r="D37" s="80">
        <v>524.06085049805722</v>
      </c>
      <c r="E37" s="83">
        <v>717.2233266783312</v>
      </c>
      <c r="F37" s="22" t="s">
        <v>239</v>
      </c>
      <c r="G37" s="32">
        <v>26.700733502994296</v>
      </c>
      <c r="H37" s="33">
        <v>36.858787676411254</v>
      </c>
    </row>
    <row r="38" spans="1:8" x14ac:dyDescent="0.2">
      <c r="A38" s="34"/>
      <c r="B38" s="25" t="s">
        <v>240</v>
      </c>
      <c r="C38" s="82">
        <v>127.87776231427847</v>
      </c>
      <c r="D38" s="82">
        <v>96.580688656485208</v>
      </c>
      <c r="E38" s="82">
        <v>140.82538614312438</v>
      </c>
      <c r="F38" s="27"/>
      <c r="G38" s="35">
        <v>10.125000308517443</v>
      </c>
      <c r="H38" s="29">
        <v>45.81112239115123</v>
      </c>
    </row>
    <row r="39" spans="1:8" x14ac:dyDescent="0.2">
      <c r="A39" s="30" t="s">
        <v>19</v>
      </c>
      <c r="B39" s="31" t="s">
        <v>3</v>
      </c>
      <c r="C39" s="80">
        <v>149.6795137442426</v>
      </c>
      <c r="D39" s="80">
        <v>409.80880028414924</v>
      </c>
      <c r="E39" s="83">
        <v>707.02158402410976</v>
      </c>
      <c r="F39" s="22" t="s">
        <v>239</v>
      </c>
      <c r="G39" s="37">
        <v>372.35694874864276</v>
      </c>
      <c r="H39" s="33">
        <v>72.524744108443258</v>
      </c>
    </row>
    <row r="40" spans="1:8" x14ac:dyDescent="0.2">
      <c r="A40" s="34"/>
      <c r="B40" s="25" t="s">
        <v>240</v>
      </c>
      <c r="C40" s="82">
        <v>35.652788629525823</v>
      </c>
      <c r="D40" s="82">
        <v>44.821777966443179</v>
      </c>
      <c r="E40" s="82">
        <v>94.334941757132498</v>
      </c>
      <c r="F40" s="27"/>
      <c r="G40" s="28">
        <v>164.59344523476938</v>
      </c>
      <c r="H40" s="29">
        <v>110.46675530756156</v>
      </c>
    </row>
    <row r="41" spans="1:8" x14ac:dyDescent="0.2">
      <c r="A41" s="30" t="s">
        <v>20</v>
      </c>
      <c r="B41" s="31" t="s">
        <v>3</v>
      </c>
      <c r="C41" s="80">
        <v>346.3155803162573</v>
      </c>
      <c r="D41" s="80">
        <v>396.16162419513506</v>
      </c>
      <c r="E41" s="83">
        <v>412.11020895381023</v>
      </c>
      <c r="F41" s="22" t="s">
        <v>239</v>
      </c>
      <c r="G41" s="23">
        <v>18.998460472806016</v>
      </c>
      <c r="H41" s="24">
        <v>4.0257773051787211</v>
      </c>
    </row>
    <row r="42" spans="1:8" x14ac:dyDescent="0.2">
      <c r="A42" s="34"/>
      <c r="B42" s="25" t="s">
        <v>240</v>
      </c>
      <c r="C42" s="82">
        <v>62.201657249406956</v>
      </c>
      <c r="D42" s="82">
        <v>79.309305995968131</v>
      </c>
      <c r="E42" s="82">
        <v>79.466319515534849</v>
      </c>
      <c r="F42" s="27"/>
      <c r="G42" s="38">
        <v>27.755952219894425</v>
      </c>
      <c r="H42" s="24">
        <v>0.19797616130281881</v>
      </c>
    </row>
    <row r="43" spans="1:8" x14ac:dyDescent="0.2">
      <c r="A43" s="30" t="s">
        <v>21</v>
      </c>
      <c r="B43" s="31" t="s">
        <v>3</v>
      </c>
      <c r="C43" s="80">
        <v>17.439241986789906</v>
      </c>
      <c r="D43" s="80">
        <v>20.523302093918527</v>
      </c>
      <c r="E43" s="83">
        <v>27.665397187814602</v>
      </c>
      <c r="F43" s="22" t="s">
        <v>239</v>
      </c>
      <c r="G43" s="37">
        <v>58.638759693631926</v>
      </c>
      <c r="H43" s="33">
        <v>34.799931615353586</v>
      </c>
    </row>
    <row r="44" spans="1:8" x14ac:dyDescent="0.2">
      <c r="A44" s="34"/>
      <c r="B44" s="25" t="s">
        <v>240</v>
      </c>
      <c r="C44" s="82">
        <v>3.5565640712723212</v>
      </c>
      <c r="D44" s="82">
        <v>4.0982184543170153</v>
      </c>
      <c r="E44" s="82">
        <v>5.5630774338134428</v>
      </c>
      <c r="F44" s="27"/>
      <c r="G44" s="28">
        <v>56.417185866226049</v>
      </c>
      <c r="H44" s="29">
        <v>35.743799307559186</v>
      </c>
    </row>
    <row r="45" spans="1:8" x14ac:dyDescent="0.2">
      <c r="A45" s="30" t="s">
        <v>22</v>
      </c>
      <c r="B45" s="31" t="s">
        <v>3</v>
      </c>
      <c r="C45" s="80">
        <v>40.107064810112547</v>
      </c>
      <c r="D45" s="80">
        <v>77.011305541643367</v>
      </c>
      <c r="E45" s="83">
        <v>88.972864209359727</v>
      </c>
      <c r="F45" s="22" t="s">
        <v>239</v>
      </c>
      <c r="G45" s="37">
        <v>121.83838341350329</v>
      </c>
      <c r="H45" s="33">
        <v>15.532211255980101</v>
      </c>
    </row>
    <row r="46" spans="1:8" x14ac:dyDescent="0.2">
      <c r="A46" s="34"/>
      <c r="B46" s="25" t="s">
        <v>240</v>
      </c>
      <c r="C46" s="82">
        <v>7.6661289372722328</v>
      </c>
      <c r="D46" s="82">
        <v>9.2755944919701925</v>
      </c>
      <c r="E46" s="82">
        <v>12.223298875398456</v>
      </c>
      <c r="F46" s="27"/>
      <c r="G46" s="28">
        <v>59.44551644532811</v>
      </c>
      <c r="H46" s="29">
        <v>31.779142414861582</v>
      </c>
    </row>
    <row r="47" spans="1:8" x14ac:dyDescent="0.2">
      <c r="A47" s="30" t="s">
        <v>189</v>
      </c>
      <c r="B47" s="31" t="s">
        <v>3</v>
      </c>
      <c r="C47" s="80">
        <v>610.93892424519845</v>
      </c>
      <c r="D47" s="80">
        <v>682.86634119406574</v>
      </c>
      <c r="E47" s="83">
        <v>757.74918923616951</v>
      </c>
      <c r="F47" s="22" t="s">
        <v>239</v>
      </c>
      <c r="G47" s="23">
        <v>24.030268683952642</v>
      </c>
      <c r="H47" s="24">
        <v>10.965959738352751</v>
      </c>
    </row>
    <row r="48" spans="1:8" x14ac:dyDescent="0.2">
      <c r="A48" s="30"/>
      <c r="B48" s="25" t="s">
        <v>240</v>
      </c>
      <c r="C48" s="82">
        <v>165.1048555622983</v>
      </c>
      <c r="D48" s="82">
        <v>147.43782139271156</v>
      </c>
      <c r="E48" s="82">
        <v>175.35865497296066</v>
      </c>
      <c r="F48" s="27"/>
      <c r="G48" s="38">
        <v>6.2104771999230195</v>
      </c>
      <c r="H48" s="24">
        <v>18.93736174104194</v>
      </c>
    </row>
    <row r="49" spans="1:8" x14ac:dyDescent="0.2">
      <c r="A49" s="39" t="s">
        <v>12</v>
      </c>
      <c r="B49" s="31" t="s">
        <v>3</v>
      </c>
      <c r="C49" s="80">
        <v>19.607835616954734</v>
      </c>
      <c r="D49" s="80">
        <v>23.602823039093998</v>
      </c>
      <c r="E49" s="83">
        <v>17.787543550773847</v>
      </c>
      <c r="F49" s="22" t="s">
        <v>239</v>
      </c>
      <c r="G49" s="37">
        <v>-9.2834930980699113</v>
      </c>
      <c r="H49" s="33">
        <v>-24.638067567969074</v>
      </c>
    </row>
    <row r="50" spans="1:8" x14ac:dyDescent="0.2">
      <c r="A50" s="34"/>
      <c r="B50" s="25" t="s">
        <v>240</v>
      </c>
      <c r="C50" s="82">
        <v>6.1923446108610882</v>
      </c>
      <c r="D50" s="82">
        <v>4.3077113280821928</v>
      </c>
      <c r="E50" s="82">
        <v>3.7779203776864083</v>
      </c>
      <c r="F50" s="27"/>
      <c r="G50" s="28">
        <v>-38.990469440926958</v>
      </c>
      <c r="H50" s="29">
        <v>-12.298664187222812</v>
      </c>
    </row>
    <row r="51" spans="1:8" x14ac:dyDescent="0.2">
      <c r="A51" s="39" t="s">
        <v>23</v>
      </c>
      <c r="B51" s="31" t="s">
        <v>3</v>
      </c>
      <c r="C51" s="80">
        <v>127.51268385238707</v>
      </c>
      <c r="D51" s="80">
        <v>128.26551402071115</v>
      </c>
      <c r="E51" s="83">
        <v>126.69925112121763</v>
      </c>
      <c r="F51" s="22" t="s">
        <v>239</v>
      </c>
      <c r="G51" s="23">
        <v>-0.63792299447723622</v>
      </c>
      <c r="H51" s="24">
        <v>-1.221109907407083</v>
      </c>
    </row>
    <row r="52" spans="1:8" x14ac:dyDescent="0.2">
      <c r="A52" s="34"/>
      <c r="B52" s="25" t="s">
        <v>240</v>
      </c>
      <c r="C52" s="82">
        <v>27.57984986163558</v>
      </c>
      <c r="D52" s="82">
        <v>27.824373343774052</v>
      </c>
      <c r="E52" s="82">
        <v>27.457655908926878</v>
      </c>
      <c r="F52" s="27"/>
      <c r="G52" s="38">
        <v>-0.44305517731871191</v>
      </c>
      <c r="H52" s="24">
        <v>-1.3179719460931949</v>
      </c>
    </row>
    <row r="53" spans="1:8" x14ac:dyDescent="0.2">
      <c r="A53" s="30" t="s">
        <v>24</v>
      </c>
      <c r="B53" s="31" t="s">
        <v>3</v>
      </c>
      <c r="C53" s="80">
        <v>93.824600103438144</v>
      </c>
      <c r="D53" s="80">
        <v>105.81649252744904</v>
      </c>
      <c r="E53" s="83">
        <v>76.771996125477003</v>
      </c>
      <c r="F53" s="22" t="s">
        <v>239</v>
      </c>
      <c r="G53" s="37">
        <v>-18.17498178426689</v>
      </c>
      <c r="H53" s="33">
        <v>-27.447986328253918</v>
      </c>
    </row>
    <row r="54" spans="1:8" ht="13.5" thickBot="1" x14ac:dyDescent="0.25">
      <c r="A54" s="41"/>
      <c r="B54" s="42" t="s">
        <v>240</v>
      </c>
      <c r="C54" s="86">
        <v>35.890145701832672</v>
      </c>
      <c r="D54" s="86">
        <v>47.562620560461419</v>
      </c>
      <c r="E54" s="86">
        <v>32.605197263163745</v>
      </c>
      <c r="F54" s="44"/>
      <c r="G54" s="45">
        <v>-9.1527865781307867</v>
      </c>
      <c r="H54" s="46">
        <v>-31.447853631790238</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H61" s="200">
        <v>14</v>
      </c>
    </row>
    <row r="62" spans="1:8" ht="12.75" customHeight="1" x14ac:dyDescent="0.2">
      <c r="A62" s="54" t="s">
        <v>242</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3" t="s">
        <v>1</v>
      </c>
      <c r="H5" s="204"/>
    </row>
    <row r="6" spans="1:8" x14ac:dyDescent="0.2">
      <c r="A6" s="12"/>
      <c r="B6" s="13"/>
      <c r="C6" s="14" t="s">
        <v>234</v>
      </c>
      <c r="D6" s="15" t="s">
        <v>235</v>
      </c>
      <c r="E6" s="15" t="s">
        <v>236</v>
      </c>
      <c r="F6" s="16"/>
      <c r="G6" s="17" t="s">
        <v>237</v>
      </c>
      <c r="H6" s="18" t="s">
        <v>238</v>
      </c>
    </row>
    <row r="7" spans="1:8" x14ac:dyDescent="0.2">
      <c r="A7" s="205" t="s">
        <v>44</v>
      </c>
      <c r="B7" s="19" t="s">
        <v>3</v>
      </c>
      <c r="C7" s="20">
        <v>126288.32491710703</v>
      </c>
      <c r="D7" s="20">
        <v>144387.81848305691</v>
      </c>
      <c r="E7" s="21">
        <v>188463.46419551352</v>
      </c>
      <c r="F7" s="22" t="s">
        <v>239</v>
      </c>
      <c r="G7" s="23">
        <v>49.232689814531085</v>
      </c>
      <c r="H7" s="24">
        <v>30.525875503568614</v>
      </c>
    </row>
    <row r="8" spans="1:8" x14ac:dyDescent="0.2">
      <c r="A8" s="206"/>
      <c r="B8" s="25" t="s">
        <v>240</v>
      </c>
      <c r="C8" s="26">
        <v>34271.789724271439</v>
      </c>
      <c r="D8" s="26">
        <v>35963.894992936745</v>
      </c>
      <c r="E8" s="26">
        <v>48264.131969514645</v>
      </c>
      <c r="F8" s="27"/>
      <c r="G8" s="28">
        <v>40.827579644414556</v>
      </c>
      <c r="H8" s="29">
        <v>34.201626322715185</v>
      </c>
    </row>
    <row r="9" spans="1:8" x14ac:dyDescent="0.2">
      <c r="A9" s="30" t="s">
        <v>18</v>
      </c>
      <c r="B9" s="31" t="s">
        <v>3</v>
      </c>
      <c r="C9" s="20">
        <v>11472.379164660522</v>
      </c>
      <c r="D9" s="20">
        <v>12390.143165217392</v>
      </c>
      <c r="E9" s="21">
        <v>15016.908743567858</v>
      </c>
      <c r="F9" s="22" t="s">
        <v>239</v>
      </c>
      <c r="G9" s="32">
        <v>30.89620320278371</v>
      </c>
      <c r="H9" s="33">
        <v>21.200445735966426</v>
      </c>
    </row>
    <row r="10" spans="1:8" x14ac:dyDescent="0.2">
      <c r="A10" s="34"/>
      <c r="B10" s="25" t="s">
        <v>240</v>
      </c>
      <c r="C10" s="26">
        <v>2891.0974521739131</v>
      </c>
      <c r="D10" s="26">
        <v>2768.196647826087</v>
      </c>
      <c r="E10" s="26">
        <v>3486.9107000000004</v>
      </c>
      <c r="F10" s="27"/>
      <c r="G10" s="35">
        <v>20.608549441253714</v>
      </c>
      <c r="H10" s="29">
        <v>25.963258525666234</v>
      </c>
    </row>
    <row r="11" spans="1:8" x14ac:dyDescent="0.2">
      <c r="A11" s="30" t="s">
        <v>19</v>
      </c>
      <c r="B11" s="31" t="s">
        <v>3</v>
      </c>
      <c r="C11" s="20">
        <v>51142.263882201747</v>
      </c>
      <c r="D11" s="20">
        <v>59537.477217391308</v>
      </c>
      <c r="E11" s="21">
        <v>89678.10465401024</v>
      </c>
      <c r="F11" s="22" t="s">
        <v>239</v>
      </c>
      <c r="G11" s="37">
        <v>75.350283398814355</v>
      </c>
      <c r="H11" s="33">
        <v>50.624629805131633</v>
      </c>
    </row>
    <row r="12" spans="1:8" x14ac:dyDescent="0.2">
      <c r="A12" s="34"/>
      <c r="B12" s="25" t="s">
        <v>240</v>
      </c>
      <c r="C12" s="26">
        <v>14328.658173913043</v>
      </c>
      <c r="D12" s="26">
        <v>14722.988826086956</v>
      </c>
      <c r="E12" s="26">
        <v>23079.368999999999</v>
      </c>
      <c r="F12" s="27"/>
      <c r="G12" s="28">
        <v>61.071390774180259</v>
      </c>
      <c r="H12" s="29">
        <v>56.757362738106366</v>
      </c>
    </row>
    <row r="13" spans="1:8" x14ac:dyDescent="0.2">
      <c r="A13" s="30" t="s">
        <v>20</v>
      </c>
      <c r="B13" s="31" t="s">
        <v>3</v>
      </c>
      <c r="C13" s="20">
        <v>3345.4113724770186</v>
      </c>
      <c r="D13" s="20">
        <v>3466.1796273291925</v>
      </c>
      <c r="E13" s="21">
        <v>3622.9407460629668</v>
      </c>
      <c r="F13" s="22" t="s">
        <v>239</v>
      </c>
      <c r="G13" s="23">
        <v>8.295822028621231</v>
      </c>
      <c r="H13" s="24">
        <v>4.5225907364346227</v>
      </c>
    </row>
    <row r="14" spans="1:8" x14ac:dyDescent="0.2">
      <c r="A14" s="34"/>
      <c r="B14" s="25" t="s">
        <v>240</v>
      </c>
      <c r="C14" s="26">
        <v>621.3134161490683</v>
      </c>
      <c r="D14" s="26">
        <v>593.47086956521741</v>
      </c>
      <c r="E14" s="26">
        <v>636.89</v>
      </c>
      <c r="F14" s="27"/>
      <c r="G14" s="38">
        <v>2.5070412848118053</v>
      </c>
      <c r="H14" s="24">
        <v>7.3161350727444869</v>
      </c>
    </row>
    <row r="15" spans="1:8" x14ac:dyDescent="0.2">
      <c r="A15" s="30" t="s">
        <v>21</v>
      </c>
      <c r="B15" s="31" t="s">
        <v>3</v>
      </c>
      <c r="C15" s="20">
        <v>4331.2866503057976</v>
      </c>
      <c r="D15" s="20">
        <v>4772.844057971015</v>
      </c>
      <c r="E15" s="21">
        <v>5584.352985196284</v>
      </c>
      <c r="F15" s="22" t="s">
        <v>239</v>
      </c>
      <c r="G15" s="37">
        <v>28.930579665098293</v>
      </c>
      <c r="H15" s="33">
        <v>17.002628147257127</v>
      </c>
    </row>
    <row r="16" spans="1:8" x14ac:dyDescent="0.2">
      <c r="A16" s="34"/>
      <c r="B16" s="25" t="s">
        <v>240</v>
      </c>
      <c r="C16" s="26">
        <v>1002.8414130434783</v>
      </c>
      <c r="D16" s="26">
        <v>960.88733695652172</v>
      </c>
      <c r="E16" s="26">
        <v>1175.3845833333335</v>
      </c>
      <c r="F16" s="27"/>
      <c r="G16" s="28">
        <v>17.205429297760205</v>
      </c>
      <c r="H16" s="29">
        <v>22.322829964249721</v>
      </c>
    </row>
    <row r="17" spans="1:8" x14ac:dyDescent="0.2">
      <c r="A17" s="30" t="s">
        <v>22</v>
      </c>
      <c r="B17" s="31" t="s">
        <v>3</v>
      </c>
      <c r="C17" s="20">
        <v>413.28665030579714</v>
      </c>
      <c r="D17" s="20">
        <v>437.84405797101454</v>
      </c>
      <c r="E17" s="21">
        <v>636.90575615232967</v>
      </c>
      <c r="F17" s="22" t="s">
        <v>239</v>
      </c>
      <c r="G17" s="37">
        <v>54.107507629649632</v>
      </c>
      <c r="H17" s="33">
        <v>45.464062959715449</v>
      </c>
    </row>
    <row r="18" spans="1:8" x14ac:dyDescent="0.2">
      <c r="A18" s="34"/>
      <c r="B18" s="25" t="s">
        <v>240</v>
      </c>
      <c r="C18" s="26">
        <v>82.841413043478269</v>
      </c>
      <c r="D18" s="26">
        <v>51.887336956521743</v>
      </c>
      <c r="E18" s="26">
        <v>87.384583333333339</v>
      </c>
      <c r="F18" s="27"/>
      <c r="G18" s="28">
        <v>5.4841776871558778</v>
      </c>
      <c r="H18" s="29">
        <v>68.412156913267694</v>
      </c>
    </row>
    <row r="19" spans="1:8" x14ac:dyDescent="0.2">
      <c r="A19" s="30" t="s">
        <v>189</v>
      </c>
      <c r="B19" s="31" t="s">
        <v>3</v>
      </c>
      <c r="C19" s="20">
        <v>36406.02843119255</v>
      </c>
      <c r="D19" s="20">
        <v>39801.949068322981</v>
      </c>
      <c r="E19" s="21">
        <v>49581.745594879372</v>
      </c>
      <c r="F19" s="22" t="s">
        <v>239</v>
      </c>
      <c r="G19" s="23">
        <v>36.191031352373273</v>
      </c>
      <c r="H19" s="24">
        <v>24.571149794118497</v>
      </c>
    </row>
    <row r="20" spans="1:8" x14ac:dyDescent="0.2">
      <c r="A20" s="30"/>
      <c r="B20" s="25" t="s">
        <v>240</v>
      </c>
      <c r="C20" s="26">
        <v>9630.7835403726713</v>
      </c>
      <c r="D20" s="26">
        <v>8978.1771739130436</v>
      </c>
      <c r="E20" s="26">
        <v>11761.725</v>
      </c>
      <c r="F20" s="27"/>
      <c r="G20" s="38">
        <v>22.12635608197742</v>
      </c>
      <c r="H20" s="24">
        <v>31.003485141447442</v>
      </c>
    </row>
    <row r="21" spans="1:8" x14ac:dyDescent="0.2">
      <c r="A21" s="39" t="s">
        <v>12</v>
      </c>
      <c r="B21" s="31" t="s">
        <v>3</v>
      </c>
      <c r="C21" s="20">
        <v>410.77199018347829</v>
      </c>
      <c r="D21" s="20">
        <v>736.70643478260877</v>
      </c>
      <c r="E21" s="21">
        <v>1820.1640203845391</v>
      </c>
      <c r="F21" s="22" t="s">
        <v>239</v>
      </c>
      <c r="G21" s="37">
        <v>343.1081144484881</v>
      </c>
      <c r="H21" s="33">
        <v>147.06775106717274</v>
      </c>
    </row>
    <row r="22" spans="1:8" x14ac:dyDescent="0.2">
      <c r="A22" s="34"/>
      <c r="B22" s="25" t="s">
        <v>240</v>
      </c>
      <c r="C22" s="26">
        <v>118.30484782608696</v>
      </c>
      <c r="D22" s="26">
        <v>64.332402173913039</v>
      </c>
      <c r="E22" s="26">
        <v>207.03074999999998</v>
      </c>
      <c r="F22" s="27"/>
      <c r="G22" s="28">
        <v>74.997689278417226</v>
      </c>
      <c r="H22" s="29">
        <v>221.81411388979893</v>
      </c>
    </row>
    <row r="23" spans="1:8" x14ac:dyDescent="0.2">
      <c r="A23" s="39" t="s">
        <v>23</v>
      </c>
      <c r="B23" s="31" t="s">
        <v>3</v>
      </c>
      <c r="C23" s="20">
        <v>5476.2866503057976</v>
      </c>
      <c r="D23" s="20">
        <v>5402.844057971015</v>
      </c>
      <c r="E23" s="21">
        <v>4943.8478482352584</v>
      </c>
      <c r="F23" s="22" t="s">
        <v>239</v>
      </c>
      <c r="G23" s="23">
        <v>-9.7226247651007753</v>
      </c>
      <c r="H23" s="24">
        <v>-8.4954554455182318</v>
      </c>
    </row>
    <row r="24" spans="1:8" x14ac:dyDescent="0.2">
      <c r="A24" s="34"/>
      <c r="B24" s="25" t="s">
        <v>240</v>
      </c>
      <c r="C24" s="26">
        <v>1444.8414130434783</v>
      </c>
      <c r="D24" s="26">
        <v>1451.8873369565217</v>
      </c>
      <c r="E24" s="26">
        <v>1320.3845833333335</v>
      </c>
      <c r="F24" s="27"/>
      <c r="G24" s="28">
        <v>-8.6138747537685418</v>
      </c>
      <c r="H24" s="29">
        <v>-9.0573662484616193</v>
      </c>
    </row>
    <row r="25" spans="1:8" x14ac:dyDescent="0.2">
      <c r="A25" s="30" t="s">
        <v>24</v>
      </c>
      <c r="B25" s="31" t="s">
        <v>3</v>
      </c>
      <c r="C25" s="20">
        <v>21547.573300611592</v>
      </c>
      <c r="D25" s="20">
        <v>28158.68811594203</v>
      </c>
      <c r="E25" s="21">
        <v>32228.680752668493</v>
      </c>
      <c r="F25" s="22" t="s">
        <v>239</v>
      </c>
      <c r="G25" s="23">
        <v>49.569885680601146</v>
      </c>
      <c r="H25" s="24">
        <v>14.453772206888573</v>
      </c>
    </row>
    <row r="26" spans="1:8" ht="13.5" thickBot="1" x14ac:dyDescent="0.25">
      <c r="A26" s="41"/>
      <c r="B26" s="42" t="s">
        <v>240</v>
      </c>
      <c r="C26" s="43">
        <v>6515.6828260869561</v>
      </c>
      <c r="D26" s="43">
        <v>8349.7746739130434</v>
      </c>
      <c r="E26" s="43">
        <v>9618.7691666666669</v>
      </c>
      <c r="F26" s="44"/>
      <c r="G26" s="45">
        <v>47.624883276328745</v>
      </c>
      <c r="H26" s="46">
        <v>15.197948954458695</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234</v>
      </c>
      <c r="D34" s="15" t="s">
        <v>235</v>
      </c>
      <c r="E34" s="15" t="s">
        <v>236</v>
      </c>
      <c r="F34" s="16"/>
      <c r="G34" s="17" t="s">
        <v>237</v>
      </c>
      <c r="H34" s="18" t="s">
        <v>238</v>
      </c>
    </row>
    <row r="35" spans="1:8" ht="12.75" customHeight="1" x14ac:dyDescent="0.2">
      <c r="A35" s="205" t="s">
        <v>44</v>
      </c>
      <c r="B35" s="19" t="s">
        <v>3</v>
      </c>
      <c r="C35" s="80">
        <v>6768.6013750581596</v>
      </c>
      <c r="D35" s="80">
        <v>8792.3466529101188</v>
      </c>
      <c r="E35" s="83">
        <v>12934.115964569612</v>
      </c>
      <c r="F35" s="22" t="s">
        <v>239</v>
      </c>
      <c r="G35" s="23">
        <v>91.089934949204689</v>
      </c>
      <c r="H35" s="24">
        <v>47.106528838790013</v>
      </c>
    </row>
    <row r="36" spans="1:8" ht="12.75" customHeight="1" x14ac:dyDescent="0.2">
      <c r="A36" s="206"/>
      <c r="B36" s="25" t="s">
        <v>240</v>
      </c>
      <c r="C36" s="82">
        <v>1792.8925098154732</v>
      </c>
      <c r="D36" s="82">
        <v>1793.0619913407111</v>
      </c>
      <c r="E36" s="82">
        <v>2856.8285400291743</v>
      </c>
      <c r="F36" s="27"/>
      <c r="G36" s="28">
        <v>59.341874897073581</v>
      </c>
      <c r="H36" s="29">
        <v>59.326813787015908</v>
      </c>
    </row>
    <row r="37" spans="1:8" x14ac:dyDescent="0.2">
      <c r="A37" s="30" t="s">
        <v>18</v>
      </c>
      <c r="B37" s="31" t="s">
        <v>3</v>
      </c>
      <c r="C37" s="80">
        <v>2372.6297229042657</v>
      </c>
      <c r="D37" s="80">
        <v>2510.671230764025</v>
      </c>
      <c r="E37" s="83">
        <v>3356.1918631790227</v>
      </c>
      <c r="F37" s="22" t="s">
        <v>239</v>
      </c>
      <c r="G37" s="32">
        <v>41.454514827151712</v>
      </c>
      <c r="H37" s="33">
        <v>33.677074961252345</v>
      </c>
    </row>
    <row r="38" spans="1:8" x14ac:dyDescent="0.2">
      <c r="A38" s="34"/>
      <c r="B38" s="25" t="s">
        <v>240</v>
      </c>
      <c r="C38" s="82">
        <v>603.342393586306</v>
      </c>
      <c r="D38" s="82">
        <v>507.40207514663405</v>
      </c>
      <c r="E38" s="82">
        <v>728.09498058457336</v>
      </c>
      <c r="F38" s="27"/>
      <c r="G38" s="35">
        <v>20.676913859264886</v>
      </c>
      <c r="H38" s="29">
        <v>43.494679318006604</v>
      </c>
    </row>
    <row r="39" spans="1:8" x14ac:dyDescent="0.2">
      <c r="A39" s="30" t="s">
        <v>19</v>
      </c>
      <c r="B39" s="31" t="s">
        <v>3</v>
      </c>
      <c r="C39" s="80">
        <v>2908.0764623204486</v>
      </c>
      <c r="D39" s="80">
        <v>4202.1486818049598</v>
      </c>
      <c r="E39" s="83">
        <v>6887.8306830834208</v>
      </c>
      <c r="F39" s="22" t="s">
        <v>239</v>
      </c>
      <c r="G39" s="37">
        <v>136.85177375244794</v>
      </c>
      <c r="H39" s="33">
        <v>63.912112698612873</v>
      </c>
    </row>
    <row r="40" spans="1:8" x14ac:dyDescent="0.2">
      <c r="A40" s="34"/>
      <c r="B40" s="25" t="s">
        <v>240</v>
      </c>
      <c r="C40" s="82">
        <v>757.38745520701082</v>
      </c>
      <c r="D40" s="82">
        <v>806.68281607054314</v>
      </c>
      <c r="E40" s="82">
        <v>1449.2603527424303</v>
      </c>
      <c r="F40" s="27"/>
      <c r="G40" s="28">
        <v>91.349928333090133</v>
      </c>
      <c r="H40" s="29">
        <v>79.656777592209778</v>
      </c>
    </row>
    <row r="41" spans="1:8" x14ac:dyDescent="0.2">
      <c r="A41" s="30" t="s">
        <v>20</v>
      </c>
      <c r="B41" s="31" t="s">
        <v>3</v>
      </c>
      <c r="C41" s="80">
        <v>70.301307691330791</v>
      </c>
      <c r="D41" s="80">
        <v>83.303202422859854</v>
      </c>
      <c r="E41" s="83">
        <v>107.51057056432747</v>
      </c>
      <c r="F41" s="22" t="s">
        <v>239</v>
      </c>
      <c r="G41" s="23">
        <v>52.928265625399064</v>
      </c>
      <c r="H41" s="24">
        <v>29.05934878540117</v>
      </c>
    </row>
    <row r="42" spans="1:8" x14ac:dyDescent="0.2">
      <c r="A42" s="34"/>
      <c r="B42" s="25" t="s">
        <v>240</v>
      </c>
      <c r="C42" s="82">
        <v>12.992380517740536</v>
      </c>
      <c r="D42" s="82">
        <v>15.118330186834017</v>
      </c>
      <c r="E42" s="82">
        <v>19.629315775402226</v>
      </c>
      <c r="F42" s="27"/>
      <c r="G42" s="38">
        <v>51.083288767591455</v>
      </c>
      <c r="H42" s="24">
        <v>29.83785598555491</v>
      </c>
    </row>
    <row r="43" spans="1:8" x14ac:dyDescent="0.2">
      <c r="A43" s="30" t="s">
        <v>21</v>
      </c>
      <c r="B43" s="31" t="s">
        <v>3</v>
      </c>
      <c r="C43" s="80">
        <v>58.003566588679632</v>
      </c>
      <c r="D43" s="80">
        <v>67.406254527841483</v>
      </c>
      <c r="E43" s="83">
        <v>94.832030194460359</v>
      </c>
      <c r="F43" s="22" t="s">
        <v>239</v>
      </c>
      <c r="G43" s="37">
        <v>63.4934466477591</v>
      </c>
      <c r="H43" s="33">
        <v>40.68728615575418</v>
      </c>
    </row>
    <row r="44" spans="1:8" x14ac:dyDescent="0.2">
      <c r="A44" s="34"/>
      <c r="B44" s="25" t="s">
        <v>240</v>
      </c>
      <c r="C44" s="82">
        <v>11.954219747160998</v>
      </c>
      <c r="D44" s="82">
        <v>12.394554233428433</v>
      </c>
      <c r="E44" s="82">
        <v>18.087481182432377</v>
      </c>
      <c r="F44" s="27"/>
      <c r="G44" s="28">
        <v>51.30624637152053</v>
      </c>
      <c r="H44" s="29">
        <v>45.930872880042529</v>
      </c>
    </row>
    <row r="45" spans="1:8" x14ac:dyDescent="0.2">
      <c r="A45" s="30" t="s">
        <v>22</v>
      </c>
      <c r="B45" s="31" t="s">
        <v>3</v>
      </c>
      <c r="C45" s="80">
        <v>3.0874763808887988</v>
      </c>
      <c r="D45" s="80">
        <v>8.2493381260110521</v>
      </c>
      <c r="E45" s="83">
        <v>13.21126324180719</v>
      </c>
      <c r="F45" s="22" t="s">
        <v>239</v>
      </c>
      <c r="G45" s="37">
        <v>327.89843911304786</v>
      </c>
      <c r="H45" s="33">
        <v>60.149372470873203</v>
      </c>
    </row>
    <row r="46" spans="1:8" x14ac:dyDescent="0.2">
      <c r="A46" s="34"/>
      <c r="B46" s="25" t="s">
        <v>240</v>
      </c>
      <c r="C46" s="82">
        <v>0.8777509234771792</v>
      </c>
      <c r="D46" s="82">
        <v>0.58273324283529815</v>
      </c>
      <c r="E46" s="82">
        <v>1.2451686826234505</v>
      </c>
      <c r="F46" s="27"/>
      <c r="G46" s="28">
        <v>41.859000010020935</v>
      </c>
      <c r="H46" s="29">
        <v>113.67730396931913</v>
      </c>
    </row>
    <row r="47" spans="1:8" x14ac:dyDescent="0.2">
      <c r="A47" s="30" t="s">
        <v>189</v>
      </c>
      <c r="B47" s="31" t="s">
        <v>3</v>
      </c>
      <c r="C47" s="80">
        <v>523.48905457700869</v>
      </c>
      <c r="D47" s="80">
        <v>673.13968611976543</v>
      </c>
      <c r="E47" s="83">
        <v>945.65540769635584</v>
      </c>
      <c r="F47" s="22" t="s">
        <v>239</v>
      </c>
      <c r="G47" s="23">
        <v>80.644733529427327</v>
      </c>
      <c r="H47" s="24">
        <v>40.484274987183596</v>
      </c>
    </row>
    <row r="48" spans="1:8" x14ac:dyDescent="0.2">
      <c r="A48" s="30"/>
      <c r="B48" s="25" t="s">
        <v>240</v>
      </c>
      <c r="C48" s="82">
        <v>161.99258460335395</v>
      </c>
      <c r="D48" s="82">
        <v>147.43534689706203</v>
      </c>
      <c r="E48" s="82">
        <v>229.47450256148241</v>
      </c>
      <c r="F48" s="27"/>
      <c r="G48" s="38">
        <v>41.657411741013306</v>
      </c>
      <c r="H48" s="24">
        <v>55.644156839607348</v>
      </c>
    </row>
    <row r="49" spans="1:8" x14ac:dyDescent="0.2">
      <c r="A49" s="39" t="s">
        <v>12</v>
      </c>
      <c r="B49" s="31" t="s">
        <v>3</v>
      </c>
      <c r="C49" s="80">
        <v>5.8164067181343819</v>
      </c>
      <c r="D49" s="80">
        <v>15.568244178053209</v>
      </c>
      <c r="E49" s="83">
        <v>52.786820242591453</v>
      </c>
      <c r="F49" s="22" t="s">
        <v>239</v>
      </c>
      <c r="G49" s="37">
        <v>807.55036228833183</v>
      </c>
      <c r="H49" s="33">
        <v>239.06726820874144</v>
      </c>
    </row>
    <row r="50" spans="1:8" x14ac:dyDescent="0.2">
      <c r="A50" s="34"/>
      <c r="B50" s="25" t="s">
        <v>240</v>
      </c>
      <c r="C50" s="82">
        <v>1.5511748882756271</v>
      </c>
      <c r="D50" s="82">
        <v>1.0068692899054368</v>
      </c>
      <c r="E50" s="82">
        <v>4.5671583051109863</v>
      </c>
      <c r="F50" s="27"/>
      <c r="G50" s="28">
        <v>194.43219714497155</v>
      </c>
      <c r="H50" s="29">
        <v>353.59992115162481</v>
      </c>
    </row>
    <row r="51" spans="1:8" x14ac:dyDescent="0.2">
      <c r="A51" s="39" t="s">
        <v>23</v>
      </c>
      <c r="B51" s="31" t="s">
        <v>3</v>
      </c>
      <c r="C51" s="80">
        <v>196.56652088791503</v>
      </c>
      <c r="D51" s="80">
        <v>218.96928573584952</v>
      </c>
      <c r="E51" s="83">
        <v>232.99381339184939</v>
      </c>
      <c r="F51" s="22" t="s">
        <v>239</v>
      </c>
      <c r="G51" s="23">
        <v>18.53178880075194</v>
      </c>
      <c r="H51" s="24">
        <v>6.4047921647413943</v>
      </c>
    </row>
    <row r="52" spans="1:8" x14ac:dyDescent="0.2">
      <c r="A52" s="34"/>
      <c r="B52" s="25" t="s">
        <v>240</v>
      </c>
      <c r="C52" s="82">
        <v>45.978111062345008</v>
      </c>
      <c r="D52" s="82">
        <v>45.692307441905101</v>
      </c>
      <c r="E52" s="82">
        <v>50.432529863748982</v>
      </c>
      <c r="F52" s="27"/>
      <c r="G52" s="28">
        <v>9.6881291955728983</v>
      </c>
      <c r="H52" s="29">
        <v>10.374224212403334</v>
      </c>
    </row>
    <row r="53" spans="1:8" x14ac:dyDescent="0.2">
      <c r="A53" s="30" t="s">
        <v>24</v>
      </c>
      <c r="B53" s="31" t="s">
        <v>3</v>
      </c>
      <c r="C53" s="80">
        <v>630.63085698948919</v>
      </c>
      <c r="D53" s="80">
        <v>1012.8907292307548</v>
      </c>
      <c r="E53" s="83">
        <v>1316.6658621810325</v>
      </c>
      <c r="F53" s="22" t="s">
        <v>239</v>
      </c>
      <c r="G53" s="23">
        <v>108.78551177570711</v>
      </c>
      <c r="H53" s="24">
        <v>29.990908612716908</v>
      </c>
    </row>
    <row r="54" spans="1:8" ht="13.5" thickBot="1" x14ac:dyDescent="0.25">
      <c r="A54" s="41"/>
      <c r="B54" s="42" t="s">
        <v>240</v>
      </c>
      <c r="C54" s="86">
        <v>196.81643927980301</v>
      </c>
      <c r="D54" s="86">
        <v>256.74695883156386</v>
      </c>
      <c r="E54" s="86">
        <v>356.03705033136941</v>
      </c>
      <c r="F54" s="44"/>
      <c r="G54" s="45">
        <v>80.898024389726544</v>
      </c>
      <c r="H54" s="46">
        <v>38.672353492196095</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G61" s="53"/>
      <c r="H61" s="208">
        <v>15</v>
      </c>
    </row>
    <row r="62" spans="1:8" ht="12.75" customHeight="1" x14ac:dyDescent="0.2">
      <c r="A62" s="54" t="s">
        <v>242</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3" t="s">
        <v>1</v>
      </c>
      <c r="H5" s="204"/>
    </row>
    <row r="6" spans="1:8" x14ac:dyDescent="0.2">
      <c r="A6" s="12"/>
      <c r="B6" s="13"/>
      <c r="C6" s="14" t="s">
        <v>234</v>
      </c>
      <c r="D6" s="15" t="s">
        <v>235</v>
      </c>
      <c r="E6" s="15" t="s">
        <v>236</v>
      </c>
      <c r="F6" s="16"/>
      <c r="G6" s="17" t="s">
        <v>237</v>
      </c>
      <c r="H6" s="18" t="s">
        <v>238</v>
      </c>
    </row>
    <row r="7" spans="1:8" ht="12.75" customHeight="1" x14ac:dyDescent="0.2">
      <c r="A7" s="205" t="s">
        <v>45</v>
      </c>
      <c r="B7" s="19" t="s">
        <v>3</v>
      </c>
      <c r="C7" s="20">
        <v>18907.302359650501</v>
      </c>
      <c r="D7" s="20">
        <v>23362.869983780671</v>
      </c>
      <c r="E7" s="21">
        <v>36245.211346483302</v>
      </c>
      <c r="F7" s="22" t="s">
        <v>239</v>
      </c>
      <c r="G7" s="23">
        <v>91.699538395456699</v>
      </c>
      <c r="H7" s="24">
        <v>55.140234789843902</v>
      </c>
    </row>
    <row r="8" spans="1:8" ht="12.75" customHeight="1" x14ac:dyDescent="0.2">
      <c r="A8" s="206"/>
      <c r="B8" s="25" t="s">
        <v>240</v>
      </c>
      <c r="C8" s="26">
        <v>4575</v>
      </c>
      <c r="D8" s="26">
        <v>4666</v>
      </c>
      <c r="E8" s="26">
        <v>7686.2174959451686</v>
      </c>
      <c r="F8" s="27"/>
      <c r="G8" s="28">
        <v>68.004754009730448</v>
      </c>
      <c r="H8" s="29">
        <v>64.728193226428829</v>
      </c>
    </row>
    <row r="9" spans="1:8" x14ac:dyDescent="0.2">
      <c r="A9" s="30" t="s">
        <v>18</v>
      </c>
      <c r="B9" s="31" t="s">
        <v>3</v>
      </c>
      <c r="C9" s="20">
        <v>2233.5276521739133</v>
      </c>
      <c r="D9" s="20">
        <v>2840.0269913043476</v>
      </c>
      <c r="E9" s="21">
        <v>3542.5987781119979</v>
      </c>
      <c r="F9" s="22" t="s">
        <v>239</v>
      </c>
      <c r="G9" s="32">
        <v>58.610025475348522</v>
      </c>
      <c r="H9" s="33">
        <v>24.738208086007603</v>
      </c>
    </row>
    <row r="10" spans="1:8" x14ac:dyDescent="0.2">
      <c r="A10" s="34"/>
      <c r="B10" s="25" t="s">
        <v>240</v>
      </c>
      <c r="C10" s="26">
        <v>494</v>
      </c>
      <c r="D10" s="26">
        <v>459</v>
      </c>
      <c r="E10" s="26">
        <v>629.00674782608701</v>
      </c>
      <c r="F10" s="27"/>
      <c r="G10" s="35">
        <v>27.32930117936985</v>
      </c>
      <c r="H10" s="29">
        <v>37.038507151652936</v>
      </c>
    </row>
    <row r="11" spans="1:8" x14ac:dyDescent="0.2">
      <c r="A11" s="30" t="s">
        <v>19</v>
      </c>
      <c r="B11" s="31" t="s">
        <v>3</v>
      </c>
      <c r="C11" s="20">
        <v>5664.0921739130436</v>
      </c>
      <c r="D11" s="20">
        <v>7684.4233043478262</v>
      </c>
      <c r="E11" s="21">
        <v>15436.936761944038</v>
      </c>
      <c r="F11" s="22" t="s">
        <v>239</v>
      </c>
      <c r="G11" s="37">
        <v>172.54035223934949</v>
      </c>
      <c r="H11" s="33">
        <v>100.88608019823505</v>
      </c>
    </row>
    <row r="12" spans="1:8" x14ac:dyDescent="0.2">
      <c r="A12" s="34"/>
      <c r="B12" s="25" t="s">
        <v>240</v>
      </c>
      <c r="C12" s="26">
        <v>1469</v>
      </c>
      <c r="D12" s="26">
        <v>1788</v>
      </c>
      <c r="E12" s="26">
        <v>3719.3558260869568</v>
      </c>
      <c r="F12" s="27"/>
      <c r="G12" s="28">
        <v>153.18964098617812</v>
      </c>
      <c r="H12" s="29">
        <v>108.01766365139576</v>
      </c>
    </row>
    <row r="13" spans="1:8" x14ac:dyDescent="0.2">
      <c r="A13" s="30" t="s">
        <v>20</v>
      </c>
      <c r="B13" s="31" t="s">
        <v>3</v>
      </c>
      <c r="C13" s="20">
        <v>1056.710559006211</v>
      </c>
      <c r="D13" s="20">
        <v>1069.3920496894411</v>
      </c>
      <c r="E13" s="21">
        <v>1335.0087724019593</v>
      </c>
      <c r="F13" s="22" t="s">
        <v>239</v>
      </c>
      <c r="G13" s="23">
        <v>26.336276383712402</v>
      </c>
      <c r="H13" s="24">
        <v>24.838105238359958</v>
      </c>
    </row>
    <row r="14" spans="1:8" x14ac:dyDescent="0.2">
      <c r="A14" s="34"/>
      <c r="B14" s="25" t="s">
        <v>240</v>
      </c>
      <c r="C14" s="26">
        <v>189</v>
      </c>
      <c r="D14" s="26">
        <v>177</v>
      </c>
      <c r="E14" s="26">
        <v>226.59801242236026</v>
      </c>
      <c r="F14" s="27"/>
      <c r="G14" s="38">
        <v>19.893128265799078</v>
      </c>
      <c r="H14" s="24">
        <v>28.021475944836311</v>
      </c>
    </row>
    <row r="15" spans="1:8" x14ac:dyDescent="0.2">
      <c r="A15" s="30" t="s">
        <v>21</v>
      </c>
      <c r="B15" s="31" t="s">
        <v>3</v>
      </c>
      <c r="C15" s="20">
        <v>638.8739130434783</v>
      </c>
      <c r="D15" s="20">
        <v>777.86434782608694</v>
      </c>
      <c r="E15" s="21">
        <v>962.94585920651593</v>
      </c>
      <c r="F15" s="22" t="s">
        <v>239</v>
      </c>
      <c r="G15" s="37">
        <v>50.725493645407795</v>
      </c>
      <c r="H15" s="33">
        <v>23.793545995221407</v>
      </c>
    </row>
    <row r="16" spans="1:8" x14ac:dyDescent="0.2">
      <c r="A16" s="34"/>
      <c r="B16" s="25" t="s">
        <v>240</v>
      </c>
      <c r="C16" s="26">
        <v>120</v>
      </c>
      <c r="D16" s="26">
        <v>135</v>
      </c>
      <c r="E16" s="26">
        <v>171.46608695652174</v>
      </c>
      <c r="F16" s="27"/>
      <c r="G16" s="28">
        <v>42.888405797101456</v>
      </c>
      <c r="H16" s="29">
        <v>27.011916264090161</v>
      </c>
    </row>
    <row r="17" spans="1:8" x14ac:dyDescent="0.2">
      <c r="A17" s="30" t="s">
        <v>22</v>
      </c>
      <c r="B17" s="31" t="s">
        <v>3</v>
      </c>
      <c r="C17" s="20">
        <v>448.87391304347824</v>
      </c>
      <c r="D17" s="20">
        <v>588.86434782608694</v>
      </c>
      <c r="E17" s="21">
        <v>664.18447799612159</v>
      </c>
      <c r="F17" s="22" t="s">
        <v>239</v>
      </c>
      <c r="G17" s="37">
        <v>47.966825136436086</v>
      </c>
      <c r="H17" s="33">
        <v>12.790743818690032</v>
      </c>
    </row>
    <row r="18" spans="1:8" x14ac:dyDescent="0.2">
      <c r="A18" s="34"/>
      <c r="B18" s="25" t="s">
        <v>240</v>
      </c>
      <c r="C18" s="26">
        <v>96</v>
      </c>
      <c r="D18" s="26">
        <v>86</v>
      </c>
      <c r="E18" s="26">
        <v>108.46608695652174</v>
      </c>
      <c r="F18" s="27"/>
      <c r="G18" s="28">
        <v>12.985507246376812</v>
      </c>
      <c r="H18" s="29">
        <v>26.123356926188052</v>
      </c>
    </row>
    <row r="19" spans="1:8" x14ac:dyDescent="0.2">
      <c r="A19" s="30" t="s">
        <v>189</v>
      </c>
      <c r="B19" s="31" t="s">
        <v>3</v>
      </c>
      <c r="C19" s="20">
        <v>5612.7763975155276</v>
      </c>
      <c r="D19" s="20">
        <v>6717.9801242236026</v>
      </c>
      <c r="E19" s="21">
        <v>10242.996519758019</v>
      </c>
      <c r="F19" s="22" t="s">
        <v>239</v>
      </c>
      <c r="G19" s="23">
        <v>82.494291493458377</v>
      </c>
      <c r="H19" s="24">
        <v>52.471372798856009</v>
      </c>
    </row>
    <row r="20" spans="1:8" x14ac:dyDescent="0.2">
      <c r="A20" s="30"/>
      <c r="B20" s="25" t="s">
        <v>240</v>
      </c>
      <c r="C20" s="26">
        <v>1125</v>
      </c>
      <c r="D20" s="26">
        <v>1001</v>
      </c>
      <c r="E20" s="26">
        <v>1668.9950310559007</v>
      </c>
      <c r="F20" s="27"/>
      <c r="G20" s="38">
        <v>48.355113871635638</v>
      </c>
      <c r="H20" s="24">
        <v>66.732770335254827</v>
      </c>
    </row>
    <row r="21" spans="1:8" x14ac:dyDescent="0.2">
      <c r="A21" s="39" t="s">
        <v>12</v>
      </c>
      <c r="B21" s="31" t="s">
        <v>3</v>
      </c>
      <c r="C21" s="20">
        <v>51.924347826086958</v>
      </c>
      <c r="D21" s="20">
        <v>63.118608695652171</v>
      </c>
      <c r="E21" s="21">
        <v>157.60750416527139</v>
      </c>
      <c r="F21" s="22" t="s">
        <v>239</v>
      </c>
      <c r="G21" s="37">
        <v>203.53294892244918</v>
      </c>
      <c r="H21" s="33">
        <v>149.70053589937245</v>
      </c>
    </row>
    <row r="22" spans="1:8" x14ac:dyDescent="0.2">
      <c r="A22" s="34"/>
      <c r="B22" s="25" t="s">
        <v>240</v>
      </c>
      <c r="C22" s="26">
        <v>8</v>
      </c>
      <c r="D22" s="26">
        <v>7</v>
      </c>
      <c r="E22" s="26">
        <v>19.279652173913043</v>
      </c>
      <c r="F22" s="27"/>
      <c r="G22" s="28">
        <v>140.99565217391304</v>
      </c>
      <c r="H22" s="29">
        <v>175.42360248447204</v>
      </c>
    </row>
    <row r="23" spans="1:8" x14ac:dyDescent="0.2">
      <c r="A23" s="39" t="s">
        <v>23</v>
      </c>
      <c r="B23" s="31" t="s">
        <v>3</v>
      </c>
      <c r="C23" s="20">
        <v>1697.8739130434783</v>
      </c>
      <c r="D23" s="20">
        <v>1600.8643478260869</v>
      </c>
      <c r="E23" s="21">
        <v>1300.3850904811995</v>
      </c>
      <c r="F23" s="22" t="s">
        <v>239</v>
      </c>
      <c r="G23" s="23">
        <v>-23.410974131157417</v>
      </c>
      <c r="H23" s="24">
        <v>-18.769813804206876</v>
      </c>
    </row>
    <row r="24" spans="1:8" x14ac:dyDescent="0.2">
      <c r="A24" s="34"/>
      <c r="B24" s="25" t="s">
        <v>240</v>
      </c>
      <c r="C24" s="26">
        <v>450</v>
      </c>
      <c r="D24" s="26">
        <v>437</v>
      </c>
      <c r="E24" s="26">
        <v>351.46608695652174</v>
      </c>
      <c r="F24" s="27"/>
      <c r="G24" s="28">
        <v>-21.896425120772946</v>
      </c>
      <c r="H24" s="29">
        <v>-19.572977813152932</v>
      </c>
    </row>
    <row r="25" spans="1:8" x14ac:dyDescent="0.2">
      <c r="A25" s="30" t="s">
        <v>24</v>
      </c>
      <c r="B25" s="31" t="s">
        <v>3</v>
      </c>
      <c r="C25" s="20">
        <v>2505.7478260869566</v>
      </c>
      <c r="D25" s="20">
        <v>3390.7286956521739</v>
      </c>
      <c r="E25" s="21">
        <v>4760.355581777495</v>
      </c>
      <c r="F25" s="22" t="s">
        <v>239</v>
      </c>
      <c r="G25" s="23">
        <v>89.97744035605507</v>
      </c>
      <c r="H25" s="24">
        <v>40.393290323745191</v>
      </c>
    </row>
    <row r="26" spans="1:8" ht="13.5" thickBot="1" x14ac:dyDescent="0.25">
      <c r="A26" s="41"/>
      <c r="B26" s="42" t="s">
        <v>240</v>
      </c>
      <c r="C26" s="43">
        <v>814</v>
      </c>
      <c r="D26" s="43">
        <v>766</v>
      </c>
      <c r="E26" s="43">
        <v>1196.9321739130435</v>
      </c>
      <c r="F26" s="44"/>
      <c r="G26" s="45">
        <v>47.043264608481991</v>
      </c>
      <c r="H26" s="46">
        <v>56.257463957316389</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234</v>
      </c>
      <c r="D34" s="15" t="s">
        <v>235</v>
      </c>
      <c r="E34" s="15" t="s">
        <v>236</v>
      </c>
      <c r="F34" s="16"/>
      <c r="G34" s="17" t="s">
        <v>237</v>
      </c>
      <c r="H34" s="18" t="s">
        <v>238</v>
      </c>
    </row>
    <row r="35" spans="1:8" ht="12.75" customHeight="1" x14ac:dyDescent="0.2">
      <c r="A35" s="205" t="s">
        <v>45</v>
      </c>
      <c r="B35" s="19" t="s">
        <v>3</v>
      </c>
      <c r="C35" s="80">
        <v>920.69793862427093</v>
      </c>
      <c r="D35" s="80">
        <v>1345.8178702198506</v>
      </c>
      <c r="E35" s="83">
        <v>2221.0346683795105</v>
      </c>
      <c r="F35" s="22" t="s">
        <v>239</v>
      </c>
      <c r="G35" s="23">
        <v>141.23380483486625</v>
      </c>
      <c r="H35" s="24">
        <v>65.032335914568137</v>
      </c>
    </row>
    <row r="36" spans="1:8" ht="12.75" customHeight="1" x14ac:dyDescent="0.2">
      <c r="A36" s="206"/>
      <c r="B36" s="25" t="s">
        <v>240</v>
      </c>
      <c r="C36" s="82">
        <v>214.90358172041334</v>
      </c>
      <c r="D36" s="82">
        <v>272.97903669560264</v>
      </c>
      <c r="E36" s="82">
        <v>471.07497698119226</v>
      </c>
      <c r="F36" s="27"/>
      <c r="G36" s="28">
        <v>119.20294357590299</v>
      </c>
      <c r="H36" s="29">
        <v>72.568187903192467</v>
      </c>
    </row>
    <row r="37" spans="1:8" x14ac:dyDescent="0.2">
      <c r="A37" s="30" t="s">
        <v>18</v>
      </c>
      <c r="B37" s="31" t="s">
        <v>3</v>
      </c>
      <c r="C37" s="80">
        <v>342.37821156408751</v>
      </c>
      <c r="D37" s="80">
        <v>508.80382571797549</v>
      </c>
      <c r="E37" s="83">
        <v>814.60502329327517</v>
      </c>
      <c r="F37" s="22" t="s">
        <v>239</v>
      </c>
      <c r="G37" s="32">
        <v>137.92548584558358</v>
      </c>
      <c r="H37" s="33">
        <v>60.101984717544553</v>
      </c>
    </row>
    <row r="38" spans="1:8" x14ac:dyDescent="0.2">
      <c r="A38" s="34"/>
      <c r="B38" s="25" t="s">
        <v>240</v>
      </c>
      <c r="C38" s="82">
        <v>59.334403437206333</v>
      </c>
      <c r="D38" s="82">
        <v>74.899582281471638</v>
      </c>
      <c r="E38" s="82">
        <v>126.25223765630528</v>
      </c>
      <c r="F38" s="27"/>
      <c r="G38" s="35">
        <v>112.78083260737284</v>
      </c>
      <c r="H38" s="29">
        <v>68.562005034755799</v>
      </c>
    </row>
    <row r="39" spans="1:8" x14ac:dyDescent="0.2">
      <c r="A39" s="30" t="s">
        <v>19</v>
      </c>
      <c r="B39" s="31" t="s">
        <v>3</v>
      </c>
      <c r="C39" s="80">
        <v>303.71060912703132</v>
      </c>
      <c r="D39" s="80">
        <v>470.63384581751484</v>
      </c>
      <c r="E39" s="83">
        <v>877.87509831103785</v>
      </c>
      <c r="F39" s="22" t="s">
        <v>239</v>
      </c>
      <c r="G39" s="37">
        <v>189.04986257620459</v>
      </c>
      <c r="H39" s="33">
        <v>86.530379426095948</v>
      </c>
    </row>
    <row r="40" spans="1:8" x14ac:dyDescent="0.2">
      <c r="A40" s="34"/>
      <c r="B40" s="25" t="s">
        <v>240</v>
      </c>
      <c r="C40" s="82">
        <v>87.487527788327895</v>
      </c>
      <c r="D40" s="82">
        <v>118.49260429148904</v>
      </c>
      <c r="E40" s="82">
        <v>230.71303060917856</v>
      </c>
      <c r="F40" s="27"/>
      <c r="G40" s="28">
        <v>163.70962403621496</v>
      </c>
      <c r="H40" s="29">
        <v>94.706692446078648</v>
      </c>
    </row>
    <row r="41" spans="1:8" x14ac:dyDescent="0.2">
      <c r="A41" s="30" t="s">
        <v>20</v>
      </c>
      <c r="B41" s="31" t="s">
        <v>3</v>
      </c>
      <c r="C41" s="80">
        <v>33.909776236108357</v>
      </c>
      <c r="D41" s="80">
        <v>45.317287953984163</v>
      </c>
      <c r="E41" s="83">
        <v>68.874547927961004</v>
      </c>
      <c r="F41" s="22" t="s">
        <v>239</v>
      </c>
      <c r="G41" s="23">
        <v>103.11118377307631</v>
      </c>
      <c r="H41" s="24">
        <v>51.982943017016424</v>
      </c>
    </row>
    <row r="42" spans="1:8" x14ac:dyDescent="0.2">
      <c r="A42" s="34"/>
      <c r="B42" s="25" t="s">
        <v>240</v>
      </c>
      <c r="C42" s="82">
        <v>6.3715424477888778</v>
      </c>
      <c r="D42" s="82">
        <v>7.806212785264691</v>
      </c>
      <c r="E42" s="82">
        <v>12.202685813921194</v>
      </c>
      <c r="F42" s="27"/>
      <c r="G42" s="38">
        <v>91.518551652369581</v>
      </c>
      <c r="H42" s="24">
        <v>56.320179190547492</v>
      </c>
    </row>
    <row r="43" spans="1:8" x14ac:dyDescent="0.2">
      <c r="A43" s="30" t="s">
        <v>21</v>
      </c>
      <c r="B43" s="31" t="s">
        <v>3</v>
      </c>
      <c r="C43" s="80">
        <v>10.163603263999788</v>
      </c>
      <c r="D43" s="80">
        <v>13.010591074527952</v>
      </c>
      <c r="E43" s="83">
        <v>17.920308365681343</v>
      </c>
      <c r="F43" s="22" t="s">
        <v>239</v>
      </c>
      <c r="G43" s="37">
        <v>76.318456163636</v>
      </c>
      <c r="H43" s="33">
        <v>37.736312386034513</v>
      </c>
    </row>
    <row r="44" spans="1:8" x14ac:dyDescent="0.2">
      <c r="A44" s="34"/>
      <c r="B44" s="25" t="s">
        <v>240</v>
      </c>
      <c r="C44" s="82">
        <v>1.9913936280445974</v>
      </c>
      <c r="D44" s="82">
        <v>2.4059994302439773</v>
      </c>
      <c r="E44" s="82">
        <v>3.3771784109445551</v>
      </c>
      <c r="F44" s="27"/>
      <c r="G44" s="28">
        <v>69.58869222960692</v>
      </c>
      <c r="H44" s="29">
        <v>40.364888224520342</v>
      </c>
    </row>
    <row r="45" spans="1:8" x14ac:dyDescent="0.2">
      <c r="A45" s="30" t="s">
        <v>22</v>
      </c>
      <c r="B45" s="31" t="s">
        <v>3</v>
      </c>
      <c r="C45" s="80">
        <v>3.1169390507021415</v>
      </c>
      <c r="D45" s="80">
        <v>5.975419837860156</v>
      </c>
      <c r="E45" s="83">
        <v>9.9554143696861388</v>
      </c>
      <c r="F45" s="22" t="s">
        <v>239</v>
      </c>
      <c r="G45" s="37">
        <v>219.39714597382067</v>
      </c>
      <c r="H45" s="33">
        <v>66.606107015423532</v>
      </c>
    </row>
    <row r="46" spans="1:8" x14ac:dyDescent="0.2">
      <c r="A46" s="34"/>
      <c r="B46" s="25" t="s">
        <v>240</v>
      </c>
      <c r="C46" s="82">
        <v>0.53681124598597851</v>
      </c>
      <c r="D46" s="82">
        <v>0.63259748981103814</v>
      </c>
      <c r="E46" s="82">
        <v>1.209253000491461</v>
      </c>
      <c r="F46" s="27"/>
      <c r="G46" s="28">
        <v>125.26595885121355</v>
      </c>
      <c r="H46" s="29">
        <v>91.156781360715541</v>
      </c>
    </row>
    <row r="47" spans="1:8" x14ac:dyDescent="0.2">
      <c r="A47" s="30" t="s">
        <v>189</v>
      </c>
      <c r="B47" s="31" t="s">
        <v>3</v>
      </c>
      <c r="C47" s="80">
        <v>100.45196290747263</v>
      </c>
      <c r="D47" s="80">
        <v>134.50750240541021</v>
      </c>
      <c r="E47" s="83">
        <v>200.10885887291866</v>
      </c>
      <c r="F47" s="22" t="s">
        <v>239</v>
      </c>
      <c r="G47" s="23">
        <v>99.208510297843617</v>
      </c>
      <c r="H47" s="24">
        <v>48.771522252925138</v>
      </c>
    </row>
    <row r="48" spans="1:8" x14ac:dyDescent="0.2">
      <c r="A48" s="30"/>
      <c r="B48" s="25" t="s">
        <v>240</v>
      </c>
      <c r="C48" s="82">
        <v>24.55226607315079</v>
      </c>
      <c r="D48" s="82">
        <v>24.436115322362568</v>
      </c>
      <c r="E48" s="82">
        <v>39.756035992319234</v>
      </c>
      <c r="F48" s="27"/>
      <c r="G48" s="38">
        <v>61.924100504085743</v>
      </c>
      <c r="H48" s="24">
        <v>62.693764814314534</v>
      </c>
    </row>
    <row r="49" spans="1:8" x14ac:dyDescent="0.2">
      <c r="A49" s="39" t="s">
        <v>12</v>
      </c>
      <c r="B49" s="31" t="s">
        <v>3</v>
      </c>
      <c r="C49" s="80">
        <v>0.5151113756760981</v>
      </c>
      <c r="D49" s="80">
        <v>1.311325674200952</v>
      </c>
      <c r="E49" s="83">
        <v>3.645775524951679</v>
      </c>
      <c r="F49" s="22" t="s">
        <v>239</v>
      </c>
      <c r="G49" s="37">
        <v>607.76451406581668</v>
      </c>
      <c r="H49" s="33">
        <v>178.0221265150787</v>
      </c>
    </row>
    <row r="50" spans="1:8" x14ac:dyDescent="0.2">
      <c r="A50" s="34"/>
      <c r="B50" s="25" t="s">
        <v>240</v>
      </c>
      <c r="C50" s="82">
        <v>0.19274381917935315</v>
      </c>
      <c r="D50" s="82">
        <v>7.7821087561366548E-2</v>
      </c>
      <c r="E50" s="82">
        <v>0.30069446081712758</v>
      </c>
      <c r="F50" s="27"/>
      <c r="G50" s="28">
        <v>56.00731691288297</v>
      </c>
      <c r="H50" s="29">
        <v>286.39200535460543</v>
      </c>
    </row>
    <row r="51" spans="1:8" x14ac:dyDescent="0.2">
      <c r="A51" s="39" t="s">
        <v>23</v>
      </c>
      <c r="B51" s="31" t="s">
        <v>3</v>
      </c>
      <c r="C51" s="80">
        <v>57.82285143122315</v>
      </c>
      <c r="D51" s="80">
        <v>63.910184326368828</v>
      </c>
      <c r="E51" s="83">
        <v>72.168596216439255</v>
      </c>
      <c r="F51" s="22" t="s">
        <v>239</v>
      </c>
      <c r="G51" s="23">
        <v>24.80981900776635</v>
      </c>
      <c r="H51" s="24">
        <v>12.92190278766428</v>
      </c>
    </row>
    <row r="52" spans="1:8" x14ac:dyDescent="0.2">
      <c r="A52" s="34"/>
      <c r="B52" s="25" t="s">
        <v>240</v>
      </c>
      <c r="C52" s="82">
        <v>13.714465490660311</v>
      </c>
      <c r="D52" s="82">
        <v>14.003320098737287</v>
      </c>
      <c r="E52" s="82">
        <v>16.224886125096972</v>
      </c>
      <c r="F52" s="27"/>
      <c r="G52" s="28">
        <v>18.304910505963818</v>
      </c>
      <c r="H52" s="29">
        <v>15.864566479202381</v>
      </c>
    </row>
    <row r="53" spans="1:8" x14ac:dyDescent="0.2">
      <c r="A53" s="30" t="s">
        <v>24</v>
      </c>
      <c r="B53" s="31" t="s">
        <v>3</v>
      </c>
      <c r="C53" s="80">
        <v>68.628873667969884</v>
      </c>
      <c r="D53" s="80">
        <v>102.34788741200792</v>
      </c>
      <c r="E53" s="83">
        <v>137.9492884307418</v>
      </c>
      <c r="F53" s="22" t="s">
        <v>239</v>
      </c>
      <c r="G53" s="23">
        <v>101.00765327746416</v>
      </c>
      <c r="H53" s="24">
        <v>34.784695531054979</v>
      </c>
    </row>
    <row r="54" spans="1:8" ht="13.5" thickBot="1" x14ac:dyDescent="0.25">
      <c r="A54" s="41"/>
      <c r="B54" s="42" t="s">
        <v>240</v>
      </c>
      <c r="C54" s="86">
        <v>20.722427790069169</v>
      </c>
      <c r="D54" s="86">
        <v>30.224783908661006</v>
      </c>
      <c r="E54" s="86">
        <v>41.038974912117773</v>
      </c>
      <c r="F54" s="44"/>
      <c r="G54" s="45">
        <v>98.041345965191027</v>
      </c>
      <c r="H54" s="46">
        <v>35.779216937124005</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H61" s="200">
        <v>16</v>
      </c>
    </row>
    <row r="62" spans="1:8" ht="12.75" customHeight="1" x14ac:dyDescent="0.2">
      <c r="A62" s="54" t="s">
        <v>242</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203" t="s">
        <v>1</v>
      </c>
      <c r="H5" s="204"/>
    </row>
    <row r="6" spans="1:8" x14ac:dyDescent="0.2">
      <c r="A6" s="12"/>
      <c r="B6" s="13"/>
      <c r="C6" s="14" t="s">
        <v>234</v>
      </c>
      <c r="D6" s="15" t="s">
        <v>235</v>
      </c>
      <c r="E6" s="15" t="s">
        <v>236</v>
      </c>
      <c r="F6" s="16"/>
      <c r="G6" s="17" t="s">
        <v>237</v>
      </c>
      <c r="H6" s="18" t="s">
        <v>238</v>
      </c>
    </row>
    <row r="7" spans="1:8" x14ac:dyDescent="0.2">
      <c r="A7" s="205" t="s">
        <v>165</v>
      </c>
      <c r="B7" s="19" t="s">
        <v>3</v>
      </c>
      <c r="C7" s="20">
        <v>44703.941502659662</v>
      </c>
      <c r="D7" s="20">
        <v>53986.423475075651</v>
      </c>
      <c r="E7" s="79">
        <v>70534.20381078028</v>
      </c>
      <c r="F7" s="22" t="s">
        <v>239</v>
      </c>
      <c r="G7" s="23">
        <v>57.780726799188045</v>
      </c>
      <c r="H7" s="24">
        <v>30.651744032172047</v>
      </c>
    </row>
    <row r="8" spans="1:8" x14ac:dyDescent="0.2">
      <c r="A8" s="206"/>
      <c r="B8" s="25" t="s">
        <v>240</v>
      </c>
      <c r="C8" s="26">
        <v>11825.08552317248</v>
      </c>
      <c r="D8" s="26">
        <v>14204.681955725435</v>
      </c>
      <c r="E8" s="26">
        <v>18591.561395126613</v>
      </c>
      <c r="F8" s="27"/>
      <c r="G8" s="28">
        <v>57.221369424301599</v>
      </c>
      <c r="H8" s="29">
        <v>30.883334474327825</v>
      </c>
    </row>
    <row r="9" spans="1:8" x14ac:dyDescent="0.2">
      <c r="A9" s="30" t="s">
        <v>18</v>
      </c>
      <c r="B9" s="31" t="s">
        <v>3</v>
      </c>
      <c r="C9" s="20">
        <v>4277.1578497057972</v>
      </c>
      <c r="D9" s="20">
        <v>4363.4472463768116</v>
      </c>
      <c r="E9" s="36">
        <v>4450.2836094369286</v>
      </c>
      <c r="F9" s="22" t="s">
        <v>239</v>
      </c>
      <c r="G9" s="32">
        <v>4.047682265059251</v>
      </c>
      <c r="H9" s="33">
        <v>1.9900862358819893</v>
      </c>
    </row>
    <row r="10" spans="1:8" x14ac:dyDescent="0.2">
      <c r="A10" s="34"/>
      <c r="B10" s="25" t="s">
        <v>240</v>
      </c>
      <c r="C10" s="26">
        <v>1078.9627717391304</v>
      </c>
      <c r="D10" s="26">
        <v>1126.7903442028985</v>
      </c>
      <c r="E10" s="26">
        <v>1140.2161413043477</v>
      </c>
      <c r="F10" s="27"/>
      <c r="G10" s="35">
        <v>5.6770605223464656</v>
      </c>
      <c r="H10" s="29">
        <v>1.1915080006251486</v>
      </c>
    </row>
    <row r="11" spans="1:8" x14ac:dyDescent="0.2">
      <c r="A11" s="30" t="s">
        <v>19</v>
      </c>
      <c r="B11" s="31" t="s">
        <v>3</v>
      </c>
      <c r="C11" s="20">
        <v>21767.698417218973</v>
      </c>
      <c r="D11" s="20">
        <v>26315.190988142291</v>
      </c>
      <c r="E11" s="36">
        <v>37178.219726836243</v>
      </c>
      <c r="F11" s="22" t="s">
        <v>239</v>
      </c>
      <c r="G11" s="37">
        <v>70.795363911450721</v>
      </c>
      <c r="H11" s="33">
        <v>41.280448025586708</v>
      </c>
    </row>
    <row r="12" spans="1:8" x14ac:dyDescent="0.2">
      <c r="A12" s="34"/>
      <c r="B12" s="25" t="s">
        <v>240</v>
      </c>
      <c r="C12" s="26">
        <v>6289.7872529644264</v>
      </c>
      <c r="D12" s="26">
        <v>7103.4956719367583</v>
      </c>
      <c r="E12" s="26">
        <v>10260.889189723321</v>
      </c>
      <c r="F12" s="27"/>
      <c r="G12" s="28">
        <v>63.135711543936281</v>
      </c>
      <c r="H12" s="29">
        <v>44.448447125268729</v>
      </c>
    </row>
    <row r="13" spans="1:8" x14ac:dyDescent="0.2">
      <c r="A13" s="30" t="s">
        <v>20</v>
      </c>
      <c r="B13" s="31" t="s">
        <v>3</v>
      </c>
      <c r="C13" s="20">
        <v>2976.0947098234783</v>
      </c>
      <c r="D13" s="20">
        <v>3410.4683478260868</v>
      </c>
      <c r="E13" s="36">
        <v>3795.4166033206802</v>
      </c>
      <c r="F13" s="22" t="s">
        <v>239</v>
      </c>
      <c r="G13" s="23">
        <v>27.530101471327129</v>
      </c>
      <c r="H13" s="24">
        <v>11.287254893890704</v>
      </c>
    </row>
    <row r="14" spans="1:8" x14ac:dyDescent="0.2">
      <c r="A14" s="34"/>
      <c r="B14" s="25" t="s">
        <v>240</v>
      </c>
      <c r="C14" s="26">
        <v>593.17766304347833</v>
      </c>
      <c r="D14" s="26">
        <v>921.67420652173917</v>
      </c>
      <c r="E14" s="26">
        <v>916.92968478260877</v>
      </c>
      <c r="F14" s="27"/>
      <c r="G14" s="38">
        <v>54.579267209426291</v>
      </c>
      <c r="H14" s="24">
        <v>-0.51477210770988791</v>
      </c>
    </row>
    <row r="15" spans="1:8" x14ac:dyDescent="0.2">
      <c r="A15" s="30" t="s">
        <v>21</v>
      </c>
      <c r="B15" s="31" t="s">
        <v>3</v>
      </c>
      <c r="C15" s="20">
        <v>1524.0947098234783</v>
      </c>
      <c r="D15" s="20">
        <v>1901.468347826087</v>
      </c>
      <c r="E15" s="36">
        <v>2136.9114703918144</v>
      </c>
      <c r="F15" s="22" t="s">
        <v>239</v>
      </c>
      <c r="G15" s="37">
        <v>40.208574743974623</v>
      </c>
      <c r="H15" s="33">
        <v>12.382174167395689</v>
      </c>
    </row>
    <row r="16" spans="1:8" x14ac:dyDescent="0.2">
      <c r="A16" s="34"/>
      <c r="B16" s="25" t="s">
        <v>240</v>
      </c>
      <c r="C16" s="26">
        <v>332.17766304347828</v>
      </c>
      <c r="D16" s="26">
        <v>393.67420652173917</v>
      </c>
      <c r="E16" s="26">
        <v>449.92968478260866</v>
      </c>
      <c r="F16" s="27"/>
      <c r="G16" s="28">
        <v>35.448506880403329</v>
      </c>
      <c r="H16" s="29">
        <v>14.289856264119493</v>
      </c>
    </row>
    <row r="17" spans="1:8" x14ac:dyDescent="0.2">
      <c r="A17" s="30" t="s">
        <v>189</v>
      </c>
      <c r="B17" s="31" t="s">
        <v>3</v>
      </c>
      <c r="C17" s="20">
        <v>7993.1578497057972</v>
      </c>
      <c r="D17" s="20">
        <v>9896.4472463768107</v>
      </c>
      <c r="E17" s="36">
        <v>12280.892674431148</v>
      </c>
      <c r="F17" s="22" t="s">
        <v>239</v>
      </c>
      <c r="G17" s="37">
        <v>53.642564119801136</v>
      </c>
      <c r="H17" s="33">
        <v>24.093953806779567</v>
      </c>
    </row>
    <row r="18" spans="1:8" x14ac:dyDescent="0.2">
      <c r="A18" s="34"/>
      <c r="B18" s="25" t="s">
        <v>240</v>
      </c>
      <c r="C18" s="26">
        <v>2080.9627717391304</v>
      </c>
      <c r="D18" s="26">
        <v>2277.7903442028983</v>
      </c>
      <c r="E18" s="26">
        <v>2940.2161413043477</v>
      </c>
      <c r="F18" s="27"/>
      <c r="G18" s="28">
        <v>41.29114567710937</v>
      </c>
      <c r="H18" s="29">
        <v>29.081947721279931</v>
      </c>
    </row>
    <row r="19" spans="1:8" x14ac:dyDescent="0.2">
      <c r="A19" s="39" t="s">
        <v>12</v>
      </c>
      <c r="B19" s="31" t="s">
        <v>3</v>
      </c>
      <c r="C19" s="20">
        <v>436.0947098234783</v>
      </c>
      <c r="D19" s="20">
        <v>657.46834782608698</v>
      </c>
      <c r="E19" s="36">
        <v>1015.8993552598248</v>
      </c>
      <c r="F19" s="22" t="s">
        <v>239</v>
      </c>
      <c r="G19" s="37">
        <v>132.95383603048955</v>
      </c>
      <c r="H19" s="33">
        <v>54.516846114172125</v>
      </c>
    </row>
    <row r="20" spans="1:8" x14ac:dyDescent="0.2">
      <c r="A20" s="34"/>
      <c r="B20" s="25" t="s">
        <v>240</v>
      </c>
      <c r="C20" s="26">
        <v>157.17766304347828</v>
      </c>
      <c r="D20" s="26">
        <v>120.67420652173914</v>
      </c>
      <c r="E20" s="26">
        <v>222.92968478260869</v>
      </c>
      <c r="F20" s="27"/>
      <c r="G20" s="28">
        <v>41.832929988876458</v>
      </c>
      <c r="H20" s="29">
        <v>84.736814277248641</v>
      </c>
    </row>
    <row r="21" spans="1:8" x14ac:dyDescent="0.2">
      <c r="A21" s="39" t="s">
        <v>23</v>
      </c>
      <c r="B21" s="31" t="s">
        <v>3</v>
      </c>
      <c r="C21" s="20">
        <v>607.06313988231886</v>
      </c>
      <c r="D21" s="20">
        <v>695.97889855072458</v>
      </c>
      <c r="E21" s="36">
        <v>607.79559348908242</v>
      </c>
      <c r="F21" s="22" t="s">
        <v>239</v>
      </c>
      <c r="G21" s="23">
        <v>0.1206552595016035</v>
      </c>
      <c r="H21" s="24">
        <v>-12.670399238435408</v>
      </c>
    </row>
    <row r="22" spans="1:8" x14ac:dyDescent="0.2">
      <c r="A22" s="34"/>
      <c r="B22" s="25" t="s">
        <v>240</v>
      </c>
      <c r="C22" s="26">
        <v>172.78510869565218</v>
      </c>
      <c r="D22" s="26">
        <v>190.11613768115942</v>
      </c>
      <c r="E22" s="26">
        <v>168.28645652173913</v>
      </c>
      <c r="F22" s="27"/>
      <c r="G22" s="38">
        <v>-2.6036110448829817</v>
      </c>
      <c r="H22" s="24">
        <v>-11.482287314310199</v>
      </c>
    </row>
    <row r="23" spans="1:8" x14ac:dyDescent="0.2">
      <c r="A23" s="30" t="s">
        <v>24</v>
      </c>
      <c r="B23" s="31" t="s">
        <v>3</v>
      </c>
      <c r="C23" s="20">
        <v>6256.4284129470434</v>
      </c>
      <c r="D23" s="20">
        <v>7775.840504347826</v>
      </c>
      <c r="E23" s="36">
        <v>11590.738678357458</v>
      </c>
      <c r="F23" s="22" t="s">
        <v>239</v>
      </c>
      <c r="G23" s="37">
        <v>85.26126910317717</v>
      </c>
      <c r="H23" s="33">
        <v>49.060910802845683</v>
      </c>
    </row>
    <row r="24" spans="1:8" ht="13.5" thickBot="1" x14ac:dyDescent="0.25">
      <c r="A24" s="41"/>
      <c r="B24" s="42" t="s">
        <v>240</v>
      </c>
      <c r="C24" s="43">
        <v>1360.2532989130434</v>
      </c>
      <c r="D24" s="43">
        <v>2278.4022619565217</v>
      </c>
      <c r="E24" s="43">
        <v>3043.4789054347825</v>
      </c>
      <c r="F24" s="44"/>
      <c r="G24" s="45">
        <v>123.74354157911455</v>
      </c>
      <c r="H24" s="46">
        <v>33.579524399755059</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234</v>
      </c>
      <c r="D34" s="15" t="s">
        <v>235</v>
      </c>
      <c r="E34" s="15" t="s">
        <v>236</v>
      </c>
      <c r="F34" s="16"/>
      <c r="G34" s="17" t="s">
        <v>237</v>
      </c>
      <c r="H34" s="18" t="s">
        <v>238</v>
      </c>
    </row>
    <row r="35" spans="1:8" ht="12.75" customHeight="1" x14ac:dyDescent="0.2">
      <c r="A35" s="205" t="s">
        <v>165</v>
      </c>
      <c r="B35" s="19" t="s">
        <v>3</v>
      </c>
      <c r="C35" s="80">
        <v>7230.9088147832817</v>
      </c>
      <c r="D35" s="80">
        <v>9813.9785573664813</v>
      </c>
      <c r="E35" s="81">
        <v>11909.243646488094</v>
      </c>
      <c r="F35" s="22" t="s">
        <v>239</v>
      </c>
      <c r="G35" s="23">
        <v>64.699126369014039</v>
      </c>
      <c r="H35" s="24">
        <v>21.349803006741681</v>
      </c>
    </row>
    <row r="36" spans="1:8" ht="12.75" customHeight="1" x14ac:dyDescent="0.2">
      <c r="A36" s="206"/>
      <c r="B36" s="25" t="s">
        <v>240</v>
      </c>
      <c r="C36" s="82">
        <v>1689.9175000707492</v>
      </c>
      <c r="D36" s="82">
        <v>2172.8590638677833</v>
      </c>
      <c r="E36" s="82">
        <v>2683.855266596981</v>
      </c>
      <c r="F36" s="27"/>
      <c r="G36" s="28">
        <v>58.815756774198746</v>
      </c>
      <c r="H36" s="29">
        <v>23.517227197405163</v>
      </c>
    </row>
    <row r="37" spans="1:8" x14ac:dyDescent="0.2">
      <c r="A37" s="30" t="s">
        <v>18</v>
      </c>
      <c r="B37" s="31" t="s">
        <v>3</v>
      </c>
      <c r="C37" s="80">
        <v>3666.8924975994187</v>
      </c>
      <c r="D37" s="80">
        <v>3476.130991637121</v>
      </c>
      <c r="E37" s="83">
        <v>2982.9665341904374</v>
      </c>
      <c r="F37" s="22" t="s">
        <v>239</v>
      </c>
      <c r="G37" s="32">
        <v>-18.651377531703545</v>
      </c>
      <c r="H37" s="33">
        <v>-14.187165519168843</v>
      </c>
    </row>
    <row r="38" spans="1:8" x14ac:dyDescent="0.2">
      <c r="A38" s="34"/>
      <c r="B38" s="25" t="s">
        <v>240</v>
      </c>
      <c r="C38" s="82">
        <v>792.62610958501352</v>
      </c>
      <c r="D38" s="82">
        <v>1003.5717254345549</v>
      </c>
      <c r="E38" s="82">
        <v>774.54326327627007</v>
      </c>
      <c r="F38" s="27"/>
      <c r="G38" s="35">
        <v>-2.2813841343443642</v>
      </c>
      <c r="H38" s="29">
        <v>-22.821334674321719</v>
      </c>
    </row>
    <row r="39" spans="1:8" x14ac:dyDescent="0.2">
      <c r="A39" s="30" t="s">
        <v>19</v>
      </c>
      <c r="B39" s="31" t="s">
        <v>3</v>
      </c>
      <c r="C39" s="80">
        <v>1959.9317334918117</v>
      </c>
      <c r="D39" s="80">
        <v>2609.1619566823429</v>
      </c>
      <c r="E39" s="83">
        <v>4565.580377720099</v>
      </c>
      <c r="F39" s="22" t="s">
        <v>239</v>
      </c>
      <c r="G39" s="37">
        <v>132.94588784406628</v>
      </c>
      <c r="H39" s="33">
        <v>74.982636322255104</v>
      </c>
    </row>
    <row r="40" spans="1:8" x14ac:dyDescent="0.2">
      <c r="A40" s="34"/>
      <c r="B40" s="25" t="s">
        <v>240</v>
      </c>
      <c r="C40" s="82">
        <v>495.19912366351826</v>
      </c>
      <c r="D40" s="82">
        <v>611.09846740902378</v>
      </c>
      <c r="E40" s="82">
        <v>1095.9919750448098</v>
      </c>
      <c r="F40" s="27"/>
      <c r="G40" s="28">
        <v>121.3234884053476</v>
      </c>
      <c r="H40" s="29">
        <v>79.347852023205036</v>
      </c>
    </row>
    <row r="41" spans="1:8" x14ac:dyDescent="0.2">
      <c r="A41" s="30" t="s">
        <v>20</v>
      </c>
      <c r="B41" s="31" t="s">
        <v>3</v>
      </c>
      <c r="C41" s="80">
        <v>160.97136009515918</v>
      </c>
      <c r="D41" s="80">
        <v>230.73612518688867</v>
      </c>
      <c r="E41" s="83">
        <v>231.39753441076283</v>
      </c>
      <c r="F41" s="22" t="s">
        <v>239</v>
      </c>
      <c r="G41" s="23">
        <v>43.750748129338518</v>
      </c>
      <c r="H41" s="24">
        <v>0.28665178603412755</v>
      </c>
    </row>
    <row r="42" spans="1:8" x14ac:dyDescent="0.2">
      <c r="A42" s="34"/>
      <c r="B42" s="25" t="s">
        <v>240</v>
      </c>
      <c r="C42" s="82">
        <v>37.448710446537966</v>
      </c>
      <c r="D42" s="82">
        <v>59.491907418397098</v>
      </c>
      <c r="E42" s="82">
        <v>57.58382697115286</v>
      </c>
      <c r="F42" s="27"/>
      <c r="G42" s="38">
        <v>53.767182593269609</v>
      </c>
      <c r="H42" s="24">
        <v>-3.2072941178789449</v>
      </c>
    </row>
    <row r="43" spans="1:8" x14ac:dyDescent="0.2">
      <c r="A43" s="30" t="s">
        <v>21</v>
      </c>
      <c r="B43" s="31" t="s">
        <v>3</v>
      </c>
      <c r="C43" s="80">
        <v>33.208015768235526</v>
      </c>
      <c r="D43" s="80">
        <v>43.988580330076658</v>
      </c>
      <c r="E43" s="83">
        <v>59.591996363271036</v>
      </c>
      <c r="F43" s="22" t="s">
        <v>239</v>
      </c>
      <c r="G43" s="37">
        <v>79.450638602359959</v>
      </c>
      <c r="H43" s="33">
        <v>35.471515370833032</v>
      </c>
    </row>
    <row r="44" spans="1:8" x14ac:dyDescent="0.2">
      <c r="A44" s="34"/>
      <c r="B44" s="25" t="s">
        <v>240</v>
      </c>
      <c r="C44" s="82">
        <v>6.389304897370172</v>
      </c>
      <c r="D44" s="82">
        <v>8.7013885971823139</v>
      </c>
      <c r="E44" s="82">
        <v>11.678490752388203</v>
      </c>
      <c r="F44" s="27"/>
      <c r="G44" s="28">
        <v>82.781866571981112</v>
      </c>
      <c r="H44" s="29">
        <v>34.214104127816285</v>
      </c>
    </row>
    <row r="45" spans="1:8" x14ac:dyDescent="0.2">
      <c r="A45" s="30" t="s">
        <v>189</v>
      </c>
      <c r="B45" s="31" t="s">
        <v>3</v>
      </c>
      <c r="C45" s="80">
        <v>692.65829737330091</v>
      </c>
      <c r="D45" s="80">
        <v>1118.7916962393356</v>
      </c>
      <c r="E45" s="83">
        <v>978.06615251292294</v>
      </c>
      <c r="F45" s="22" t="s">
        <v>239</v>
      </c>
      <c r="G45" s="37">
        <v>41.204711792516719</v>
      </c>
      <c r="H45" s="33">
        <v>-12.578350751032758</v>
      </c>
    </row>
    <row r="46" spans="1:8" x14ac:dyDescent="0.2">
      <c r="A46" s="34"/>
      <c r="B46" s="25" t="s">
        <v>240</v>
      </c>
      <c r="C46" s="82">
        <v>186.47338630302286</v>
      </c>
      <c r="D46" s="82">
        <v>269.98496176600099</v>
      </c>
      <c r="E46" s="82">
        <v>244.46921136542446</v>
      </c>
      <c r="F46" s="27"/>
      <c r="G46" s="28">
        <v>31.101395331641186</v>
      </c>
      <c r="H46" s="29">
        <v>-9.4508043091271645</v>
      </c>
    </row>
    <row r="47" spans="1:8" x14ac:dyDescent="0.2">
      <c r="A47" s="39" t="s">
        <v>12</v>
      </c>
      <c r="B47" s="31" t="s">
        <v>3</v>
      </c>
      <c r="C47" s="80">
        <v>36.725818335874571</v>
      </c>
      <c r="D47" s="80">
        <v>136.74512068045985</v>
      </c>
      <c r="E47" s="83">
        <v>148.96801627033656</v>
      </c>
      <c r="F47" s="22" t="s">
        <v>239</v>
      </c>
      <c r="G47" s="37">
        <v>305.62204743255893</v>
      </c>
      <c r="H47" s="33">
        <v>8.9384509875410174</v>
      </c>
    </row>
    <row r="48" spans="1:8" x14ac:dyDescent="0.2">
      <c r="A48" s="34"/>
      <c r="B48" s="25" t="s">
        <v>240</v>
      </c>
      <c r="C48" s="82">
        <v>12.492893242694791</v>
      </c>
      <c r="D48" s="82">
        <v>8.302060710957754</v>
      </c>
      <c r="E48" s="82">
        <v>12.454759759402544</v>
      </c>
      <c r="F48" s="27"/>
      <c r="G48" s="28">
        <v>-0.30524140846674186</v>
      </c>
      <c r="H48" s="29">
        <v>50.020099744196159</v>
      </c>
    </row>
    <row r="49" spans="1:8" x14ac:dyDescent="0.2">
      <c r="A49" s="39" t="s">
        <v>23</v>
      </c>
      <c r="B49" s="31" t="s">
        <v>3</v>
      </c>
      <c r="C49" s="80">
        <v>38.562199446374002</v>
      </c>
      <c r="D49" s="80">
        <v>52.967165983377598</v>
      </c>
      <c r="E49" s="83">
        <v>40.955570988723132</v>
      </c>
      <c r="F49" s="22" t="s">
        <v>239</v>
      </c>
      <c r="G49" s="23">
        <v>6.2065223890495105</v>
      </c>
      <c r="H49" s="24">
        <v>-22.677435674817872</v>
      </c>
    </row>
    <row r="50" spans="1:8" x14ac:dyDescent="0.2">
      <c r="A50" s="34"/>
      <c r="B50" s="25" t="s">
        <v>240</v>
      </c>
      <c r="C50" s="82">
        <v>8.6607123142224722</v>
      </c>
      <c r="D50" s="82">
        <v>9.1824612155031762</v>
      </c>
      <c r="E50" s="82">
        <v>7.6843862140939452</v>
      </c>
      <c r="F50" s="27"/>
      <c r="G50" s="38">
        <v>-11.273046196503046</v>
      </c>
      <c r="H50" s="24">
        <v>-16.314525770933415</v>
      </c>
    </row>
    <row r="51" spans="1:8" x14ac:dyDescent="0.2">
      <c r="A51" s="30" t="s">
        <v>24</v>
      </c>
      <c r="B51" s="31" t="s">
        <v>3</v>
      </c>
      <c r="C51" s="80">
        <v>641.95889267310577</v>
      </c>
      <c r="D51" s="80">
        <v>2145.4569206268798</v>
      </c>
      <c r="E51" s="83">
        <v>4067.1483975387582</v>
      </c>
      <c r="F51" s="22" t="s">
        <v>239</v>
      </c>
      <c r="G51" s="37">
        <v>533.5527779050185</v>
      </c>
      <c r="H51" s="33">
        <v>89.570266288561982</v>
      </c>
    </row>
    <row r="52" spans="1:8" ht="13.5" thickBot="1" x14ac:dyDescent="0.25">
      <c r="A52" s="41"/>
      <c r="B52" s="42" t="s">
        <v>240</v>
      </c>
      <c r="C52" s="86">
        <v>150.62725961836873</v>
      </c>
      <c r="D52" s="86">
        <v>202.5260913161629</v>
      </c>
      <c r="E52" s="86">
        <v>479.44935321343888</v>
      </c>
      <c r="F52" s="44"/>
      <c r="G52" s="45">
        <v>218.30184949801139</v>
      </c>
      <c r="H52" s="46">
        <v>136.73461038902482</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G61" s="53"/>
      <c r="H61" s="208">
        <v>17</v>
      </c>
    </row>
    <row r="62" spans="1:8" ht="12.75" customHeight="1" x14ac:dyDescent="0.2">
      <c r="A62" s="54" t="s">
        <v>242</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203" t="s">
        <v>1</v>
      </c>
      <c r="H5" s="204"/>
    </row>
    <row r="6" spans="1:9" x14ac:dyDescent="0.2">
      <c r="A6" s="12"/>
      <c r="B6" s="13"/>
      <c r="C6" s="14" t="s">
        <v>234</v>
      </c>
      <c r="D6" s="15" t="s">
        <v>235</v>
      </c>
      <c r="E6" s="15" t="s">
        <v>236</v>
      </c>
      <c r="F6" s="16"/>
      <c r="G6" s="17" t="s">
        <v>237</v>
      </c>
      <c r="H6" s="18" t="s">
        <v>238</v>
      </c>
    </row>
    <row r="7" spans="1:9" x14ac:dyDescent="0.2">
      <c r="A7" s="205" t="s">
        <v>58</v>
      </c>
      <c r="B7" s="19" t="s">
        <v>3</v>
      </c>
      <c r="C7" s="20">
        <v>8629.6967836734693</v>
      </c>
      <c r="D7" s="20">
        <v>9255.1604571428579</v>
      </c>
      <c r="E7" s="79">
        <v>10055.012999760242</v>
      </c>
      <c r="F7" s="22" t="s">
        <v>239</v>
      </c>
      <c r="G7" s="23">
        <v>16.516411315671363</v>
      </c>
      <c r="H7" s="24">
        <v>8.6422331230365756</v>
      </c>
    </row>
    <row r="8" spans="1:9" x14ac:dyDescent="0.2">
      <c r="A8" s="206"/>
      <c r="B8" s="25" t="s">
        <v>240</v>
      </c>
      <c r="C8" s="26">
        <v>2424.5147755102043</v>
      </c>
      <c r="D8" s="26">
        <v>2566.4587591836735</v>
      </c>
      <c r="E8" s="26">
        <v>2800.3848653061223</v>
      </c>
      <c r="F8" s="27"/>
      <c r="G8" s="28">
        <v>15.502899532415569</v>
      </c>
      <c r="H8" s="29">
        <v>9.1147424553533369</v>
      </c>
    </row>
    <row r="9" spans="1:9" x14ac:dyDescent="0.2">
      <c r="A9" s="30" t="s">
        <v>9</v>
      </c>
      <c r="B9" s="31" t="s">
        <v>3</v>
      </c>
      <c r="C9" s="20">
        <v>8035.3684571428576</v>
      </c>
      <c r="D9" s="20">
        <v>8594.9056</v>
      </c>
      <c r="E9" s="21">
        <v>9559.7781077403324</v>
      </c>
      <c r="F9" s="22" t="s">
        <v>239</v>
      </c>
      <c r="G9" s="32">
        <v>18.971247662481304</v>
      </c>
      <c r="H9" s="33">
        <v>11.22609779146768</v>
      </c>
    </row>
    <row r="10" spans="1:9" x14ac:dyDescent="0.2">
      <c r="A10" s="34"/>
      <c r="B10" s="25" t="s">
        <v>240</v>
      </c>
      <c r="C10" s="26">
        <v>2235.1702857142855</v>
      </c>
      <c r="D10" s="26">
        <v>2373.121942857143</v>
      </c>
      <c r="E10" s="26">
        <v>2646.0581714285713</v>
      </c>
      <c r="F10" s="27"/>
      <c r="G10" s="35">
        <v>18.382844848126624</v>
      </c>
      <c r="H10" s="29">
        <v>11.501146386216647</v>
      </c>
    </row>
    <row r="11" spans="1:9" x14ac:dyDescent="0.2">
      <c r="A11" s="30" t="s">
        <v>46</v>
      </c>
      <c r="B11" s="31" t="s">
        <v>3</v>
      </c>
      <c r="C11" s="20">
        <v>594.32832653061223</v>
      </c>
      <c r="D11" s="20">
        <v>660.25485714285719</v>
      </c>
      <c r="E11" s="21">
        <v>511.97789288238727</v>
      </c>
      <c r="F11" s="22" t="s">
        <v>239</v>
      </c>
      <c r="G11" s="37">
        <v>-13.856050598992155</v>
      </c>
      <c r="H11" s="33">
        <v>-22.457534792263971</v>
      </c>
    </row>
    <row r="12" spans="1:9" ht="13.5" thickBot="1" x14ac:dyDescent="0.25">
      <c r="A12" s="56"/>
      <c r="B12" s="42" t="s">
        <v>240</v>
      </c>
      <c r="C12" s="43">
        <v>190.34448979591838</v>
      </c>
      <c r="D12" s="43">
        <v>193.33681632653062</v>
      </c>
      <c r="E12" s="43">
        <v>154.32669387755101</v>
      </c>
      <c r="F12" s="44"/>
      <c r="G12" s="57">
        <v>-18.922426363371258</v>
      </c>
      <c r="H12" s="46">
        <v>-20.177286039041107</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234</v>
      </c>
      <c r="D34" s="15" t="s">
        <v>235</v>
      </c>
      <c r="E34" s="15" t="s">
        <v>236</v>
      </c>
      <c r="F34" s="16"/>
      <c r="G34" s="17" t="s">
        <v>237</v>
      </c>
      <c r="H34" s="18" t="s">
        <v>238</v>
      </c>
    </row>
    <row r="35" spans="1:9" ht="12.75" customHeight="1" x14ac:dyDescent="0.2">
      <c r="A35" s="205" t="s">
        <v>58</v>
      </c>
      <c r="B35" s="19" t="s">
        <v>3</v>
      </c>
      <c r="C35" s="80">
        <v>1885.3077142325615</v>
      </c>
      <c r="D35" s="80">
        <v>2098.3300920885899</v>
      </c>
      <c r="E35" s="81">
        <v>2388.5936854710203</v>
      </c>
      <c r="F35" s="22" t="s">
        <v>239</v>
      </c>
      <c r="G35" s="23">
        <v>26.695163205404256</v>
      </c>
      <c r="H35" s="24">
        <v>13.833075857646122</v>
      </c>
    </row>
    <row r="36" spans="1:9" ht="12.75" customHeight="1" x14ac:dyDescent="0.2">
      <c r="A36" s="206"/>
      <c r="B36" s="25" t="s">
        <v>240</v>
      </c>
      <c r="C36" s="82">
        <v>455.45258046041744</v>
      </c>
      <c r="D36" s="82">
        <v>480.09060016829699</v>
      </c>
      <c r="E36" s="82">
        <v>556.31455547052383</v>
      </c>
      <c r="F36" s="27"/>
      <c r="G36" s="28">
        <v>22.145439357955766</v>
      </c>
      <c r="H36" s="29">
        <v>15.876993899798578</v>
      </c>
    </row>
    <row r="37" spans="1:9" x14ac:dyDescent="0.2">
      <c r="A37" s="30" t="s">
        <v>9</v>
      </c>
      <c r="B37" s="31" t="s">
        <v>3</v>
      </c>
      <c r="C37" s="80">
        <v>1331.4704569125572</v>
      </c>
      <c r="D37" s="80">
        <v>1465.5973201003867</v>
      </c>
      <c r="E37" s="83">
        <v>1708.9965691290427</v>
      </c>
      <c r="F37" s="22" t="s">
        <v>239</v>
      </c>
      <c r="G37" s="32">
        <v>28.3540735174779</v>
      </c>
      <c r="H37" s="33">
        <v>16.607511878636913</v>
      </c>
    </row>
    <row r="38" spans="1:9" x14ac:dyDescent="0.2">
      <c r="A38" s="34"/>
      <c r="B38" s="25" t="s">
        <v>240</v>
      </c>
      <c r="C38" s="82">
        <v>326.74142440990585</v>
      </c>
      <c r="D38" s="82">
        <v>344.99174265595394</v>
      </c>
      <c r="E38" s="82">
        <v>407.82909852562068</v>
      </c>
      <c r="F38" s="27"/>
      <c r="G38" s="35">
        <v>24.817077988246822</v>
      </c>
      <c r="H38" s="29">
        <v>18.214162282814939</v>
      </c>
    </row>
    <row r="39" spans="1:9" x14ac:dyDescent="0.2">
      <c r="A39" s="30" t="s">
        <v>46</v>
      </c>
      <c r="B39" s="31" t="s">
        <v>3</v>
      </c>
      <c r="C39" s="80">
        <v>553.8372573200046</v>
      </c>
      <c r="D39" s="80">
        <v>632.73277198820335</v>
      </c>
      <c r="E39" s="83">
        <v>676.5941008404742</v>
      </c>
      <c r="F39" s="22" t="s">
        <v>239</v>
      </c>
      <c r="G39" s="37">
        <v>22.164786116861279</v>
      </c>
      <c r="H39" s="33">
        <v>6.9320463225648297</v>
      </c>
    </row>
    <row r="40" spans="1:9" ht="13.5" thickBot="1" x14ac:dyDescent="0.25">
      <c r="A40" s="56"/>
      <c r="B40" s="42" t="s">
        <v>240</v>
      </c>
      <c r="C40" s="86">
        <v>128.71115605051156</v>
      </c>
      <c r="D40" s="86">
        <v>135.09885751234302</v>
      </c>
      <c r="E40" s="86">
        <v>148.48545694490315</v>
      </c>
      <c r="F40" s="44"/>
      <c r="G40" s="57">
        <v>15.363315427476493</v>
      </c>
      <c r="H40" s="46">
        <v>9.9087436260052044</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241</v>
      </c>
      <c r="H61" s="200">
        <v>18</v>
      </c>
    </row>
    <row r="62" spans="1:9" ht="12.75" customHeight="1" x14ac:dyDescent="0.2">
      <c r="A62" s="54" t="s">
        <v>242</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3" t="s">
        <v>1</v>
      </c>
      <c r="H5" s="204"/>
    </row>
    <row r="6" spans="1:9" x14ac:dyDescent="0.2">
      <c r="A6" s="12"/>
      <c r="B6" s="13"/>
      <c r="C6" s="14" t="s">
        <v>234</v>
      </c>
      <c r="D6" s="15" t="s">
        <v>235</v>
      </c>
      <c r="E6" s="15" t="s">
        <v>236</v>
      </c>
      <c r="F6" s="16"/>
      <c r="G6" s="17" t="s">
        <v>237</v>
      </c>
      <c r="H6" s="18" t="s">
        <v>238</v>
      </c>
    </row>
    <row r="7" spans="1:9" x14ac:dyDescent="0.2">
      <c r="A7" s="205" t="s">
        <v>57</v>
      </c>
      <c r="B7" s="19" t="s">
        <v>3</v>
      </c>
      <c r="C7" s="20">
        <v>6040</v>
      </c>
      <c r="D7" s="20">
        <v>9011</v>
      </c>
      <c r="E7" s="79">
        <v>8532.8781884381297</v>
      </c>
      <c r="F7" s="22" t="s">
        <v>239</v>
      </c>
      <c r="G7" s="23">
        <v>41.272817689372999</v>
      </c>
      <c r="H7" s="24">
        <v>-5.3059794868701573</v>
      </c>
    </row>
    <row r="8" spans="1:9" x14ac:dyDescent="0.2">
      <c r="A8" s="206"/>
      <c r="B8" s="25" t="s">
        <v>240</v>
      </c>
      <c r="C8" s="26">
        <v>1507</v>
      </c>
      <c r="D8" s="26">
        <v>1966</v>
      </c>
      <c r="E8" s="26">
        <v>1943</v>
      </c>
      <c r="F8" s="27"/>
      <c r="G8" s="28">
        <v>28.931652289316531</v>
      </c>
      <c r="H8" s="29">
        <v>-1.1698880976602197</v>
      </c>
    </row>
    <row r="9" spans="1:9" x14ac:dyDescent="0.2">
      <c r="A9" s="30" t="s">
        <v>9</v>
      </c>
      <c r="B9" s="31" t="s">
        <v>3</v>
      </c>
      <c r="C9" s="20">
        <v>2183</v>
      </c>
      <c r="D9" s="20">
        <v>3916</v>
      </c>
      <c r="E9" s="21">
        <v>3510.2973027075709</v>
      </c>
      <c r="F9" s="22" t="s">
        <v>239</v>
      </c>
      <c r="G9" s="32">
        <v>60.801525547758644</v>
      </c>
      <c r="H9" s="33">
        <v>-10.36013016579237</v>
      </c>
    </row>
    <row r="10" spans="1:9" x14ac:dyDescent="0.2">
      <c r="A10" s="34"/>
      <c r="B10" s="25" t="s">
        <v>240</v>
      </c>
      <c r="C10" s="26">
        <v>436.02057613168722</v>
      </c>
      <c r="D10" s="26">
        <v>709</v>
      </c>
      <c r="E10" s="26">
        <v>656</v>
      </c>
      <c r="F10" s="27"/>
      <c r="G10" s="35">
        <v>50.451615338876678</v>
      </c>
      <c r="H10" s="29">
        <v>-7.4753173483779989</v>
      </c>
    </row>
    <row r="11" spans="1:9" x14ac:dyDescent="0.2">
      <c r="A11" s="30" t="s">
        <v>46</v>
      </c>
      <c r="B11" s="31" t="s">
        <v>3</v>
      </c>
      <c r="C11" s="20">
        <v>2470</v>
      </c>
      <c r="D11" s="20">
        <v>3081</v>
      </c>
      <c r="E11" s="21">
        <v>3401.682383524018</v>
      </c>
      <c r="F11" s="22" t="s">
        <v>239</v>
      </c>
      <c r="G11" s="37">
        <v>37.719934555628242</v>
      </c>
      <c r="H11" s="33">
        <v>10.408386352613363</v>
      </c>
    </row>
    <row r="12" spans="1:9" x14ac:dyDescent="0.2">
      <c r="A12" s="34"/>
      <c r="B12" s="25" t="s">
        <v>240</v>
      </c>
      <c r="C12" s="26">
        <v>742.97942386831278</v>
      </c>
      <c r="D12" s="26">
        <v>781</v>
      </c>
      <c r="E12" s="26">
        <v>910</v>
      </c>
      <c r="F12" s="27"/>
      <c r="G12" s="28">
        <v>22.479838709677423</v>
      </c>
      <c r="H12" s="29">
        <v>16.517285531370035</v>
      </c>
    </row>
    <row r="13" spans="1:9" x14ac:dyDescent="0.2">
      <c r="A13" s="30" t="s">
        <v>24</v>
      </c>
      <c r="B13" s="31" t="s">
        <v>3</v>
      </c>
      <c r="C13" s="20">
        <v>1393</v>
      </c>
      <c r="D13" s="20">
        <v>2354</v>
      </c>
      <c r="E13" s="21">
        <v>1682.8472344161544</v>
      </c>
      <c r="F13" s="22" t="s">
        <v>239</v>
      </c>
      <c r="G13" s="23">
        <v>20.807410941576052</v>
      </c>
      <c r="H13" s="24">
        <v>-28.511162514182047</v>
      </c>
    </row>
    <row r="14" spans="1:9" ht="13.5" thickBot="1" x14ac:dyDescent="0.25">
      <c r="A14" s="56"/>
      <c r="B14" s="42" t="s">
        <v>240</v>
      </c>
      <c r="C14" s="43">
        <v>402</v>
      </c>
      <c r="D14" s="43">
        <v>476</v>
      </c>
      <c r="E14" s="43">
        <v>378</v>
      </c>
      <c r="F14" s="44"/>
      <c r="G14" s="57">
        <v>-5.9701492537313356</v>
      </c>
      <c r="H14" s="46">
        <v>-20.588235294117652</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234</v>
      </c>
      <c r="D34" s="15" t="s">
        <v>235</v>
      </c>
      <c r="E34" s="15" t="s">
        <v>236</v>
      </c>
      <c r="F34" s="16"/>
      <c r="G34" s="17" t="s">
        <v>237</v>
      </c>
      <c r="H34" s="18" t="s">
        <v>238</v>
      </c>
    </row>
    <row r="35" spans="1:9" ht="12.75" customHeight="1" x14ac:dyDescent="0.2">
      <c r="A35" s="205" t="s">
        <v>57</v>
      </c>
      <c r="B35" s="19" t="s">
        <v>3</v>
      </c>
      <c r="C35" s="80">
        <v>2938.8642235170146</v>
      </c>
      <c r="D35" s="80">
        <v>2795.1937506614245</v>
      </c>
      <c r="E35" s="81">
        <v>2697.1803439621685</v>
      </c>
      <c r="F35" s="22" t="s">
        <v>239</v>
      </c>
      <c r="G35" s="23">
        <v>-8.2237170952258793</v>
      </c>
      <c r="H35" s="24">
        <v>-3.5064977759077749</v>
      </c>
    </row>
    <row r="36" spans="1:9" ht="12.75" customHeight="1" x14ac:dyDescent="0.2">
      <c r="A36" s="206"/>
      <c r="B36" s="25" t="s">
        <v>240</v>
      </c>
      <c r="C36" s="82">
        <v>759.55744125825504</v>
      </c>
      <c r="D36" s="82">
        <v>691.94667116029279</v>
      </c>
      <c r="E36" s="82">
        <v>677.20724836542161</v>
      </c>
      <c r="F36" s="27"/>
      <c r="G36" s="28">
        <v>-10.841865067691941</v>
      </c>
      <c r="H36" s="29">
        <v>-2.1301385510180069</v>
      </c>
    </row>
    <row r="37" spans="1:9" x14ac:dyDescent="0.2">
      <c r="A37" s="30" t="s">
        <v>9</v>
      </c>
      <c r="B37" s="31" t="s">
        <v>3</v>
      </c>
      <c r="C37" s="80">
        <v>453.33153965005278</v>
      </c>
      <c r="D37" s="80">
        <v>444.69160099002892</v>
      </c>
      <c r="E37" s="83">
        <v>450.73492144756904</v>
      </c>
      <c r="F37" s="22" t="s">
        <v>239</v>
      </c>
      <c r="G37" s="32">
        <v>-0.57278569333344365</v>
      </c>
      <c r="H37" s="33">
        <v>1.3589913648213212</v>
      </c>
    </row>
    <row r="38" spans="1:9" x14ac:dyDescent="0.2">
      <c r="A38" s="34"/>
      <c r="B38" s="25" t="s">
        <v>240</v>
      </c>
      <c r="C38" s="82">
        <v>108.26130907445361</v>
      </c>
      <c r="D38" s="82">
        <v>104.96999273189458</v>
      </c>
      <c r="E38" s="82">
        <v>106.80820780473587</v>
      </c>
      <c r="F38" s="27"/>
      <c r="G38" s="35">
        <v>-1.3422166073369795</v>
      </c>
      <c r="H38" s="29">
        <v>1.7511814805363457</v>
      </c>
    </row>
    <row r="39" spans="1:9" x14ac:dyDescent="0.2">
      <c r="A39" s="30" t="s">
        <v>46</v>
      </c>
      <c r="B39" s="31" t="s">
        <v>3</v>
      </c>
      <c r="C39" s="80">
        <v>1757.6769024086773</v>
      </c>
      <c r="D39" s="80">
        <v>1653.7468341342242</v>
      </c>
      <c r="E39" s="83">
        <v>1693.6361939560481</v>
      </c>
      <c r="F39" s="22" t="s">
        <v>239</v>
      </c>
      <c r="G39" s="37">
        <v>-3.6434858058878348</v>
      </c>
      <c r="H39" s="33">
        <v>2.4120596332211335</v>
      </c>
    </row>
    <row r="40" spans="1:9" x14ac:dyDescent="0.2">
      <c r="A40" s="34"/>
      <c r="B40" s="25" t="s">
        <v>240</v>
      </c>
      <c r="C40" s="82">
        <v>464.07949070428793</v>
      </c>
      <c r="D40" s="82">
        <v>433.22185475319759</v>
      </c>
      <c r="E40" s="82">
        <v>444.83178812855112</v>
      </c>
      <c r="F40" s="27"/>
      <c r="G40" s="28">
        <v>-4.1475012279742174</v>
      </c>
      <c r="H40" s="29">
        <v>2.6799048219687762</v>
      </c>
    </row>
    <row r="41" spans="1:9" x14ac:dyDescent="0.2">
      <c r="A41" s="30" t="s">
        <v>24</v>
      </c>
      <c r="B41" s="31" t="s">
        <v>3</v>
      </c>
      <c r="C41" s="80">
        <v>727.85578145828481</v>
      </c>
      <c r="D41" s="80">
        <v>696.75531553717178</v>
      </c>
      <c r="E41" s="83">
        <v>542.07256326353797</v>
      </c>
      <c r="F41" s="22" t="s">
        <v>239</v>
      </c>
      <c r="G41" s="23">
        <v>-25.524729338897828</v>
      </c>
      <c r="H41" s="24">
        <v>-22.200440933038209</v>
      </c>
    </row>
    <row r="42" spans="1:9" ht="13.5" thickBot="1" x14ac:dyDescent="0.25">
      <c r="A42" s="56"/>
      <c r="B42" s="42" t="s">
        <v>240</v>
      </c>
      <c r="C42" s="86">
        <v>187.2167642610049</v>
      </c>
      <c r="D42" s="86">
        <v>153.75482367520056</v>
      </c>
      <c r="E42" s="86">
        <v>125.56725243213467</v>
      </c>
      <c r="F42" s="44"/>
      <c r="G42" s="57">
        <v>-32.92948260921905</v>
      </c>
      <c r="H42" s="46">
        <v>-18.332804506095187</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241</v>
      </c>
      <c r="G61" s="53"/>
      <c r="H61" s="208">
        <v>19</v>
      </c>
    </row>
    <row r="62" spans="1:9" ht="12.75" customHeight="1" x14ac:dyDescent="0.2">
      <c r="A62" s="54" t="s">
        <v>242</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3" t="s">
        <v>1</v>
      </c>
      <c r="H5" s="204"/>
    </row>
    <row r="6" spans="1:9" x14ac:dyDescent="0.2">
      <c r="A6" s="12"/>
      <c r="B6" s="13"/>
      <c r="C6" s="14" t="s">
        <v>234</v>
      </c>
      <c r="D6" s="15" t="s">
        <v>235</v>
      </c>
      <c r="E6" s="15" t="s">
        <v>236</v>
      </c>
      <c r="F6" s="16"/>
      <c r="G6" s="17" t="s">
        <v>237</v>
      </c>
      <c r="H6" s="18" t="s">
        <v>238</v>
      </c>
    </row>
    <row r="7" spans="1:9" ht="12.75" customHeight="1" x14ac:dyDescent="0.2">
      <c r="A7" s="205" t="s">
        <v>60</v>
      </c>
      <c r="B7" s="19" t="s">
        <v>3</v>
      </c>
      <c r="C7" s="20">
        <v>37157.663333333338</v>
      </c>
      <c r="D7" s="20">
        <v>42542.30333333333</v>
      </c>
      <c r="E7" s="79">
        <v>44665.347606195559</v>
      </c>
      <c r="F7" s="22" t="s">
        <v>239</v>
      </c>
      <c r="G7" s="23">
        <v>20.204941859536248</v>
      </c>
      <c r="H7" s="24">
        <v>4.9904309511110938</v>
      </c>
    </row>
    <row r="8" spans="1:9" ht="13.7" customHeight="1" thickBot="1" x14ac:dyDescent="0.25">
      <c r="A8" s="211"/>
      <c r="B8" s="42" t="s">
        <v>240</v>
      </c>
      <c r="C8" s="43">
        <v>10160.966666666667</v>
      </c>
      <c r="D8" s="43">
        <v>10950.025</v>
      </c>
      <c r="E8" s="43">
        <v>11726.093333333334</v>
      </c>
      <c r="F8" s="44"/>
      <c r="G8" s="57">
        <v>15.403324486843445</v>
      </c>
      <c r="H8" s="46">
        <v>7.0873658583732464</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234</v>
      </c>
      <c r="D34" s="15" t="s">
        <v>235</v>
      </c>
      <c r="E34" s="15" t="s">
        <v>236</v>
      </c>
      <c r="F34" s="16"/>
      <c r="G34" s="17" t="s">
        <v>237</v>
      </c>
      <c r="H34" s="18" t="s">
        <v>238</v>
      </c>
    </row>
    <row r="35" spans="1:9" ht="12.75" customHeight="1" x14ac:dyDescent="0.2">
      <c r="A35" s="205" t="s">
        <v>60</v>
      </c>
      <c r="B35" s="19" t="s">
        <v>3</v>
      </c>
      <c r="C35" s="80">
        <v>724.48727871329731</v>
      </c>
      <c r="D35" s="80">
        <v>922.01930659354014</v>
      </c>
      <c r="E35" s="81">
        <v>889.04413280121275</v>
      </c>
      <c r="F35" s="22" t="s">
        <v>239</v>
      </c>
      <c r="G35" s="23">
        <v>22.713560185649001</v>
      </c>
      <c r="H35" s="24">
        <v>-3.5764081680844981</v>
      </c>
    </row>
    <row r="36" spans="1:9" ht="12.75" customHeight="1" thickBot="1" x14ac:dyDescent="0.25">
      <c r="A36" s="211"/>
      <c r="B36" s="42" t="s">
        <v>240</v>
      </c>
      <c r="C36" s="86">
        <v>283.75611025797389</v>
      </c>
      <c r="D36" s="86">
        <v>217.71685268594243</v>
      </c>
      <c r="E36" s="86">
        <v>241.95851461356415</v>
      </c>
      <c r="F36" s="44"/>
      <c r="G36" s="57">
        <v>-14.73011298555295</v>
      </c>
      <c r="H36" s="46">
        <v>11.134490338508812</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241</v>
      </c>
      <c r="H61" s="200">
        <v>20</v>
      </c>
    </row>
    <row r="62" spans="1:9" ht="12.75" customHeight="1" x14ac:dyDescent="0.2">
      <c r="A62" s="54" t="s">
        <v>242</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212</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234</v>
      </c>
      <c r="D6" s="111" t="s">
        <v>235</v>
      </c>
      <c r="E6" s="111" t="s">
        <v>236</v>
      </c>
      <c r="F6" s="112"/>
      <c r="G6" s="113" t="s">
        <v>237</v>
      </c>
      <c r="H6" s="114" t="s">
        <v>238</v>
      </c>
    </row>
    <row r="7" spans="1:8" ht="12.75" customHeight="1" x14ac:dyDescent="0.2">
      <c r="A7" s="216" t="s">
        <v>193</v>
      </c>
      <c r="B7" s="115" t="s">
        <v>3</v>
      </c>
      <c r="C7" s="20">
        <v>7387</v>
      </c>
      <c r="D7" s="20">
        <v>8839</v>
      </c>
      <c r="E7" s="79">
        <v>10705.108269160599</v>
      </c>
      <c r="F7" s="22" t="s">
        <v>239</v>
      </c>
      <c r="G7" s="116">
        <v>44.918211305815618</v>
      </c>
      <c r="H7" s="117">
        <v>21.112210308412699</v>
      </c>
    </row>
    <row r="8" spans="1:8" ht="12.75" customHeight="1" x14ac:dyDescent="0.2">
      <c r="A8" s="217"/>
      <c r="B8" s="118" t="s">
        <v>240</v>
      </c>
      <c r="C8" s="26">
        <v>2347</v>
      </c>
      <c r="D8" s="26">
        <v>2228</v>
      </c>
      <c r="E8" s="26">
        <v>2898</v>
      </c>
      <c r="F8" s="27"/>
      <c r="G8" s="119">
        <v>23.476778866638256</v>
      </c>
      <c r="H8" s="120">
        <v>30.071813285457807</v>
      </c>
    </row>
    <row r="9" spans="1:8" x14ac:dyDescent="0.2">
      <c r="A9" s="121" t="s">
        <v>194</v>
      </c>
      <c r="B9" s="122" t="s">
        <v>3</v>
      </c>
      <c r="C9" s="20">
        <v>2670</v>
      </c>
      <c r="D9" s="20">
        <v>3319</v>
      </c>
      <c r="E9" s="20">
        <v>3854.62030175463</v>
      </c>
      <c r="F9" s="22" t="s">
        <v>239</v>
      </c>
      <c r="G9" s="123">
        <v>44.367801563843813</v>
      </c>
      <c r="H9" s="124">
        <v>16.138002463230777</v>
      </c>
    </row>
    <row r="10" spans="1:8" x14ac:dyDescent="0.2">
      <c r="A10" s="125"/>
      <c r="B10" s="118" t="s">
        <v>240</v>
      </c>
      <c r="C10" s="26">
        <v>737</v>
      </c>
      <c r="D10" s="26">
        <v>858</v>
      </c>
      <c r="E10" s="26">
        <v>1018</v>
      </c>
      <c r="F10" s="27"/>
      <c r="G10" s="126">
        <v>38.127544097693345</v>
      </c>
      <c r="H10" s="120">
        <v>18.648018648018635</v>
      </c>
    </row>
    <row r="11" spans="1:8" x14ac:dyDescent="0.2">
      <c r="A11" s="121" t="s">
        <v>195</v>
      </c>
      <c r="B11" s="122" t="s">
        <v>3</v>
      </c>
      <c r="C11" s="20">
        <v>828</v>
      </c>
      <c r="D11" s="20">
        <v>1246</v>
      </c>
      <c r="E11" s="20">
        <v>2040.9640596603372</v>
      </c>
      <c r="F11" s="22" t="s">
        <v>239</v>
      </c>
      <c r="G11" s="127">
        <v>146.4932439203306</v>
      </c>
      <c r="H11" s="124">
        <v>63.801288897298321</v>
      </c>
    </row>
    <row r="12" spans="1:8" x14ac:dyDescent="0.2">
      <c r="A12" s="125"/>
      <c r="B12" s="118" t="s">
        <v>240</v>
      </c>
      <c r="C12" s="26">
        <v>197</v>
      </c>
      <c r="D12" s="26">
        <v>216</v>
      </c>
      <c r="E12" s="26">
        <v>389</v>
      </c>
      <c r="F12" s="27"/>
      <c r="G12" s="119">
        <v>97.46192893401016</v>
      </c>
      <c r="H12" s="120">
        <v>80.092592592592581</v>
      </c>
    </row>
    <row r="13" spans="1:8" x14ac:dyDescent="0.2">
      <c r="A13" s="121" t="s">
        <v>228</v>
      </c>
      <c r="B13" s="122" t="s">
        <v>3</v>
      </c>
      <c r="C13" s="20">
        <v>179</v>
      </c>
      <c r="D13" s="20">
        <v>782</v>
      </c>
      <c r="E13" s="20">
        <v>687.72652031041287</v>
      </c>
      <c r="F13" s="22" t="s">
        <v>239</v>
      </c>
      <c r="G13" s="116">
        <v>284.20475994995132</v>
      </c>
      <c r="H13" s="117">
        <v>-12.055432185369199</v>
      </c>
    </row>
    <row r="14" spans="1:8" x14ac:dyDescent="0.2">
      <c r="A14" s="125"/>
      <c r="B14" s="118" t="s">
        <v>240</v>
      </c>
      <c r="C14" s="26">
        <v>273</v>
      </c>
      <c r="D14" s="26">
        <v>149</v>
      </c>
      <c r="E14" s="26">
        <v>185</v>
      </c>
      <c r="F14" s="27"/>
      <c r="G14" s="128">
        <v>-32.234432234432234</v>
      </c>
      <c r="H14" s="117">
        <v>24.161073825503365</v>
      </c>
    </row>
    <row r="15" spans="1:8" x14ac:dyDescent="0.2">
      <c r="A15" s="121" t="s">
        <v>196</v>
      </c>
      <c r="B15" s="122" t="s">
        <v>3</v>
      </c>
      <c r="C15" s="20">
        <v>2915</v>
      </c>
      <c r="D15" s="20">
        <v>3716</v>
      </c>
      <c r="E15" s="20">
        <v>5479.273917210563</v>
      </c>
      <c r="F15" s="22" t="s">
        <v>239</v>
      </c>
      <c r="G15" s="127">
        <v>87.968230436039903</v>
      </c>
      <c r="H15" s="124">
        <v>47.450858913093725</v>
      </c>
    </row>
    <row r="16" spans="1:8" x14ac:dyDescent="0.2">
      <c r="A16" s="125"/>
      <c r="B16" s="118" t="s">
        <v>240</v>
      </c>
      <c r="C16" s="26">
        <v>843</v>
      </c>
      <c r="D16" s="26">
        <v>729</v>
      </c>
      <c r="E16" s="26">
        <v>1204</v>
      </c>
      <c r="F16" s="27"/>
      <c r="G16" s="119">
        <v>42.823250296559905</v>
      </c>
      <c r="H16" s="120">
        <v>65.157750342935543</v>
      </c>
    </row>
    <row r="17" spans="1:9" x14ac:dyDescent="0.2">
      <c r="A17" s="121" t="s">
        <v>197</v>
      </c>
      <c r="B17" s="122" t="s">
        <v>3</v>
      </c>
      <c r="C17" s="20">
        <v>659</v>
      </c>
      <c r="D17" s="20">
        <v>711</v>
      </c>
      <c r="E17" s="20">
        <v>1078.2080114811531</v>
      </c>
      <c r="F17" s="22" t="s">
        <v>239</v>
      </c>
      <c r="G17" s="127">
        <v>63.612748327944331</v>
      </c>
      <c r="H17" s="124">
        <v>51.646696410851348</v>
      </c>
    </row>
    <row r="18" spans="1:9" x14ac:dyDescent="0.2">
      <c r="A18" s="121"/>
      <c r="B18" s="118" t="s">
        <v>240</v>
      </c>
      <c r="C18" s="26">
        <v>149</v>
      </c>
      <c r="D18" s="26">
        <v>159</v>
      </c>
      <c r="E18" s="26">
        <v>242</v>
      </c>
      <c r="F18" s="27"/>
      <c r="G18" s="119">
        <v>62.416107382550337</v>
      </c>
      <c r="H18" s="120">
        <v>52.201257861635241</v>
      </c>
    </row>
    <row r="19" spans="1:9" x14ac:dyDescent="0.2">
      <c r="A19" s="129" t="s">
        <v>198</v>
      </c>
      <c r="B19" s="122" t="s">
        <v>3</v>
      </c>
      <c r="C19" s="20">
        <v>43</v>
      </c>
      <c r="D19" s="20">
        <v>65</v>
      </c>
      <c r="E19" s="20">
        <v>55.319865319865315</v>
      </c>
      <c r="F19" s="22" t="s">
        <v>239</v>
      </c>
      <c r="G19" s="116">
        <v>28.650849581082127</v>
      </c>
      <c r="H19" s="117">
        <v>-14.892514892514896</v>
      </c>
    </row>
    <row r="20" spans="1:9" x14ac:dyDescent="0.2">
      <c r="A20" s="125"/>
      <c r="B20" s="118" t="s">
        <v>240</v>
      </c>
      <c r="C20" s="26">
        <v>9</v>
      </c>
      <c r="D20" s="26">
        <v>11</v>
      </c>
      <c r="E20" s="26">
        <v>10</v>
      </c>
      <c r="F20" s="27"/>
      <c r="G20" s="128">
        <v>11.111111111111114</v>
      </c>
      <c r="H20" s="117">
        <v>-9.0909090909090935</v>
      </c>
    </row>
    <row r="21" spans="1:9" x14ac:dyDescent="0.2">
      <c r="A21" s="129" t="s">
        <v>199</v>
      </c>
      <c r="B21" s="122" t="s">
        <v>3</v>
      </c>
      <c r="C21" s="20">
        <v>18</v>
      </c>
      <c r="D21" s="20">
        <v>17</v>
      </c>
      <c r="E21" s="20">
        <v>78.833333333333329</v>
      </c>
      <c r="F21" s="22" t="s">
        <v>239</v>
      </c>
      <c r="G21" s="127">
        <v>337.96296296296299</v>
      </c>
      <c r="H21" s="124">
        <v>363.7254901960784</v>
      </c>
    </row>
    <row r="22" spans="1:9" x14ac:dyDescent="0.2">
      <c r="A22" s="125"/>
      <c r="B22" s="118" t="s">
        <v>240</v>
      </c>
      <c r="C22" s="26">
        <v>4</v>
      </c>
      <c r="D22" s="26">
        <v>2</v>
      </c>
      <c r="E22" s="26">
        <v>11</v>
      </c>
      <c r="F22" s="27"/>
      <c r="G22" s="119">
        <v>175</v>
      </c>
      <c r="H22" s="120">
        <v>450</v>
      </c>
    </row>
    <row r="23" spans="1:9" x14ac:dyDescent="0.2">
      <c r="A23" s="129" t="s">
        <v>200</v>
      </c>
      <c r="B23" s="122" t="s">
        <v>3</v>
      </c>
      <c r="C23" s="20">
        <v>613</v>
      </c>
      <c r="D23" s="20">
        <v>490</v>
      </c>
      <c r="E23" s="20">
        <v>549.25295275590554</v>
      </c>
      <c r="F23" s="22" t="s">
        <v>239</v>
      </c>
      <c r="G23" s="127">
        <v>-10.399192046344936</v>
      </c>
      <c r="H23" s="124">
        <v>12.092439337939908</v>
      </c>
    </row>
    <row r="24" spans="1:9" x14ac:dyDescent="0.2">
      <c r="A24" s="125"/>
      <c r="B24" s="118" t="s">
        <v>240</v>
      </c>
      <c r="C24" s="26">
        <v>127</v>
      </c>
      <c r="D24" s="26">
        <v>128</v>
      </c>
      <c r="E24" s="26">
        <v>132</v>
      </c>
      <c r="F24" s="27"/>
      <c r="G24" s="119">
        <v>3.9370078740157339</v>
      </c>
      <c r="H24" s="120">
        <v>3.125</v>
      </c>
    </row>
    <row r="25" spans="1:9" x14ac:dyDescent="0.2">
      <c r="A25" s="121" t="s">
        <v>24</v>
      </c>
      <c r="B25" s="122" t="s">
        <v>3</v>
      </c>
      <c r="C25" s="20">
        <v>2524</v>
      </c>
      <c r="D25" s="20">
        <v>3090</v>
      </c>
      <c r="E25" s="20">
        <v>3865.5517766705125</v>
      </c>
      <c r="F25" s="22" t="s">
        <v>239</v>
      </c>
      <c r="G25" s="116">
        <v>53.151813655725533</v>
      </c>
      <c r="H25" s="117">
        <v>25.098762999045718</v>
      </c>
      <c r="I25" s="130"/>
    </row>
    <row r="26" spans="1:9" ht="13.5" thickBot="1" x14ac:dyDescent="0.25">
      <c r="A26" s="131"/>
      <c r="B26" s="132" t="s">
        <v>240</v>
      </c>
      <c r="C26" s="43">
        <v>655</v>
      </c>
      <c r="D26" s="43">
        <v>622</v>
      </c>
      <c r="E26" s="43">
        <v>841</v>
      </c>
      <c r="F26" s="44"/>
      <c r="G26" s="133">
        <v>28.396946564885496</v>
      </c>
      <c r="H26" s="134">
        <v>35.20900321543408</v>
      </c>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213</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234</v>
      </c>
      <c r="D34" s="111" t="s">
        <v>235</v>
      </c>
      <c r="E34" s="111" t="s">
        <v>236</v>
      </c>
      <c r="F34" s="112"/>
      <c r="G34" s="113" t="s">
        <v>237</v>
      </c>
      <c r="H34" s="114" t="s">
        <v>238</v>
      </c>
    </row>
    <row r="35" spans="1:8" ht="12.75" customHeight="1" x14ac:dyDescent="0.2">
      <c r="A35" s="216" t="s">
        <v>193</v>
      </c>
      <c r="B35" s="115" t="s">
        <v>3</v>
      </c>
      <c r="C35" s="80">
        <v>2152.7393297259468</v>
      </c>
      <c r="D35" s="80">
        <v>2012.0476280814735</v>
      </c>
      <c r="E35" s="81">
        <v>2357.4959807755686</v>
      </c>
      <c r="F35" s="22" t="s">
        <v>239</v>
      </c>
      <c r="G35" s="116">
        <v>9.5114465658825651</v>
      </c>
      <c r="H35" s="117">
        <v>17.168994802746624</v>
      </c>
    </row>
    <row r="36" spans="1:8" ht="12.75" customHeight="1" x14ac:dyDescent="0.2">
      <c r="A36" s="217"/>
      <c r="B36" s="118" t="s">
        <v>240</v>
      </c>
      <c r="C36" s="82">
        <v>498.87576821145711</v>
      </c>
      <c r="D36" s="82">
        <v>500.42458568548579</v>
      </c>
      <c r="E36" s="82">
        <v>572.36783985100783</v>
      </c>
      <c r="F36" s="27"/>
      <c r="G36" s="119">
        <v>14.731537653759091</v>
      </c>
      <c r="H36" s="120">
        <v>14.37644276948815</v>
      </c>
    </row>
    <row r="37" spans="1:8" x14ac:dyDescent="0.2">
      <c r="A37" s="121" t="s">
        <v>194</v>
      </c>
      <c r="B37" s="122" t="s">
        <v>3</v>
      </c>
      <c r="C37" s="80">
        <v>975.05598335973013</v>
      </c>
      <c r="D37" s="80">
        <v>867.22268743042514</v>
      </c>
      <c r="E37" s="80">
        <v>971.5266023719081</v>
      </c>
      <c r="F37" s="22" t="s">
        <v>239</v>
      </c>
      <c r="G37" s="123">
        <v>-0.36196700990038266</v>
      </c>
      <c r="H37" s="124">
        <v>12.027350812342647</v>
      </c>
    </row>
    <row r="38" spans="1:8" x14ac:dyDescent="0.2">
      <c r="A38" s="125"/>
      <c r="B38" s="118" t="s">
        <v>240</v>
      </c>
      <c r="C38" s="82">
        <v>258.66843708757608</v>
      </c>
      <c r="D38" s="82">
        <v>224.59490998147203</v>
      </c>
      <c r="E38" s="82">
        <v>253.6166005521942</v>
      </c>
      <c r="F38" s="27"/>
      <c r="G38" s="126">
        <v>-1.9530162211756448</v>
      </c>
      <c r="H38" s="120">
        <v>12.921793540697934</v>
      </c>
    </row>
    <row r="39" spans="1:8" x14ac:dyDescent="0.2">
      <c r="A39" s="121" t="s">
        <v>195</v>
      </c>
      <c r="B39" s="122" t="s">
        <v>3</v>
      </c>
      <c r="C39" s="80">
        <v>177.36069236121625</v>
      </c>
      <c r="D39" s="80">
        <v>221.85795067380315</v>
      </c>
      <c r="E39" s="80">
        <v>326.97145055670893</v>
      </c>
      <c r="F39" s="22" t="s">
        <v>239</v>
      </c>
      <c r="G39" s="127">
        <v>84.353954759486669</v>
      </c>
      <c r="H39" s="124">
        <v>47.378739217443581</v>
      </c>
    </row>
    <row r="40" spans="1:8" x14ac:dyDescent="0.2">
      <c r="A40" s="125"/>
      <c r="B40" s="118" t="s">
        <v>240</v>
      </c>
      <c r="C40" s="82">
        <v>32.902316705947001</v>
      </c>
      <c r="D40" s="82">
        <v>30.857425312684001</v>
      </c>
      <c r="E40" s="82">
        <v>49.616121174024279</v>
      </c>
      <c r="F40" s="27"/>
      <c r="G40" s="119">
        <v>50.798260248514055</v>
      </c>
      <c r="H40" s="120">
        <v>60.791513456663807</v>
      </c>
    </row>
    <row r="41" spans="1:8" x14ac:dyDescent="0.2">
      <c r="A41" s="121" t="s">
        <v>228</v>
      </c>
      <c r="B41" s="122" t="s">
        <v>3</v>
      </c>
      <c r="C41" s="80">
        <v>292.86950133351365</v>
      </c>
      <c r="D41" s="80">
        <v>311.10287318937685</v>
      </c>
      <c r="E41" s="80">
        <v>361.4346719439647</v>
      </c>
      <c r="F41" s="22" t="s">
        <v>239</v>
      </c>
      <c r="G41" s="116">
        <v>23.411509323523077</v>
      </c>
      <c r="H41" s="117">
        <v>16.178506562345206</v>
      </c>
    </row>
    <row r="42" spans="1:8" x14ac:dyDescent="0.2">
      <c r="A42" s="125"/>
      <c r="B42" s="118" t="s">
        <v>240</v>
      </c>
      <c r="C42" s="82">
        <v>67.67955106669487</v>
      </c>
      <c r="D42" s="82">
        <v>81.744379597458277</v>
      </c>
      <c r="E42" s="82">
        <v>90.821102384041623</v>
      </c>
      <c r="F42" s="27"/>
      <c r="G42" s="128">
        <v>34.192826271175903</v>
      </c>
      <c r="H42" s="117">
        <v>11.103788213062145</v>
      </c>
    </row>
    <row r="43" spans="1:8" x14ac:dyDescent="0.2">
      <c r="A43" s="121" t="s">
        <v>196</v>
      </c>
      <c r="B43" s="122" t="s">
        <v>3</v>
      </c>
      <c r="C43" s="80">
        <v>86.419016282297363</v>
      </c>
      <c r="D43" s="80">
        <v>76.636327025573678</v>
      </c>
      <c r="E43" s="80">
        <v>93.191416008171728</v>
      </c>
      <c r="F43" s="22" t="s">
        <v>239</v>
      </c>
      <c r="G43" s="127">
        <v>7.836700783253022</v>
      </c>
      <c r="H43" s="124">
        <v>21.60214303730082</v>
      </c>
    </row>
    <row r="44" spans="1:8" x14ac:dyDescent="0.2">
      <c r="A44" s="125"/>
      <c r="B44" s="118" t="s">
        <v>240</v>
      </c>
      <c r="C44" s="82">
        <v>23.395730954247856</v>
      </c>
      <c r="D44" s="82">
        <v>20.498315944774287</v>
      </c>
      <c r="E44" s="82">
        <v>25.02651164001734</v>
      </c>
      <c r="F44" s="27"/>
      <c r="G44" s="119">
        <v>6.9704198982224739</v>
      </c>
      <c r="H44" s="120">
        <v>22.090574208353161</v>
      </c>
    </row>
    <row r="45" spans="1:8" x14ac:dyDescent="0.2">
      <c r="A45" s="121" t="s">
        <v>197</v>
      </c>
      <c r="B45" s="122" t="s">
        <v>3</v>
      </c>
      <c r="C45" s="80">
        <v>28.259421194459474</v>
      </c>
      <c r="D45" s="80">
        <v>27.45152200911474</v>
      </c>
      <c r="E45" s="80">
        <v>89.619457529445626</v>
      </c>
      <c r="F45" s="22" t="s">
        <v>239</v>
      </c>
      <c r="G45" s="127">
        <v>217.13125655601317</v>
      </c>
      <c r="H45" s="124">
        <v>226.46443974832886</v>
      </c>
    </row>
    <row r="46" spans="1:8" x14ac:dyDescent="0.2">
      <c r="A46" s="121"/>
      <c r="B46" s="118" t="s">
        <v>240</v>
      </c>
      <c r="C46" s="82">
        <v>6.1452001708495718</v>
      </c>
      <c r="D46" s="82">
        <v>5.5538026589548579</v>
      </c>
      <c r="E46" s="82">
        <v>18.56207554200347</v>
      </c>
      <c r="F46" s="27"/>
      <c r="G46" s="119">
        <v>202.05811081719844</v>
      </c>
      <c r="H46" s="120">
        <v>234.22281420234282</v>
      </c>
    </row>
    <row r="47" spans="1:8" x14ac:dyDescent="0.2">
      <c r="A47" s="129" t="s">
        <v>198</v>
      </c>
      <c r="B47" s="122" t="s">
        <v>3</v>
      </c>
      <c r="C47" s="80">
        <v>17.870146194459473</v>
      </c>
      <c r="D47" s="80">
        <v>17.408942229114736</v>
      </c>
      <c r="E47" s="80">
        <v>16.567628257631256</v>
      </c>
      <c r="F47" s="22" t="s">
        <v>239</v>
      </c>
      <c r="G47" s="116">
        <v>-7.2887928428478972</v>
      </c>
      <c r="H47" s="117">
        <v>-4.8326541636542686</v>
      </c>
    </row>
    <row r="48" spans="1:8" x14ac:dyDescent="0.2">
      <c r="A48" s="125"/>
      <c r="B48" s="118" t="s">
        <v>240</v>
      </c>
      <c r="C48" s="82">
        <v>4.5243905908495714</v>
      </c>
      <c r="D48" s="82">
        <v>4.3813785889548571</v>
      </c>
      <c r="E48" s="82">
        <v>4.1779337420034679</v>
      </c>
      <c r="F48" s="27"/>
      <c r="G48" s="128">
        <v>-7.6575362336488126</v>
      </c>
      <c r="H48" s="117">
        <v>-4.6433980269191721</v>
      </c>
    </row>
    <row r="49" spans="1:9" x14ac:dyDescent="0.2">
      <c r="A49" s="129" t="s">
        <v>199</v>
      </c>
      <c r="B49" s="122" t="s">
        <v>3</v>
      </c>
      <c r="C49" s="80">
        <v>15.000097194459471</v>
      </c>
      <c r="D49" s="80">
        <v>12.076804229114735</v>
      </c>
      <c r="E49" s="80">
        <v>15.367759535061962</v>
      </c>
      <c r="F49" s="22" t="s">
        <v>239</v>
      </c>
      <c r="G49" s="127">
        <v>2.4510663886784272</v>
      </c>
      <c r="H49" s="124">
        <v>27.250216559885928</v>
      </c>
    </row>
    <row r="50" spans="1:9" x14ac:dyDescent="0.2">
      <c r="A50" s="125"/>
      <c r="B50" s="118" t="s">
        <v>240</v>
      </c>
      <c r="C50" s="82">
        <v>3.856395590849572</v>
      </c>
      <c r="D50" s="82">
        <v>3.0581575889548573</v>
      </c>
      <c r="E50" s="82">
        <v>3.911114742003468</v>
      </c>
      <c r="F50" s="27"/>
      <c r="G50" s="119">
        <v>1.4189195549267026</v>
      </c>
      <c r="H50" s="120">
        <v>27.89120992748164</v>
      </c>
    </row>
    <row r="51" spans="1:9" x14ac:dyDescent="0.2">
      <c r="A51" s="129" t="s">
        <v>200</v>
      </c>
      <c r="B51" s="122" t="s">
        <v>3</v>
      </c>
      <c r="C51" s="80">
        <v>212.43769997229737</v>
      </c>
      <c r="D51" s="80">
        <v>187.89631114557372</v>
      </c>
      <c r="E51" s="80">
        <v>208.89982782428572</v>
      </c>
      <c r="F51" s="22" t="s">
        <v>239</v>
      </c>
      <c r="G51" s="127">
        <v>-1.6653692581274413</v>
      </c>
      <c r="H51" s="124">
        <v>11.178248551372263</v>
      </c>
    </row>
    <row r="52" spans="1:9" x14ac:dyDescent="0.2">
      <c r="A52" s="125"/>
      <c r="B52" s="118" t="s">
        <v>240</v>
      </c>
      <c r="C52" s="82">
        <v>40.801209954247867</v>
      </c>
      <c r="D52" s="82">
        <v>47.726961944774295</v>
      </c>
      <c r="E52" s="82">
        <v>47.911143710017335</v>
      </c>
      <c r="F52" s="27"/>
      <c r="G52" s="119">
        <v>17.425791450160773</v>
      </c>
      <c r="H52" s="120">
        <v>0.3859071638713516</v>
      </c>
    </row>
    <row r="53" spans="1:9" x14ac:dyDescent="0.2">
      <c r="A53" s="121" t="s">
        <v>24</v>
      </c>
      <c r="B53" s="122" t="s">
        <v>3</v>
      </c>
      <c r="C53" s="80">
        <v>347.46677183351369</v>
      </c>
      <c r="D53" s="80">
        <v>290.39421014937682</v>
      </c>
      <c r="E53" s="80">
        <v>335.56051286966419</v>
      </c>
      <c r="F53" s="22" t="s">
        <v>239</v>
      </c>
      <c r="G53" s="116">
        <v>-3.4265892249271843</v>
      </c>
      <c r="H53" s="117">
        <v>15.553444642389437</v>
      </c>
      <c r="I53" s="130"/>
    </row>
    <row r="54" spans="1:9" ht="13.5" thickBot="1" x14ac:dyDescent="0.25">
      <c r="A54" s="131"/>
      <c r="B54" s="132" t="s">
        <v>240</v>
      </c>
      <c r="C54" s="86">
        <v>60.902536090194864</v>
      </c>
      <c r="D54" s="86">
        <v>82.009254067458286</v>
      </c>
      <c r="E54" s="86">
        <v>78.725236364702766</v>
      </c>
      <c r="F54" s="44"/>
      <c r="G54" s="133">
        <v>29.264299023792717</v>
      </c>
      <c r="H54" s="134">
        <v>-4.0044477176370776</v>
      </c>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241</v>
      </c>
      <c r="G61" s="145"/>
      <c r="H61" s="212">
        <v>21</v>
      </c>
    </row>
    <row r="62" spans="1:9" ht="12.75" customHeight="1" x14ac:dyDescent="0.2">
      <c r="A62" s="144" t="s">
        <v>242</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214</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234</v>
      </c>
      <c r="D6" s="111" t="s">
        <v>235</v>
      </c>
      <c r="E6" s="111" t="s">
        <v>236</v>
      </c>
      <c r="F6" s="112"/>
      <c r="G6" s="113" t="s">
        <v>237</v>
      </c>
      <c r="H6" s="114" t="s">
        <v>238</v>
      </c>
    </row>
    <row r="7" spans="1:8" ht="12.75" customHeight="1" x14ac:dyDescent="0.2">
      <c r="A7" s="216" t="s">
        <v>201</v>
      </c>
      <c r="B7" s="115" t="s">
        <v>3</v>
      </c>
      <c r="C7" s="20">
        <v>2198</v>
      </c>
      <c r="D7" s="20">
        <v>2455</v>
      </c>
      <c r="E7" s="79">
        <v>2698.0816025388353</v>
      </c>
      <c r="F7" s="22" t="s">
        <v>239</v>
      </c>
      <c r="G7" s="116">
        <v>22.751665265643098</v>
      </c>
      <c r="H7" s="117">
        <v>9.9014909384454342</v>
      </c>
    </row>
    <row r="8" spans="1:8" ht="12.75" customHeight="1" x14ac:dyDescent="0.2">
      <c r="A8" s="217"/>
      <c r="B8" s="118" t="s">
        <v>240</v>
      </c>
      <c r="C8" s="26">
        <v>559</v>
      </c>
      <c r="D8" s="26">
        <v>649</v>
      </c>
      <c r="E8" s="26">
        <v>704</v>
      </c>
      <c r="F8" s="27"/>
      <c r="G8" s="119">
        <v>25.9391771019678</v>
      </c>
      <c r="H8" s="120">
        <v>8.4745762711864359</v>
      </c>
    </row>
    <row r="9" spans="1:8" x14ac:dyDescent="0.2">
      <c r="A9" s="121" t="s">
        <v>202</v>
      </c>
      <c r="B9" s="122" t="s">
        <v>3</v>
      </c>
      <c r="C9" s="20">
        <v>608</v>
      </c>
      <c r="D9" s="20">
        <v>680</v>
      </c>
      <c r="E9" s="20">
        <v>695.98471142820733</v>
      </c>
      <c r="F9" s="22" t="s">
        <v>239</v>
      </c>
      <c r="G9" s="123">
        <v>14.471169642797264</v>
      </c>
      <c r="H9" s="124">
        <v>2.3506928570893137</v>
      </c>
    </row>
    <row r="10" spans="1:8" x14ac:dyDescent="0.2">
      <c r="A10" s="125"/>
      <c r="B10" s="118" t="s">
        <v>240</v>
      </c>
      <c r="C10" s="26">
        <v>167</v>
      </c>
      <c r="D10" s="26">
        <v>188</v>
      </c>
      <c r="E10" s="26">
        <v>192</v>
      </c>
      <c r="F10" s="27"/>
      <c r="G10" s="126">
        <v>14.970059880239518</v>
      </c>
      <c r="H10" s="120">
        <v>2.1276595744680833</v>
      </c>
    </row>
    <row r="11" spans="1:8" x14ac:dyDescent="0.2">
      <c r="A11" s="121" t="s">
        <v>203</v>
      </c>
      <c r="B11" s="122" t="s">
        <v>3</v>
      </c>
      <c r="C11" s="20">
        <v>162</v>
      </c>
      <c r="D11" s="20">
        <v>186</v>
      </c>
      <c r="E11" s="20">
        <v>185.1605758582503</v>
      </c>
      <c r="F11" s="22" t="s">
        <v>239</v>
      </c>
      <c r="G11" s="127">
        <v>14.296651764352049</v>
      </c>
      <c r="H11" s="124">
        <v>-0.45130330201597246</v>
      </c>
    </row>
    <row r="12" spans="1:8" x14ac:dyDescent="0.2">
      <c r="A12" s="125"/>
      <c r="B12" s="118" t="s">
        <v>240</v>
      </c>
      <c r="C12" s="26">
        <v>43</v>
      </c>
      <c r="D12" s="26">
        <v>42</v>
      </c>
      <c r="E12" s="26">
        <v>44</v>
      </c>
      <c r="F12" s="27"/>
      <c r="G12" s="119">
        <v>2.3255813953488484</v>
      </c>
      <c r="H12" s="120">
        <v>4.7619047619047734</v>
      </c>
    </row>
    <row r="13" spans="1:8" x14ac:dyDescent="0.2">
      <c r="A13" s="121" t="s">
        <v>204</v>
      </c>
      <c r="B13" s="122" t="s">
        <v>3</v>
      </c>
      <c r="C13" s="20">
        <v>82</v>
      </c>
      <c r="D13" s="20">
        <v>88</v>
      </c>
      <c r="E13" s="20">
        <v>99.970760233918128</v>
      </c>
      <c r="F13" s="22" t="s">
        <v>239</v>
      </c>
      <c r="G13" s="116">
        <v>21.915561260875776</v>
      </c>
      <c r="H13" s="117">
        <v>13.603136629452422</v>
      </c>
    </row>
    <row r="14" spans="1:8" x14ac:dyDescent="0.2">
      <c r="A14" s="125"/>
      <c r="B14" s="118" t="s">
        <v>240</v>
      </c>
      <c r="C14" s="26">
        <v>30</v>
      </c>
      <c r="D14" s="26">
        <v>19</v>
      </c>
      <c r="E14" s="26">
        <v>25</v>
      </c>
      <c r="F14" s="27"/>
      <c r="G14" s="128">
        <v>-16.666666666666657</v>
      </c>
      <c r="H14" s="117">
        <v>31.578947368421069</v>
      </c>
    </row>
    <row r="15" spans="1:8" x14ac:dyDescent="0.2">
      <c r="A15" s="121" t="s">
        <v>205</v>
      </c>
      <c r="B15" s="122" t="s">
        <v>3</v>
      </c>
      <c r="C15" s="20">
        <v>15</v>
      </c>
      <c r="D15" s="20">
        <v>16</v>
      </c>
      <c r="E15" s="20">
        <v>21.666666666666664</v>
      </c>
      <c r="F15" s="22" t="s">
        <v>239</v>
      </c>
      <c r="G15" s="127">
        <v>44.444444444444429</v>
      </c>
      <c r="H15" s="124">
        <v>35.416666666666657</v>
      </c>
    </row>
    <row r="16" spans="1:8" x14ac:dyDescent="0.2">
      <c r="A16" s="125"/>
      <c r="B16" s="118" t="s">
        <v>240</v>
      </c>
      <c r="C16" s="26">
        <v>3</v>
      </c>
      <c r="D16" s="26">
        <v>4</v>
      </c>
      <c r="E16" s="26">
        <v>5</v>
      </c>
      <c r="F16" s="27"/>
      <c r="G16" s="119">
        <v>66.666666666666686</v>
      </c>
      <c r="H16" s="120">
        <v>25</v>
      </c>
    </row>
    <row r="17" spans="1:9" x14ac:dyDescent="0.2">
      <c r="A17" s="121" t="s">
        <v>206</v>
      </c>
      <c r="B17" s="122" t="s">
        <v>3</v>
      </c>
      <c r="C17" s="20">
        <v>94</v>
      </c>
      <c r="D17" s="20">
        <v>96</v>
      </c>
      <c r="E17" s="20">
        <v>66.326007326007328</v>
      </c>
      <c r="F17" s="22" t="s">
        <v>239</v>
      </c>
      <c r="G17" s="127">
        <v>-29.44041773829008</v>
      </c>
      <c r="H17" s="124">
        <v>-30.910409035409032</v>
      </c>
    </row>
    <row r="18" spans="1:9" x14ac:dyDescent="0.2">
      <c r="A18" s="125"/>
      <c r="B18" s="118" t="s">
        <v>240</v>
      </c>
      <c r="C18" s="26">
        <v>26</v>
      </c>
      <c r="D18" s="26">
        <v>28</v>
      </c>
      <c r="E18" s="26">
        <v>19</v>
      </c>
      <c r="F18" s="27"/>
      <c r="G18" s="119">
        <v>-26.923076923076934</v>
      </c>
      <c r="H18" s="120">
        <v>-32.142857142857139</v>
      </c>
    </row>
    <row r="19" spans="1:9" x14ac:dyDescent="0.2">
      <c r="A19" s="121" t="s">
        <v>207</v>
      </c>
      <c r="B19" s="122" t="s">
        <v>3</v>
      </c>
      <c r="C19" s="20">
        <v>1241</v>
      </c>
      <c r="D19" s="20">
        <v>1392</v>
      </c>
      <c r="E19" s="20">
        <v>1652.0997180590591</v>
      </c>
      <c r="F19" s="22" t="s">
        <v>239</v>
      </c>
      <c r="G19" s="116">
        <v>33.126488159472956</v>
      </c>
      <c r="H19" s="117">
        <v>18.685324573208263</v>
      </c>
    </row>
    <row r="20" spans="1:9" ht="13.5" thickBot="1" x14ac:dyDescent="0.25">
      <c r="A20" s="131"/>
      <c r="B20" s="132" t="s">
        <v>240</v>
      </c>
      <c r="C20" s="43">
        <v>293</v>
      </c>
      <c r="D20" s="43">
        <v>368</v>
      </c>
      <c r="E20" s="43">
        <v>420</v>
      </c>
      <c r="F20" s="44"/>
      <c r="G20" s="133">
        <v>43.344709897610926</v>
      </c>
      <c r="H20" s="134">
        <v>14.130434782608688</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215</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234</v>
      </c>
      <c r="D34" s="111" t="s">
        <v>235</v>
      </c>
      <c r="E34" s="111" t="s">
        <v>236</v>
      </c>
      <c r="F34" s="112"/>
      <c r="G34" s="113" t="s">
        <v>237</v>
      </c>
      <c r="H34" s="114" t="s">
        <v>238</v>
      </c>
    </row>
    <row r="35" spans="1:8" ht="12.75" customHeight="1" x14ac:dyDescent="0.2">
      <c r="A35" s="216" t="s">
        <v>201</v>
      </c>
      <c r="B35" s="115" t="s">
        <v>3</v>
      </c>
      <c r="C35" s="80">
        <v>653.27095088339615</v>
      </c>
      <c r="D35" s="80">
        <v>853.09178278892455</v>
      </c>
      <c r="E35" s="81">
        <v>1110.7924393778314</v>
      </c>
      <c r="F35" s="22" t="s">
        <v>239</v>
      </c>
      <c r="G35" s="116">
        <v>70.035486481642039</v>
      </c>
      <c r="H35" s="117">
        <v>30.207846539845093</v>
      </c>
    </row>
    <row r="36" spans="1:8" ht="12.75" customHeight="1" x14ac:dyDescent="0.2">
      <c r="A36" s="217"/>
      <c r="B36" s="118" t="s">
        <v>240</v>
      </c>
      <c r="C36" s="82">
        <v>192.37533394794895</v>
      </c>
      <c r="D36" s="82">
        <v>232.99106533965852</v>
      </c>
      <c r="E36" s="82">
        <v>310.89171900532108</v>
      </c>
      <c r="F36" s="27"/>
      <c r="G36" s="119">
        <v>61.606850849932329</v>
      </c>
      <c r="H36" s="120">
        <v>33.435039044135721</v>
      </c>
    </row>
    <row r="37" spans="1:8" x14ac:dyDescent="0.2">
      <c r="A37" s="121" t="s">
        <v>202</v>
      </c>
      <c r="B37" s="122" t="s">
        <v>3</v>
      </c>
      <c r="C37" s="80">
        <v>310.56113145390185</v>
      </c>
      <c r="D37" s="80">
        <v>430.04599200339771</v>
      </c>
      <c r="E37" s="80">
        <v>553.64684902915974</v>
      </c>
      <c r="F37" s="22" t="s">
        <v>239</v>
      </c>
      <c r="G37" s="123">
        <v>78.273065414607515</v>
      </c>
      <c r="H37" s="124">
        <v>28.741311237423531</v>
      </c>
    </row>
    <row r="38" spans="1:8" x14ac:dyDescent="0.2">
      <c r="A38" s="125"/>
      <c r="B38" s="118" t="s">
        <v>240</v>
      </c>
      <c r="C38" s="82">
        <v>100.36124357781446</v>
      </c>
      <c r="D38" s="82">
        <v>110.38624472780879</v>
      </c>
      <c r="E38" s="82">
        <v>152.57454712297977</v>
      </c>
      <c r="F38" s="27"/>
      <c r="G38" s="126">
        <v>52.025365254349452</v>
      </c>
      <c r="H38" s="120">
        <v>38.218803891009429</v>
      </c>
    </row>
    <row r="39" spans="1:8" x14ac:dyDescent="0.2">
      <c r="A39" s="121" t="s">
        <v>203</v>
      </c>
      <c r="B39" s="122" t="s">
        <v>3</v>
      </c>
      <c r="C39" s="80">
        <v>70.107496227077348</v>
      </c>
      <c r="D39" s="80">
        <v>108.78672946531717</v>
      </c>
      <c r="E39" s="80">
        <v>146.01272201360683</v>
      </c>
      <c r="F39" s="22" t="s">
        <v>239</v>
      </c>
      <c r="G39" s="127">
        <v>108.26977123911738</v>
      </c>
      <c r="H39" s="124">
        <v>34.219240463661407</v>
      </c>
    </row>
    <row r="40" spans="1:8" x14ac:dyDescent="0.2">
      <c r="A40" s="125"/>
      <c r="B40" s="118" t="s">
        <v>240</v>
      </c>
      <c r="C40" s="82">
        <v>25.040295778720001</v>
      </c>
      <c r="D40" s="82">
        <v>22.592955220941949</v>
      </c>
      <c r="E40" s="82">
        <v>35.240589090904578</v>
      </c>
      <c r="F40" s="27"/>
      <c r="G40" s="119">
        <v>40.735514477640862</v>
      </c>
      <c r="H40" s="120">
        <v>55.980431715454557</v>
      </c>
    </row>
    <row r="41" spans="1:8" x14ac:dyDescent="0.2">
      <c r="A41" s="121" t="s">
        <v>204</v>
      </c>
      <c r="B41" s="122" t="s">
        <v>3</v>
      </c>
      <c r="C41" s="80">
        <v>33.731899111737732</v>
      </c>
      <c r="D41" s="80">
        <v>49.515810250424714</v>
      </c>
      <c r="E41" s="80">
        <v>82.061521937188076</v>
      </c>
      <c r="F41" s="22" t="s">
        <v>239</v>
      </c>
      <c r="G41" s="116">
        <v>143.27572445701114</v>
      </c>
      <c r="H41" s="117">
        <v>65.727919066989728</v>
      </c>
    </row>
    <row r="42" spans="1:8" x14ac:dyDescent="0.2">
      <c r="A42" s="125"/>
      <c r="B42" s="118" t="s">
        <v>240</v>
      </c>
      <c r="C42" s="82">
        <v>15.365766706956425</v>
      </c>
      <c r="D42" s="82">
        <v>11.445109090976098</v>
      </c>
      <c r="E42" s="82">
        <v>22.693986390372473</v>
      </c>
      <c r="F42" s="27"/>
      <c r="G42" s="128">
        <v>47.691858292358432</v>
      </c>
      <c r="H42" s="117">
        <v>98.285452851345525</v>
      </c>
    </row>
    <row r="43" spans="1:8" x14ac:dyDescent="0.2">
      <c r="A43" s="121" t="s">
        <v>205</v>
      </c>
      <c r="B43" s="122" t="s">
        <v>3</v>
      </c>
      <c r="C43" s="80">
        <v>4.9612889545339609</v>
      </c>
      <c r="D43" s="80">
        <v>5.7728773214892435</v>
      </c>
      <c r="E43" s="80">
        <v>7.0517283137842526</v>
      </c>
      <c r="F43" s="22" t="s">
        <v>239</v>
      </c>
      <c r="G43" s="127">
        <v>42.135005205449829</v>
      </c>
      <c r="H43" s="124">
        <v>22.152748466255304</v>
      </c>
    </row>
    <row r="44" spans="1:8" x14ac:dyDescent="0.2">
      <c r="A44" s="125"/>
      <c r="B44" s="118" t="s">
        <v>240</v>
      </c>
      <c r="C44" s="82">
        <v>2.2715498152794895</v>
      </c>
      <c r="D44" s="82">
        <v>1.5430070129965854</v>
      </c>
      <c r="E44" s="82">
        <v>2.1884527700532104</v>
      </c>
      <c r="F44" s="27"/>
      <c r="G44" s="119">
        <v>-3.6581652168634093</v>
      </c>
      <c r="H44" s="120">
        <v>41.830383894571014</v>
      </c>
    </row>
    <row r="45" spans="1:8" x14ac:dyDescent="0.2">
      <c r="A45" s="121" t="s">
        <v>206</v>
      </c>
      <c r="B45" s="122" t="s">
        <v>3</v>
      </c>
      <c r="C45" s="80">
        <v>43.872952772669805</v>
      </c>
      <c r="D45" s="80">
        <v>51.342669607446211</v>
      </c>
      <c r="E45" s="80">
        <v>46.284061179922062</v>
      </c>
      <c r="F45" s="22" t="s">
        <v>239</v>
      </c>
      <c r="G45" s="127">
        <v>5.4956602072022633</v>
      </c>
      <c r="H45" s="124">
        <v>-9.8526400481335799</v>
      </c>
    </row>
    <row r="46" spans="1:8" x14ac:dyDescent="0.2">
      <c r="A46" s="125"/>
      <c r="B46" s="118" t="s">
        <v>240</v>
      </c>
      <c r="C46" s="82">
        <v>16.469749076397449</v>
      </c>
      <c r="D46" s="82">
        <v>12.741754064982926</v>
      </c>
      <c r="E46" s="82">
        <v>12.949228850266053</v>
      </c>
      <c r="F46" s="27"/>
      <c r="G46" s="119">
        <v>-21.375676155118853</v>
      </c>
      <c r="H46" s="120">
        <v>1.6283063087311689</v>
      </c>
    </row>
    <row r="47" spans="1:8" x14ac:dyDescent="0.2">
      <c r="A47" s="121" t="s">
        <v>207</v>
      </c>
      <c r="B47" s="122" t="s">
        <v>3</v>
      </c>
      <c r="C47" s="80">
        <v>190.03618236347546</v>
      </c>
      <c r="D47" s="80">
        <v>207.62770414084943</v>
      </c>
      <c r="E47" s="80">
        <v>323.14299905620675</v>
      </c>
      <c r="F47" s="22" t="s">
        <v>239</v>
      </c>
      <c r="G47" s="116">
        <v>70.042880801584715</v>
      </c>
      <c r="H47" s="117">
        <v>55.635781069463945</v>
      </c>
    </row>
    <row r="48" spans="1:8" ht="13.5" thickBot="1" x14ac:dyDescent="0.25">
      <c r="A48" s="131"/>
      <c r="B48" s="132" t="s">
        <v>240</v>
      </c>
      <c r="C48" s="86">
        <v>32.866728992781127</v>
      </c>
      <c r="D48" s="86">
        <v>74.281995221952187</v>
      </c>
      <c r="E48" s="86">
        <v>85.244914780744949</v>
      </c>
      <c r="F48" s="44"/>
      <c r="G48" s="133">
        <v>159.3653746299737</v>
      </c>
      <c r="H48" s="134">
        <v>14.758515204170152</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241</v>
      </c>
      <c r="G61" s="145"/>
      <c r="H61" s="212">
        <v>22</v>
      </c>
    </row>
    <row r="62" spans="1:9" ht="12.75" customHeight="1" x14ac:dyDescent="0.2">
      <c r="A62" s="144" t="s">
        <v>242</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216</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234</v>
      </c>
      <c r="D6" s="111" t="s">
        <v>235</v>
      </c>
      <c r="E6" s="111" t="s">
        <v>236</v>
      </c>
      <c r="F6" s="112"/>
      <c r="G6" s="113" t="s">
        <v>237</v>
      </c>
      <c r="H6" s="114" t="s">
        <v>238</v>
      </c>
    </row>
    <row r="7" spans="1:8" ht="12.75" customHeight="1" x14ac:dyDescent="0.2">
      <c r="A7" s="216" t="s">
        <v>208</v>
      </c>
      <c r="B7" s="115" t="s">
        <v>3</v>
      </c>
      <c r="C7" s="20">
        <v>517184.1942857143</v>
      </c>
      <c r="D7" s="20">
        <v>615071.00685714278</v>
      </c>
      <c r="E7" s="79">
        <v>640452.54472597456</v>
      </c>
      <c r="F7" s="22" t="s">
        <v>239</v>
      </c>
      <c r="G7" s="116">
        <v>23.834516174746369</v>
      </c>
      <c r="H7" s="117">
        <v>4.1266028776945518</v>
      </c>
    </row>
    <row r="8" spans="1:8" ht="12.75" customHeight="1" x14ac:dyDescent="0.2">
      <c r="A8" s="217"/>
      <c r="B8" s="118" t="s">
        <v>240</v>
      </c>
      <c r="C8" s="26">
        <v>103006.20114285714</v>
      </c>
      <c r="D8" s="26">
        <v>142860</v>
      </c>
      <c r="E8" s="26">
        <v>140947.5017142857</v>
      </c>
      <c r="F8" s="27"/>
      <c r="G8" s="119">
        <v>36.833996546293918</v>
      </c>
      <c r="H8" s="120">
        <v>-1.3387220255595054</v>
      </c>
    </row>
    <row r="9" spans="1:8" x14ac:dyDescent="0.2">
      <c r="A9" s="121" t="s">
        <v>227</v>
      </c>
      <c r="B9" s="122" t="s">
        <v>3</v>
      </c>
      <c r="C9" s="20">
        <v>17725.239999999998</v>
      </c>
      <c r="D9" s="20">
        <v>20242.031999999999</v>
      </c>
      <c r="E9" s="20">
        <v>21982.355730394844</v>
      </c>
      <c r="F9" s="22" t="s">
        <v>239</v>
      </c>
      <c r="G9" s="123">
        <v>24.017252970311517</v>
      </c>
      <c r="H9" s="124">
        <v>8.5975742474611536</v>
      </c>
    </row>
    <row r="10" spans="1:8" x14ac:dyDescent="0.2">
      <c r="A10" s="125"/>
      <c r="B10" s="118" t="s">
        <v>240</v>
      </c>
      <c r="C10" s="26">
        <v>3704.0219999999999</v>
      </c>
      <c r="D10" s="26">
        <v>4818</v>
      </c>
      <c r="E10" s="26">
        <v>5000.5079999999998</v>
      </c>
      <c r="F10" s="27"/>
      <c r="G10" s="126">
        <v>35.002113918329854</v>
      </c>
      <c r="H10" s="120">
        <v>3.7880448318804412</v>
      </c>
    </row>
    <row r="11" spans="1:8" x14ac:dyDescent="0.2">
      <c r="A11" s="121" t="s">
        <v>230</v>
      </c>
      <c r="B11" s="122" t="s">
        <v>3</v>
      </c>
      <c r="C11" s="20">
        <v>305203.95199999999</v>
      </c>
      <c r="D11" s="20">
        <v>379734.7536</v>
      </c>
      <c r="E11" s="20">
        <v>388520.76786434697</v>
      </c>
      <c r="F11" s="22" t="s">
        <v>239</v>
      </c>
      <c r="G11" s="127">
        <v>27.298734278626569</v>
      </c>
      <c r="H11" s="124">
        <v>2.3137240352780282</v>
      </c>
    </row>
    <row r="12" spans="1:8" x14ac:dyDescent="0.2">
      <c r="A12" s="125"/>
      <c r="B12" s="118" t="s">
        <v>240</v>
      </c>
      <c r="C12" s="26">
        <v>57004.105600000003</v>
      </c>
      <c r="D12" s="26">
        <v>87831</v>
      </c>
      <c r="E12" s="26">
        <v>83248.438399999999</v>
      </c>
      <c r="F12" s="27"/>
      <c r="G12" s="119">
        <v>46.039372995618038</v>
      </c>
      <c r="H12" s="120">
        <v>-5.2174762896926978</v>
      </c>
    </row>
    <row r="13" spans="1:8" x14ac:dyDescent="0.2">
      <c r="A13" s="121" t="s">
        <v>209</v>
      </c>
      <c r="B13" s="122" t="s">
        <v>3</v>
      </c>
      <c r="C13" s="20">
        <v>138143.95199999999</v>
      </c>
      <c r="D13" s="20">
        <v>155281.7536</v>
      </c>
      <c r="E13" s="20">
        <v>163275.96816929823</v>
      </c>
      <c r="F13" s="22" t="s">
        <v>239</v>
      </c>
      <c r="G13" s="116">
        <v>18.192628635163288</v>
      </c>
      <c r="H13" s="117">
        <v>5.1481995688244382</v>
      </c>
    </row>
    <row r="14" spans="1:8" x14ac:dyDescent="0.2">
      <c r="A14" s="125"/>
      <c r="B14" s="118" t="s">
        <v>240</v>
      </c>
      <c r="C14" s="26">
        <v>31968.105599999999</v>
      </c>
      <c r="D14" s="26">
        <v>39334</v>
      </c>
      <c r="E14" s="26">
        <v>40094.438399999999</v>
      </c>
      <c r="F14" s="27"/>
      <c r="G14" s="128">
        <v>25.420126239823233</v>
      </c>
      <c r="H14" s="117">
        <v>1.93328519855595</v>
      </c>
    </row>
    <row r="15" spans="1:8" x14ac:dyDescent="0.2">
      <c r="A15" s="121" t="s">
        <v>210</v>
      </c>
      <c r="B15" s="122" t="s">
        <v>3</v>
      </c>
      <c r="C15" s="20">
        <v>37676.991999999998</v>
      </c>
      <c r="D15" s="20">
        <v>48218.625599999999</v>
      </c>
      <c r="E15" s="20">
        <v>56460.010708914517</v>
      </c>
      <c r="F15" s="22" t="s">
        <v>239</v>
      </c>
      <c r="G15" s="127">
        <v>49.85275551964051</v>
      </c>
      <c r="H15" s="124">
        <v>17.09170472273793</v>
      </c>
    </row>
    <row r="16" spans="1:8" x14ac:dyDescent="0.2">
      <c r="A16" s="125"/>
      <c r="B16" s="118" t="s">
        <v>240</v>
      </c>
      <c r="C16" s="26">
        <v>6720.0176000000001</v>
      </c>
      <c r="D16" s="26">
        <v>10084</v>
      </c>
      <c r="E16" s="26">
        <v>11165.4064</v>
      </c>
      <c r="F16" s="27"/>
      <c r="G16" s="119">
        <v>66.151445793832437</v>
      </c>
      <c r="H16" s="120">
        <v>10.723982546608497</v>
      </c>
    </row>
    <row r="17" spans="1:9" x14ac:dyDescent="0.2">
      <c r="A17" s="121" t="s">
        <v>211</v>
      </c>
      <c r="B17" s="122" t="s">
        <v>3</v>
      </c>
      <c r="C17" s="20">
        <v>39915.983999999997</v>
      </c>
      <c r="D17" s="20">
        <v>39247.251199999999</v>
      </c>
      <c r="E17" s="20">
        <v>40748.233162635523</v>
      </c>
      <c r="F17" s="22" t="s">
        <v>239</v>
      </c>
      <c r="G17" s="116">
        <v>2.0850022453048496</v>
      </c>
      <c r="H17" s="117">
        <v>3.824425703055411</v>
      </c>
    </row>
    <row r="18" spans="1:9" ht="13.5" thickBot="1" x14ac:dyDescent="0.25">
      <c r="A18" s="131"/>
      <c r="B18" s="132" t="s">
        <v>240</v>
      </c>
      <c r="C18" s="43">
        <v>7658.0352000000003</v>
      </c>
      <c r="D18" s="43">
        <v>6679</v>
      </c>
      <c r="E18" s="43">
        <v>7205.8127999999997</v>
      </c>
      <c r="F18" s="44"/>
      <c r="G18" s="133">
        <v>-5.905201375935178</v>
      </c>
      <c r="H18" s="134">
        <v>7.887599940110789</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217</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234</v>
      </c>
      <c r="D34" s="111" t="s">
        <v>235</v>
      </c>
      <c r="E34" s="111" t="s">
        <v>236</v>
      </c>
      <c r="F34" s="112"/>
      <c r="G34" s="113" t="s">
        <v>237</v>
      </c>
      <c r="H34" s="114" t="s">
        <v>238</v>
      </c>
    </row>
    <row r="35" spans="1:8" ht="12.75" customHeight="1" x14ac:dyDescent="0.2">
      <c r="A35" s="216" t="s">
        <v>208</v>
      </c>
      <c r="B35" s="115" t="s">
        <v>3</v>
      </c>
      <c r="C35" s="80">
        <v>2006.3808332586748</v>
      </c>
      <c r="D35" s="80">
        <v>2389.6387678911087</v>
      </c>
      <c r="E35" s="81">
        <v>2491.2311125602528</v>
      </c>
      <c r="F35" s="22" t="s">
        <v>239</v>
      </c>
      <c r="G35" s="116">
        <v>24.165416219317933</v>
      </c>
      <c r="H35" s="117">
        <v>4.2513682835335374</v>
      </c>
    </row>
    <row r="36" spans="1:8" ht="12.75" customHeight="1" x14ac:dyDescent="0.2">
      <c r="A36" s="217"/>
      <c r="B36" s="118" t="s">
        <v>240</v>
      </c>
      <c r="C36" s="82">
        <v>491.99434026468958</v>
      </c>
      <c r="D36" s="82">
        <v>699.19381509829657</v>
      </c>
      <c r="E36" s="82">
        <v>684.81376284750399</v>
      </c>
      <c r="F36" s="27"/>
      <c r="G36" s="119">
        <v>39.191390388572131</v>
      </c>
      <c r="H36" s="120">
        <v>-2.0566618211247913</v>
      </c>
    </row>
    <row r="37" spans="1:8" x14ac:dyDescent="0.2">
      <c r="A37" s="121" t="s">
        <v>227</v>
      </c>
      <c r="B37" s="122" t="s">
        <v>3</v>
      </c>
      <c r="C37" s="80">
        <v>607.17797486114455</v>
      </c>
      <c r="D37" s="80">
        <v>715.30891609298351</v>
      </c>
      <c r="E37" s="80">
        <v>713.40475931344906</v>
      </c>
      <c r="F37" s="22" t="s">
        <v>239</v>
      </c>
      <c r="G37" s="123">
        <v>17.495164325846545</v>
      </c>
      <c r="H37" s="124">
        <v>-0.2662006213951571</v>
      </c>
    </row>
    <row r="38" spans="1:8" x14ac:dyDescent="0.2">
      <c r="A38" s="125"/>
      <c r="B38" s="118" t="s">
        <v>240</v>
      </c>
      <c r="C38" s="82">
        <v>141.93849326179435</v>
      </c>
      <c r="D38" s="82">
        <v>203.42188372042074</v>
      </c>
      <c r="E38" s="82">
        <v>189.22338519354972</v>
      </c>
      <c r="F38" s="27"/>
      <c r="G38" s="126">
        <v>33.313649345665596</v>
      </c>
      <c r="H38" s="120">
        <v>-6.9798284566006572</v>
      </c>
    </row>
    <row r="39" spans="1:8" x14ac:dyDescent="0.2">
      <c r="A39" s="121" t="s">
        <v>230</v>
      </c>
      <c r="B39" s="122" t="s">
        <v>3</v>
      </c>
      <c r="C39" s="80">
        <v>391.73746629468036</v>
      </c>
      <c r="D39" s="80">
        <v>511.21831718276917</v>
      </c>
      <c r="E39" s="80">
        <v>513.02555611953687</v>
      </c>
      <c r="F39" s="22" t="s">
        <v>239</v>
      </c>
      <c r="G39" s="127">
        <v>30.961575100814798</v>
      </c>
      <c r="H39" s="124">
        <v>0.35351607640490101</v>
      </c>
    </row>
    <row r="40" spans="1:8" x14ac:dyDescent="0.2">
      <c r="A40" s="125"/>
      <c r="B40" s="118" t="s">
        <v>240</v>
      </c>
      <c r="C40" s="82">
        <v>104.73669129367198</v>
      </c>
      <c r="D40" s="82">
        <v>169.43885940207375</v>
      </c>
      <c r="E40" s="82">
        <v>157.45894046437687</v>
      </c>
      <c r="F40" s="27"/>
      <c r="G40" s="119">
        <v>50.337898323402811</v>
      </c>
      <c r="H40" s="120">
        <v>-7.0703491394904034</v>
      </c>
    </row>
    <row r="41" spans="1:8" x14ac:dyDescent="0.2">
      <c r="A41" s="121" t="s">
        <v>209</v>
      </c>
      <c r="B41" s="122" t="s">
        <v>3</v>
      </c>
      <c r="C41" s="80">
        <v>631.72522876898438</v>
      </c>
      <c r="D41" s="80">
        <v>716.65543288624542</v>
      </c>
      <c r="E41" s="80">
        <v>767.27098378038909</v>
      </c>
      <c r="F41" s="22" t="s">
        <v>239</v>
      </c>
      <c r="G41" s="116">
        <v>21.456441636110824</v>
      </c>
      <c r="H41" s="117">
        <v>7.0627457173240771</v>
      </c>
    </row>
    <row r="42" spans="1:8" x14ac:dyDescent="0.2">
      <c r="A42" s="125"/>
      <c r="B42" s="118" t="s">
        <v>240</v>
      </c>
      <c r="C42" s="82">
        <v>163.9663244457542</v>
      </c>
      <c r="D42" s="82">
        <v>221.96203974097213</v>
      </c>
      <c r="E42" s="82">
        <v>223.25516850382709</v>
      </c>
      <c r="F42" s="27"/>
      <c r="G42" s="128">
        <v>36.15915905810752</v>
      </c>
      <c r="H42" s="117">
        <v>0.58259005204854475</v>
      </c>
    </row>
    <row r="43" spans="1:8" x14ac:dyDescent="0.2">
      <c r="A43" s="121" t="s">
        <v>210</v>
      </c>
      <c r="B43" s="122" t="s">
        <v>3</v>
      </c>
      <c r="C43" s="80">
        <v>162.10541194477278</v>
      </c>
      <c r="D43" s="80">
        <v>191.87517029782003</v>
      </c>
      <c r="E43" s="80">
        <v>248.83843731692477</v>
      </c>
      <c r="F43" s="22" t="s">
        <v>239</v>
      </c>
      <c r="G43" s="127">
        <v>53.504089920021187</v>
      </c>
      <c r="H43" s="124">
        <v>29.687669817146713</v>
      </c>
    </row>
    <row r="44" spans="1:8" x14ac:dyDescent="0.2">
      <c r="A44" s="125"/>
      <c r="B44" s="118" t="s">
        <v>240</v>
      </c>
      <c r="C44" s="82">
        <v>37.789016650693931</v>
      </c>
      <c r="D44" s="82">
        <v>53.181612322966075</v>
      </c>
      <c r="E44" s="82">
        <v>64.882804033150265</v>
      </c>
      <c r="F44" s="27"/>
      <c r="G44" s="119">
        <v>71.697518971980969</v>
      </c>
      <c r="H44" s="120">
        <v>22.002325990276759</v>
      </c>
    </row>
    <row r="45" spans="1:8" x14ac:dyDescent="0.2">
      <c r="A45" s="121" t="s">
        <v>211</v>
      </c>
      <c r="B45" s="122" t="s">
        <v>3</v>
      </c>
      <c r="C45" s="80">
        <v>213.63475138909291</v>
      </c>
      <c r="D45" s="80">
        <v>254.58093143129051</v>
      </c>
      <c r="E45" s="80">
        <v>247.47719263072977</v>
      </c>
      <c r="F45" s="22" t="s">
        <v>239</v>
      </c>
      <c r="G45" s="116">
        <v>15.841262257936521</v>
      </c>
      <c r="H45" s="117">
        <v>-2.7903656258237817</v>
      </c>
    </row>
    <row r="46" spans="1:8" ht="13.5" thickBot="1" x14ac:dyDescent="0.25">
      <c r="A46" s="131"/>
      <c r="B46" s="132" t="s">
        <v>240</v>
      </c>
      <c r="C46" s="86">
        <v>43.56381461277514</v>
      </c>
      <c r="D46" s="86">
        <v>51.18941991186383</v>
      </c>
      <c r="E46" s="86">
        <v>49.993464652599947</v>
      </c>
      <c r="F46" s="44"/>
      <c r="G46" s="133">
        <v>14.759152973576619</v>
      </c>
      <c r="H46" s="134">
        <v>-2.3363329010624483</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241</v>
      </c>
      <c r="G61" s="145"/>
      <c r="H61" s="212">
        <v>23</v>
      </c>
    </row>
    <row r="62" spans="1:9" ht="12.75" customHeight="1" x14ac:dyDescent="0.2">
      <c r="A62" s="144" t="s">
        <v>242</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2024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200">
        <v>1</v>
      </c>
      <c r="I61" s="77"/>
    </row>
    <row r="62" spans="1:14" ht="12.75" customHeight="1" x14ac:dyDescent="0.2">
      <c r="B62" s="54" t="str">
        <f>+B124</f>
        <v>Skadestatistikk for landbasert forsikring 1. kvartal 2024</v>
      </c>
      <c r="H62" s="201"/>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Skadeforsikringsstatistikk"</f>
        <v>Finans Norge / Skadeforsikringsstatistikk</v>
      </c>
      <c r="H123" s="200">
        <v>2</v>
      </c>
      <c r="I123"/>
      <c r="J123" s="69"/>
      <c r="K123" s="69"/>
      <c r="L123" s="69"/>
    </row>
    <row r="124" spans="2:13" ht="12.75" customHeight="1" x14ac:dyDescent="0.2">
      <c r="B124" s="54" t="str">
        <f>"Skadestatistikk for landbasert forsikring 1. kvartal 2024"</f>
        <v>Skadestatistikk for landbasert forsikring 1. kvartal 2024</v>
      </c>
      <c r="H124" s="201"/>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203" t="s">
        <v>1</v>
      </c>
      <c r="H5" s="204"/>
    </row>
    <row r="6" spans="1:8" x14ac:dyDescent="0.2">
      <c r="A6" s="12"/>
      <c r="B6" s="13"/>
      <c r="C6" s="14" t="s">
        <v>234</v>
      </c>
      <c r="D6" s="15" t="s">
        <v>235</v>
      </c>
      <c r="E6" s="15" t="s">
        <v>236</v>
      </c>
      <c r="F6" s="16"/>
      <c r="G6" s="17" t="s">
        <v>237</v>
      </c>
      <c r="H6" s="18" t="s">
        <v>238</v>
      </c>
    </row>
    <row r="7" spans="1:8" x14ac:dyDescent="0.2">
      <c r="A7" s="205" t="s">
        <v>61</v>
      </c>
      <c r="B7" s="19" t="s">
        <v>3</v>
      </c>
      <c r="C7" s="20">
        <v>354485</v>
      </c>
      <c r="D7" s="20">
        <v>384965.43589743588</v>
      </c>
      <c r="E7" s="79">
        <v>445267.0843201367</v>
      </c>
      <c r="F7" s="22" t="s">
        <v>239</v>
      </c>
      <c r="G7" s="23">
        <v>25.609570029800039</v>
      </c>
      <c r="H7" s="24">
        <v>15.664172104730639</v>
      </c>
    </row>
    <row r="8" spans="1:8" x14ac:dyDescent="0.2">
      <c r="A8" s="206"/>
      <c r="B8" s="25" t="s">
        <v>240</v>
      </c>
      <c r="C8" s="26">
        <v>66033.365384615376</v>
      </c>
      <c r="D8" s="26">
        <v>85249</v>
      </c>
      <c r="E8" s="26">
        <v>92765.108974358969</v>
      </c>
      <c r="F8" s="27"/>
      <c r="G8" s="28">
        <v>40.482176599727893</v>
      </c>
      <c r="H8" s="29">
        <v>8.8166535377059745</v>
      </c>
    </row>
    <row r="9" spans="1:8" x14ac:dyDescent="0.2">
      <c r="A9" s="30" t="s">
        <v>62</v>
      </c>
      <c r="B9" s="31" t="s">
        <v>3</v>
      </c>
      <c r="C9" s="20">
        <v>136349.47408515849</v>
      </c>
      <c r="D9" s="20">
        <v>131013.74166666667</v>
      </c>
      <c r="E9" s="21">
        <v>129162.31643743144</v>
      </c>
      <c r="F9" s="22" t="s">
        <v>239</v>
      </c>
      <c r="G9" s="32">
        <v>-5.2711297171841238</v>
      </c>
      <c r="H9" s="33">
        <v>-1.4131534644249371</v>
      </c>
    </row>
    <row r="10" spans="1:8" x14ac:dyDescent="0.2">
      <c r="A10" s="34"/>
      <c r="B10" s="25" t="s">
        <v>240</v>
      </c>
      <c r="C10" s="26">
        <v>23063.327280434783</v>
      </c>
      <c r="D10" s="26">
        <v>28880</v>
      </c>
      <c r="E10" s="26">
        <v>25858.435416666667</v>
      </c>
      <c r="F10" s="27"/>
      <c r="G10" s="35">
        <v>12.119275342387596</v>
      </c>
      <c r="H10" s="29">
        <v>-10.462481244228997</v>
      </c>
    </row>
    <row r="11" spans="1:8" x14ac:dyDescent="0.2">
      <c r="A11" s="30" t="s">
        <v>47</v>
      </c>
      <c r="B11" s="31" t="s">
        <v>3</v>
      </c>
      <c r="C11" s="20">
        <v>16391.626309345666</v>
      </c>
      <c r="D11" s="20">
        <v>15309.62361111111</v>
      </c>
      <c r="E11" s="21">
        <v>17628.517166188791</v>
      </c>
      <c r="F11" s="22" t="s">
        <v>239</v>
      </c>
      <c r="G11" s="37">
        <v>7.5458702724202169</v>
      </c>
      <c r="H11" s="33">
        <v>15.146639878166042</v>
      </c>
    </row>
    <row r="12" spans="1:8" x14ac:dyDescent="0.2">
      <c r="A12" s="34"/>
      <c r="B12" s="25" t="s">
        <v>240</v>
      </c>
      <c r="C12" s="26">
        <v>3106.5360307971014</v>
      </c>
      <c r="D12" s="26">
        <v>4613</v>
      </c>
      <c r="E12" s="26">
        <v>4438.9059027777776</v>
      </c>
      <c r="F12" s="27"/>
      <c r="G12" s="28">
        <v>42.889245731323626</v>
      </c>
      <c r="H12" s="29">
        <v>-3.7739886672929117</v>
      </c>
    </row>
    <row r="13" spans="1:8" x14ac:dyDescent="0.2">
      <c r="A13" s="30" t="s">
        <v>48</v>
      </c>
      <c r="B13" s="31" t="s">
        <v>3</v>
      </c>
      <c r="C13" s="20">
        <v>83374.360223098891</v>
      </c>
      <c r="D13" s="20">
        <v>106839.91666666667</v>
      </c>
      <c r="E13" s="21">
        <v>153247.40848882086</v>
      </c>
      <c r="F13" s="22" t="s">
        <v>239</v>
      </c>
      <c r="G13" s="23">
        <v>83.80639812857433</v>
      </c>
      <c r="H13" s="24">
        <v>43.436473248984669</v>
      </c>
    </row>
    <row r="14" spans="1:8" x14ac:dyDescent="0.2">
      <c r="A14" s="34"/>
      <c r="B14" s="25" t="s">
        <v>240</v>
      </c>
      <c r="C14" s="26">
        <v>14527.117630434783</v>
      </c>
      <c r="D14" s="26">
        <v>23848</v>
      </c>
      <c r="E14" s="26">
        <v>31276.479166666668</v>
      </c>
      <c r="F14" s="27"/>
      <c r="G14" s="38">
        <v>115.29721147945708</v>
      </c>
      <c r="H14" s="24">
        <v>31.149275271161798</v>
      </c>
    </row>
    <row r="15" spans="1:8" x14ac:dyDescent="0.2">
      <c r="A15" s="30" t="s">
        <v>49</v>
      </c>
      <c r="B15" s="31" t="s">
        <v>3</v>
      </c>
      <c r="C15" s="20">
        <v>110930.49911576656</v>
      </c>
      <c r="D15" s="20">
        <v>112952.245</v>
      </c>
      <c r="E15" s="21">
        <v>118101.28837264645</v>
      </c>
      <c r="F15" s="22" t="s">
        <v>239</v>
      </c>
      <c r="G15" s="37">
        <v>6.4642179689433164</v>
      </c>
      <c r="H15" s="33">
        <v>4.5586020646570091</v>
      </c>
    </row>
    <row r="16" spans="1:8" x14ac:dyDescent="0.2">
      <c r="A16" s="34"/>
      <c r="B16" s="25" t="s">
        <v>240</v>
      </c>
      <c r="C16" s="26">
        <v>24453.797189130433</v>
      </c>
      <c r="D16" s="26">
        <v>25796</v>
      </c>
      <c r="E16" s="26">
        <v>26652.061249999999</v>
      </c>
      <c r="F16" s="27"/>
      <c r="G16" s="28">
        <v>8.9894589534204528</v>
      </c>
      <c r="H16" s="29">
        <v>3.3185813692045372</v>
      </c>
    </row>
    <row r="17" spans="1:9" x14ac:dyDescent="0.2">
      <c r="A17" s="30" t="s">
        <v>50</v>
      </c>
      <c r="B17" s="31" t="s">
        <v>3</v>
      </c>
      <c r="C17" s="20">
        <v>52626.456672561559</v>
      </c>
      <c r="D17" s="20">
        <v>70319.748333333337</v>
      </c>
      <c r="E17" s="21">
        <v>93207.817017916095</v>
      </c>
      <c r="F17" s="22" t="s">
        <v>239</v>
      </c>
      <c r="G17" s="37">
        <v>77.112089453122707</v>
      </c>
      <c r="H17" s="33">
        <v>32.548564559826843</v>
      </c>
    </row>
    <row r="18" spans="1:9" ht="13.5" thickBot="1" x14ac:dyDescent="0.25">
      <c r="A18" s="56"/>
      <c r="B18" s="42" t="s">
        <v>240</v>
      </c>
      <c r="C18" s="43">
        <v>12813.24170652174</v>
      </c>
      <c r="D18" s="43">
        <v>14655</v>
      </c>
      <c r="E18" s="43">
        <v>20404.687083333334</v>
      </c>
      <c r="F18" s="44"/>
      <c r="G18" s="57">
        <v>59.24687562045807</v>
      </c>
      <c r="H18" s="46">
        <v>39.233620493574449</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234</v>
      </c>
      <c r="D34" s="15" t="s">
        <v>235</v>
      </c>
      <c r="E34" s="15" t="s">
        <v>236</v>
      </c>
      <c r="F34" s="16"/>
      <c r="G34" s="17" t="s">
        <v>237</v>
      </c>
      <c r="H34" s="18" t="s">
        <v>238</v>
      </c>
    </row>
    <row r="35" spans="1:9" ht="12.75" customHeight="1" x14ac:dyDescent="0.2">
      <c r="A35" s="205" t="s">
        <v>61</v>
      </c>
      <c r="B35" s="19" t="s">
        <v>3</v>
      </c>
      <c r="C35" s="80">
        <v>2098.2771570466793</v>
      </c>
      <c r="D35" s="80">
        <v>2609.279436595139</v>
      </c>
      <c r="E35" s="81">
        <v>3408.8726644356193</v>
      </c>
      <c r="F35" s="22" t="s">
        <v>239</v>
      </c>
      <c r="G35" s="23">
        <v>62.460552600858534</v>
      </c>
      <c r="H35" s="24">
        <v>30.644216047778798</v>
      </c>
    </row>
    <row r="36" spans="1:9" ht="12.75" customHeight="1" x14ac:dyDescent="0.2">
      <c r="A36" s="206"/>
      <c r="B36" s="25" t="s">
        <v>240</v>
      </c>
      <c r="C36" s="82">
        <v>414.3661951524486</v>
      </c>
      <c r="D36" s="82">
        <v>619.34148160607799</v>
      </c>
      <c r="E36" s="82">
        <v>758.09987079489156</v>
      </c>
      <c r="F36" s="27"/>
      <c r="G36" s="28">
        <v>82.954082563607926</v>
      </c>
      <c r="H36" s="29">
        <v>22.404181426534663</v>
      </c>
    </row>
    <row r="37" spans="1:9" x14ac:dyDescent="0.2">
      <c r="A37" s="30" t="s">
        <v>62</v>
      </c>
      <c r="B37" s="31" t="s">
        <v>3</v>
      </c>
      <c r="C37" s="80">
        <v>427.03020527351094</v>
      </c>
      <c r="D37" s="80">
        <v>438.63025170549503</v>
      </c>
      <c r="E37" s="83">
        <v>476.83100500317983</v>
      </c>
      <c r="F37" s="22" t="s">
        <v>239</v>
      </c>
      <c r="G37" s="32">
        <v>11.662125796879337</v>
      </c>
      <c r="H37" s="33">
        <v>8.7091013784734486</v>
      </c>
    </row>
    <row r="38" spans="1:9" x14ac:dyDescent="0.2">
      <c r="A38" s="34"/>
      <c r="B38" s="25" t="s">
        <v>240</v>
      </c>
      <c r="C38" s="82">
        <v>65.843303774395281</v>
      </c>
      <c r="D38" s="82">
        <v>97.875846672318275</v>
      </c>
      <c r="E38" s="82">
        <v>92.597263360615727</v>
      </c>
      <c r="F38" s="27"/>
      <c r="G38" s="35">
        <v>40.632772131073352</v>
      </c>
      <c r="H38" s="29">
        <v>-5.3931419151600153</v>
      </c>
    </row>
    <row r="39" spans="1:9" x14ac:dyDescent="0.2">
      <c r="A39" s="30" t="s">
        <v>47</v>
      </c>
      <c r="B39" s="31" t="s">
        <v>3</v>
      </c>
      <c r="C39" s="80">
        <v>241.8066529784335</v>
      </c>
      <c r="D39" s="80">
        <v>222.04429755480405</v>
      </c>
      <c r="E39" s="83">
        <v>250.54553943329711</v>
      </c>
      <c r="F39" s="22" t="s">
        <v>239</v>
      </c>
      <c r="G39" s="37">
        <v>3.6139975253877736</v>
      </c>
      <c r="H39" s="33">
        <v>12.835835998651817</v>
      </c>
    </row>
    <row r="40" spans="1:9" x14ac:dyDescent="0.2">
      <c r="A40" s="34"/>
      <c r="B40" s="25" t="s">
        <v>240</v>
      </c>
      <c r="C40" s="82">
        <v>58.846373690934165</v>
      </c>
      <c r="D40" s="82">
        <v>88.430329363964432</v>
      </c>
      <c r="E40" s="82">
        <v>82.316820876557657</v>
      </c>
      <c r="F40" s="27"/>
      <c r="G40" s="28">
        <v>39.884271049380459</v>
      </c>
      <c r="H40" s="29">
        <v>-6.9133616615229272</v>
      </c>
    </row>
    <row r="41" spans="1:9" x14ac:dyDescent="0.2">
      <c r="A41" s="30" t="s">
        <v>48</v>
      </c>
      <c r="B41" s="31" t="s">
        <v>3</v>
      </c>
      <c r="C41" s="80">
        <v>744.84448253314326</v>
      </c>
      <c r="D41" s="80">
        <v>1161.5367167447694</v>
      </c>
      <c r="E41" s="83">
        <v>1795.9392239871449</v>
      </c>
      <c r="F41" s="22" t="s">
        <v>239</v>
      </c>
      <c r="G41" s="23">
        <v>141.11600019903904</v>
      </c>
      <c r="H41" s="24">
        <v>54.61751644152082</v>
      </c>
    </row>
    <row r="42" spans="1:9" x14ac:dyDescent="0.2">
      <c r="A42" s="34"/>
      <c r="B42" s="25" t="s">
        <v>240</v>
      </c>
      <c r="C42" s="82">
        <v>135.1864449620831</v>
      </c>
      <c r="D42" s="82">
        <v>254.0223751787392</v>
      </c>
      <c r="E42" s="82">
        <v>367.64590783626784</v>
      </c>
      <c r="F42" s="27"/>
      <c r="G42" s="38">
        <v>171.95471257446309</v>
      </c>
      <c r="H42" s="24">
        <v>44.729733976221212</v>
      </c>
    </row>
    <row r="43" spans="1:9" x14ac:dyDescent="0.2">
      <c r="A43" s="30" t="s">
        <v>49</v>
      </c>
      <c r="B43" s="31" t="s">
        <v>3</v>
      </c>
      <c r="C43" s="80">
        <v>522.60520499379584</v>
      </c>
      <c r="D43" s="80">
        <v>578.6973874401217</v>
      </c>
      <c r="E43" s="83">
        <v>709.59342414826017</v>
      </c>
      <c r="F43" s="22" t="s">
        <v>239</v>
      </c>
      <c r="G43" s="37">
        <v>35.780014697076012</v>
      </c>
      <c r="H43" s="33">
        <v>22.619082019215497</v>
      </c>
    </row>
    <row r="44" spans="1:9" x14ac:dyDescent="0.2">
      <c r="A44" s="34"/>
      <c r="B44" s="25" t="s">
        <v>240</v>
      </c>
      <c r="C44" s="82">
        <v>112.50295176263299</v>
      </c>
      <c r="D44" s="82">
        <v>122.06968943136454</v>
      </c>
      <c r="E44" s="82">
        <v>150.69214091824193</v>
      </c>
      <c r="F44" s="27"/>
      <c r="G44" s="28">
        <v>33.945055269468241</v>
      </c>
      <c r="H44" s="29">
        <v>23.447631938943189</v>
      </c>
    </row>
    <row r="45" spans="1:9" x14ac:dyDescent="0.2">
      <c r="A45" s="30" t="s">
        <v>50</v>
      </c>
      <c r="B45" s="31" t="s">
        <v>3</v>
      </c>
      <c r="C45" s="80">
        <v>161.99061126779566</v>
      </c>
      <c r="D45" s="80">
        <v>208.37078314994898</v>
      </c>
      <c r="E45" s="83">
        <v>241.59339301503854</v>
      </c>
      <c r="F45" s="22" t="s">
        <v>239</v>
      </c>
      <c r="G45" s="37">
        <v>49.140367533799292</v>
      </c>
      <c r="H45" s="33">
        <v>15.943986658235929</v>
      </c>
    </row>
    <row r="46" spans="1:9" ht="13.5" thickBot="1" x14ac:dyDescent="0.25">
      <c r="A46" s="56"/>
      <c r="B46" s="42" t="s">
        <v>240</v>
      </c>
      <c r="C46" s="86">
        <v>41.987120962403026</v>
      </c>
      <c r="D46" s="86">
        <v>56.943240959691593</v>
      </c>
      <c r="E46" s="86">
        <v>64.847737803208474</v>
      </c>
      <c r="F46" s="44"/>
      <c r="G46" s="57">
        <v>54.446735848537401</v>
      </c>
      <c r="H46" s="46">
        <v>13.88136100140882</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241</v>
      </c>
      <c r="G61" s="53"/>
      <c r="H61" s="208">
        <v>24</v>
      </c>
    </row>
    <row r="62" spans="1:9" ht="12.75" customHeight="1" x14ac:dyDescent="0.2">
      <c r="A62" s="54" t="s">
        <v>242</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3" t="s">
        <v>1</v>
      </c>
      <c r="H5" s="204"/>
    </row>
    <row r="6" spans="1:8" x14ac:dyDescent="0.2">
      <c r="A6" s="12"/>
      <c r="B6" s="13"/>
      <c r="C6" s="14" t="s">
        <v>234</v>
      </c>
      <c r="D6" s="15" t="s">
        <v>235</v>
      </c>
      <c r="E6" s="15" t="s">
        <v>236</v>
      </c>
      <c r="F6" s="16"/>
      <c r="G6" s="17" t="s">
        <v>237</v>
      </c>
      <c r="H6" s="18" t="s">
        <v>238</v>
      </c>
    </row>
    <row r="7" spans="1:8" x14ac:dyDescent="0.2">
      <c r="A7" s="205" t="s">
        <v>51</v>
      </c>
      <c r="B7" s="19" t="s">
        <v>3</v>
      </c>
      <c r="C7" s="20">
        <v>11276.932267581047</v>
      </c>
      <c r="D7" s="20">
        <v>11960.346633416459</v>
      </c>
      <c r="E7" s="79">
        <v>17184.145930578972</v>
      </c>
      <c r="F7" s="22" t="s">
        <v>239</v>
      </c>
      <c r="G7" s="23">
        <v>52.383161686445504</v>
      </c>
      <c r="H7" s="24">
        <v>43.675985799337525</v>
      </c>
    </row>
    <row r="8" spans="1:8" x14ac:dyDescent="0.2">
      <c r="A8" s="206"/>
      <c r="B8" s="25" t="s">
        <v>240</v>
      </c>
      <c r="C8" s="26">
        <v>1816.3347880299252</v>
      </c>
      <c r="D8" s="26">
        <v>1472.7774314214464</v>
      </c>
      <c r="E8" s="26">
        <v>2296.269950124688</v>
      </c>
      <c r="F8" s="27"/>
      <c r="G8" s="28">
        <v>26.423276438773783</v>
      </c>
      <c r="H8" s="29">
        <v>55.914254328873739</v>
      </c>
    </row>
    <row r="9" spans="1:8" x14ac:dyDescent="0.2">
      <c r="A9" s="30" t="s">
        <v>12</v>
      </c>
      <c r="B9" s="31" t="s">
        <v>3</v>
      </c>
      <c r="C9" s="20">
        <v>275.00228392999998</v>
      </c>
      <c r="D9" s="20">
        <v>217.86099999999999</v>
      </c>
      <c r="E9" s="21">
        <v>210.56749779448856</v>
      </c>
      <c r="F9" s="22" t="s">
        <v>239</v>
      </c>
      <c r="G9" s="32">
        <v>-23.430636725880021</v>
      </c>
      <c r="H9" s="33">
        <v>-3.3477778058080219</v>
      </c>
    </row>
    <row r="10" spans="1:8" x14ac:dyDescent="0.2">
      <c r="A10" s="34"/>
      <c r="B10" s="25" t="s">
        <v>240</v>
      </c>
      <c r="C10" s="26">
        <v>37.494624999999999</v>
      </c>
      <c r="D10" s="26">
        <v>16.512374999999999</v>
      </c>
      <c r="E10" s="26">
        <v>18.732624999999999</v>
      </c>
      <c r="F10" s="27"/>
      <c r="G10" s="35">
        <v>-50.039172281360329</v>
      </c>
      <c r="H10" s="29">
        <v>13.445976123967625</v>
      </c>
    </row>
    <row r="11" spans="1:8" x14ac:dyDescent="0.2">
      <c r="A11" s="30" t="s">
        <v>18</v>
      </c>
      <c r="B11" s="31" t="s">
        <v>3</v>
      </c>
      <c r="C11" s="20">
        <v>244.80091357200001</v>
      </c>
      <c r="D11" s="20">
        <v>283.14440000000002</v>
      </c>
      <c r="E11" s="21">
        <v>249.596359801993</v>
      </c>
      <c r="F11" s="22" t="s">
        <v>239</v>
      </c>
      <c r="G11" s="37">
        <v>1.9589168030545494</v>
      </c>
      <c r="H11" s="33">
        <v>-11.848385558042835</v>
      </c>
    </row>
    <row r="12" spans="1:8" x14ac:dyDescent="0.2">
      <c r="A12" s="34"/>
      <c r="B12" s="25" t="s">
        <v>240</v>
      </c>
      <c r="C12" s="26">
        <v>19.197849999999999</v>
      </c>
      <c r="D12" s="26">
        <v>44.204949999999997</v>
      </c>
      <c r="E12" s="26">
        <v>29.293050000000001</v>
      </c>
      <c r="F12" s="27"/>
      <c r="G12" s="28">
        <v>52.585055097315603</v>
      </c>
      <c r="H12" s="29">
        <v>-33.73355246414711</v>
      </c>
    </row>
    <row r="13" spans="1:8" x14ac:dyDescent="0.2">
      <c r="A13" s="30" t="s">
        <v>63</v>
      </c>
      <c r="B13" s="31" t="s">
        <v>3</v>
      </c>
      <c r="C13" s="20">
        <v>1216.5085647374999</v>
      </c>
      <c r="D13" s="20">
        <v>1307.72875</v>
      </c>
      <c r="E13" s="21">
        <v>2253.718537883748</v>
      </c>
      <c r="F13" s="22" t="s">
        <v>239</v>
      </c>
      <c r="G13" s="23">
        <v>85.261214200333967</v>
      </c>
      <c r="H13" s="24">
        <v>72.338379643618595</v>
      </c>
    </row>
    <row r="14" spans="1:8" x14ac:dyDescent="0.2">
      <c r="A14" s="34"/>
      <c r="B14" s="25" t="s">
        <v>240</v>
      </c>
      <c r="C14" s="26">
        <v>146.85484374999999</v>
      </c>
      <c r="D14" s="26">
        <v>171.92140625000002</v>
      </c>
      <c r="E14" s="26">
        <v>287.74734375000003</v>
      </c>
      <c r="F14" s="27"/>
      <c r="G14" s="38">
        <v>95.939974741214513</v>
      </c>
      <c r="H14" s="24">
        <v>67.371446073196608</v>
      </c>
    </row>
    <row r="15" spans="1:8" x14ac:dyDescent="0.2">
      <c r="A15" s="30" t="s">
        <v>52</v>
      </c>
      <c r="B15" s="31" t="s">
        <v>3</v>
      </c>
      <c r="C15" s="20">
        <v>6663.0399687749996</v>
      </c>
      <c r="D15" s="20">
        <v>6527.0675000000001</v>
      </c>
      <c r="E15" s="21">
        <v>9907.1378571479363</v>
      </c>
      <c r="F15" s="22" t="s">
        <v>239</v>
      </c>
      <c r="G15" s="37">
        <v>48.687954801048051</v>
      </c>
      <c r="H15" s="33">
        <v>51.785435912037627</v>
      </c>
    </row>
    <row r="16" spans="1:8" x14ac:dyDescent="0.2">
      <c r="A16" s="34"/>
      <c r="B16" s="25" t="s">
        <v>240</v>
      </c>
      <c r="C16" s="26">
        <v>1068.6559375000002</v>
      </c>
      <c r="D16" s="26">
        <v>765.96656250000001</v>
      </c>
      <c r="E16" s="26">
        <v>1276.8209375000001</v>
      </c>
      <c r="F16" s="27"/>
      <c r="G16" s="28">
        <v>19.479141292844787</v>
      </c>
      <c r="H16" s="29">
        <v>66.694083007050324</v>
      </c>
    </row>
    <row r="17" spans="1:9" x14ac:dyDescent="0.2">
      <c r="A17" s="30" t="s">
        <v>50</v>
      </c>
      <c r="B17" s="31" t="s">
        <v>3</v>
      </c>
      <c r="C17" s="20">
        <v>4182.0114196499999</v>
      </c>
      <c r="D17" s="20">
        <v>4904.3050000000003</v>
      </c>
      <c r="E17" s="21">
        <v>6448.7300328517267</v>
      </c>
      <c r="F17" s="22" t="s">
        <v>239</v>
      </c>
      <c r="G17" s="37">
        <v>54.201636144538156</v>
      </c>
      <c r="H17" s="33">
        <v>31.491210943277906</v>
      </c>
    </row>
    <row r="18" spans="1:9" ht="13.5" thickBot="1" x14ac:dyDescent="0.25">
      <c r="A18" s="56"/>
      <c r="B18" s="42" t="s">
        <v>240</v>
      </c>
      <c r="C18" s="43">
        <v>642.47312499999998</v>
      </c>
      <c r="D18" s="43">
        <v>582.56187499999999</v>
      </c>
      <c r="E18" s="43">
        <v>828.66312500000004</v>
      </c>
      <c r="F18" s="44"/>
      <c r="G18" s="57">
        <v>28.98020053367992</v>
      </c>
      <c r="H18" s="46">
        <v>42.244654269557202</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234</v>
      </c>
      <c r="D34" s="15" t="s">
        <v>235</v>
      </c>
      <c r="E34" s="15" t="s">
        <v>236</v>
      </c>
      <c r="F34" s="16"/>
      <c r="G34" s="17" t="s">
        <v>237</v>
      </c>
      <c r="H34" s="18" t="s">
        <v>238</v>
      </c>
    </row>
    <row r="35" spans="1:9" ht="12.75" customHeight="1" x14ac:dyDescent="0.2">
      <c r="A35" s="205" t="s">
        <v>51</v>
      </c>
      <c r="B35" s="19" t="s">
        <v>3</v>
      </c>
      <c r="C35" s="80">
        <v>599.94610259804858</v>
      </c>
      <c r="D35" s="80">
        <v>662.09127275885123</v>
      </c>
      <c r="E35" s="81">
        <v>1282.9821123487409</v>
      </c>
      <c r="F35" s="22" t="s">
        <v>239</v>
      </c>
      <c r="G35" s="23">
        <v>113.84956195111951</v>
      </c>
      <c r="H35" s="24">
        <v>93.777227572071041</v>
      </c>
    </row>
    <row r="36" spans="1:9" ht="12.75" customHeight="1" x14ac:dyDescent="0.2">
      <c r="A36" s="206"/>
      <c r="B36" s="25" t="s">
        <v>240</v>
      </c>
      <c r="C36" s="82">
        <v>81.14739986201802</v>
      </c>
      <c r="D36" s="82">
        <v>74.038735819343131</v>
      </c>
      <c r="E36" s="82">
        <v>152.26295510110907</v>
      </c>
      <c r="F36" s="27"/>
      <c r="G36" s="28">
        <v>87.637503308812114</v>
      </c>
      <c r="H36" s="29">
        <v>105.65309957835521</v>
      </c>
    </row>
    <row r="37" spans="1:9" x14ac:dyDescent="0.2">
      <c r="A37" s="30" t="s">
        <v>12</v>
      </c>
      <c r="B37" s="31" t="s">
        <v>3</v>
      </c>
      <c r="C37" s="80">
        <v>6.0730403122216252</v>
      </c>
      <c r="D37" s="80">
        <v>3.4669047888267976</v>
      </c>
      <c r="E37" s="83">
        <v>6.3518068265091108</v>
      </c>
      <c r="F37" s="22" t="s">
        <v>239</v>
      </c>
      <c r="G37" s="32">
        <v>4.5902299335389642</v>
      </c>
      <c r="H37" s="33">
        <v>83.212612211902268</v>
      </c>
    </row>
    <row r="38" spans="1:9" x14ac:dyDescent="0.2">
      <c r="A38" s="34"/>
      <c r="B38" s="25" t="s">
        <v>240</v>
      </c>
      <c r="C38" s="82">
        <v>1.2257570698804914</v>
      </c>
      <c r="D38" s="82">
        <v>0.36349750338142683</v>
      </c>
      <c r="E38" s="82">
        <v>0.79299180072326481</v>
      </c>
      <c r="F38" s="27"/>
      <c r="G38" s="35">
        <v>-35.305957419394701</v>
      </c>
      <c r="H38" s="29">
        <v>118.15605151245262</v>
      </c>
    </row>
    <row r="39" spans="1:9" x14ac:dyDescent="0.2">
      <c r="A39" s="30" t="s">
        <v>18</v>
      </c>
      <c r="B39" s="31" t="s">
        <v>3</v>
      </c>
      <c r="C39" s="80">
        <v>41.588474536253699</v>
      </c>
      <c r="D39" s="80">
        <v>38.907787125825031</v>
      </c>
      <c r="E39" s="83">
        <v>84.242096323178799</v>
      </c>
      <c r="F39" s="22" t="s">
        <v>239</v>
      </c>
      <c r="G39" s="37">
        <v>102.56115970241439</v>
      </c>
      <c r="H39" s="33">
        <v>116.5173158029929</v>
      </c>
    </row>
    <row r="40" spans="1:9" x14ac:dyDescent="0.2">
      <c r="A40" s="34"/>
      <c r="B40" s="25" t="s">
        <v>240</v>
      </c>
      <c r="C40" s="82">
        <v>3.8999700545608995</v>
      </c>
      <c r="D40" s="82">
        <v>5.9089549212227563</v>
      </c>
      <c r="E40" s="82">
        <v>10.60409933268518</v>
      </c>
      <c r="F40" s="27"/>
      <c r="G40" s="28">
        <v>171.90207063985019</v>
      </c>
      <c r="H40" s="29">
        <v>79.458118636160549</v>
      </c>
    </row>
    <row r="41" spans="1:9" x14ac:dyDescent="0.2">
      <c r="A41" s="30" t="s">
        <v>63</v>
      </c>
      <c r="B41" s="31" t="s">
        <v>3</v>
      </c>
      <c r="C41" s="80">
        <v>69.98089542611072</v>
      </c>
      <c r="D41" s="80">
        <v>88.607126070883524</v>
      </c>
      <c r="E41" s="83">
        <v>155.95911013866328</v>
      </c>
      <c r="F41" s="22" t="s">
        <v>239</v>
      </c>
      <c r="G41" s="23">
        <v>122.85955215210498</v>
      </c>
      <c r="H41" s="24">
        <v>76.011927092522797</v>
      </c>
    </row>
    <row r="42" spans="1:9" x14ac:dyDescent="0.2">
      <c r="A42" s="34"/>
      <c r="B42" s="25" t="s">
        <v>240</v>
      </c>
      <c r="C42" s="82">
        <v>7.4519622535046457</v>
      </c>
      <c r="D42" s="82">
        <v>10.573998869694314</v>
      </c>
      <c r="E42" s="82">
        <v>17.891804812348614</v>
      </c>
      <c r="F42" s="27"/>
      <c r="G42" s="38">
        <v>140.095215242591</v>
      </c>
      <c r="H42" s="24">
        <v>69.205662236521988</v>
      </c>
    </row>
    <row r="43" spans="1:9" x14ac:dyDescent="0.2">
      <c r="A43" s="30" t="s">
        <v>52</v>
      </c>
      <c r="B43" s="31" t="s">
        <v>3</v>
      </c>
      <c r="C43" s="80">
        <v>341.68380831054003</v>
      </c>
      <c r="D43" s="80">
        <v>341.93154235431865</v>
      </c>
      <c r="E43" s="83">
        <v>717.1198496106216</v>
      </c>
      <c r="F43" s="22" t="s">
        <v>239</v>
      </c>
      <c r="G43" s="37">
        <v>109.8782067422012</v>
      </c>
      <c r="H43" s="33">
        <v>109.72614713255169</v>
      </c>
    </row>
    <row r="44" spans="1:9" x14ac:dyDescent="0.2">
      <c r="A44" s="34"/>
      <c r="B44" s="25" t="s">
        <v>240</v>
      </c>
      <c r="C44" s="82">
        <v>48.270895499780089</v>
      </c>
      <c r="D44" s="82">
        <v>38.954921905408575</v>
      </c>
      <c r="E44" s="82">
        <v>87.333977219562058</v>
      </c>
      <c r="F44" s="27"/>
      <c r="G44" s="28">
        <v>80.924709010132062</v>
      </c>
      <c r="H44" s="29">
        <v>124.19240739752695</v>
      </c>
    </row>
    <row r="45" spans="1:9" x14ac:dyDescent="0.2">
      <c r="A45" s="30" t="s">
        <v>50</v>
      </c>
      <c r="B45" s="31" t="s">
        <v>3</v>
      </c>
      <c r="C45" s="80">
        <v>140.61988401292237</v>
      </c>
      <c r="D45" s="80">
        <v>189.17791241899712</v>
      </c>
      <c r="E45" s="83">
        <v>328.76412394901229</v>
      </c>
      <c r="F45" s="22" t="s">
        <v>239</v>
      </c>
      <c r="G45" s="37">
        <v>133.7963270676573</v>
      </c>
      <c r="H45" s="33">
        <v>73.785681290771038</v>
      </c>
    </row>
    <row r="46" spans="1:9" ht="13.5" thickBot="1" x14ac:dyDescent="0.25">
      <c r="A46" s="56"/>
      <c r="B46" s="42" t="s">
        <v>240</v>
      </c>
      <c r="C46" s="86">
        <v>20.298814984291894</v>
      </c>
      <c r="D46" s="86">
        <v>18.237362619636041</v>
      </c>
      <c r="E46" s="86">
        <v>35.640081935789937</v>
      </c>
      <c r="F46" s="44"/>
      <c r="G46" s="57">
        <v>75.577155431830789</v>
      </c>
      <c r="H46" s="46">
        <v>95.423442956694345</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241</v>
      </c>
      <c r="H61" s="200">
        <v>25</v>
      </c>
    </row>
    <row r="62" spans="1:9" ht="12.75" customHeight="1" x14ac:dyDescent="0.2">
      <c r="A62" s="54" t="s">
        <v>242</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3" t="s">
        <v>1</v>
      </c>
      <c r="H5" s="204"/>
    </row>
    <row r="6" spans="1:8" x14ac:dyDescent="0.2">
      <c r="A6" s="12"/>
      <c r="B6" s="13"/>
      <c r="C6" s="14" t="s">
        <v>234</v>
      </c>
      <c r="D6" s="15" t="s">
        <v>235</v>
      </c>
      <c r="E6" s="15" t="s">
        <v>236</v>
      </c>
      <c r="F6" s="16"/>
      <c r="G6" s="17" t="s">
        <v>237</v>
      </c>
      <c r="H6" s="18" t="s">
        <v>238</v>
      </c>
    </row>
    <row r="7" spans="1:8" ht="12.75" customHeight="1" x14ac:dyDescent="0.2">
      <c r="A7" s="205" t="s">
        <v>64</v>
      </c>
      <c r="B7" s="19" t="s">
        <v>3</v>
      </c>
      <c r="C7" s="20">
        <v>12078.23712256</v>
      </c>
      <c r="D7" s="20">
        <v>13236.988000000001</v>
      </c>
      <c r="E7" s="79">
        <v>13816.350392602242</v>
      </c>
      <c r="F7" s="22" t="s">
        <v>239</v>
      </c>
      <c r="G7" s="23">
        <v>14.390454934816233</v>
      </c>
      <c r="H7" s="24">
        <v>4.3768445858094083</v>
      </c>
    </row>
    <row r="8" spans="1:8" ht="12.75" customHeight="1" x14ac:dyDescent="0.2">
      <c r="A8" s="206"/>
      <c r="B8" s="25" t="s">
        <v>240</v>
      </c>
      <c r="C8" s="26">
        <v>3173.5819999999999</v>
      </c>
      <c r="D8" s="26">
        <v>3674.7310000000002</v>
      </c>
      <c r="E8" s="26">
        <v>3764.605</v>
      </c>
      <c r="F8" s="27"/>
      <c r="G8" s="28">
        <v>18.623215029578574</v>
      </c>
      <c r="H8" s="29">
        <v>2.4457300411921352</v>
      </c>
    </row>
    <row r="9" spans="1:8" x14ac:dyDescent="0.2">
      <c r="A9" s="30" t="s">
        <v>53</v>
      </c>
      <c r="B9" s="31" t="s">
        <v>3</v>
      </c>
      <c r="C9" s="20">
        <v>5.2623712255999999</v>
      </c>
      <c r="D9" s="20">
        <v>2.2898800000000001</v>
      </c>
      <c r="E9" s="21">
        <v>72.363970106876678</v>
      </c>
      <c r="F9" s="22" t="s">
        <v>239</v>
      </c>
      <c r="G9" s="32">
        <v>1275.1209674233112</v>
      </c>
      <c r="H9" s="33">
        <v>3060.1642927523135</v>
      </c>
    </row>
    <row r="10" spans="1:8" x14ac:dyDescent="0.2">
      <c r="A10" s="34"/>
      <c r="B10" s="25" t="s">
        <v>240</v>
      </c>
      <c r="C10" s="26">
        <v>2.0758199999999998</v>
      </c>
      <c r="D10" s="26">
        <v>6.7310000000000009E-2</v>
      </c>
      <c r="E10" s="26">
        <v>3.07605</v>
      </c>
      <c r="F10" s="27"/>
      <c r="G10" s="35">
        <v>48.184813712171575</v>
      </c>
      <c r="H10" s="29">
        <v>4469.9747437230717</v>
      </c>
    </row>
    <row r="11" spans="1:8" x14ac:dyDescent="0.2">
      <c r="A11" s="30" t="s">
        <v>54</v>
      </c>
      <c r="B11" s="31" t="s">
        <v>3</v>
      </c>
      <c r="C11" s="20">
        <v>467.31185612799999</v>
      </c>
      <c r="D11" s="20">
        <v>499.44940000000003</v>
      </c>
      <c r="E11" s="21">
        <v>421.23050516605491</v>
      </c>
      <c r="F11" s="22" t="s">
        <v>239</v>
      </c>
      <c r="G11" s="37">
        <v>-9.860941972189778</v>
      </c>
      <c r="H11" s="33">
        <v>-15.66102488739503</v>
      </c>
    </row>
    <row r="12" spans="1:8" x14ac:dyDescent="0.2">
      <c r="A12" s="34"/>
      <c r="B12" s="25" t="s">
        <v>240</v>
      </c>
      <c r="C12" s="26">
        <v>140.37909999999999</v>
      </c>
      <c r="D12" s="26">
        <v>153.33654999999999</v>
      </c>
      <c r="E12" s="26">
        <v>128.38024999999999</v>
      </c>
      <c r="F12" s="27"/>
      <c r="G12" s="28">
        <v>-8.5474618372678037</v>
      </c>
      <c r="H12" s="29">
        <v>-16.275506394268035</v>
      </c>
    </row>
    <row r="13" spans="1:8" x14ac:dyDescent="0.2">
      <c r="A13" s="30" t="s">
        <v>66</v>
      </c>
      <c r="B13" s="31" t="s">
        <v>3</v>
      </c>
      <c r="C13" s="20">
        <v>38.524742451199998</v>
      </c>
      <c r="D13" s="20">
        <v>14.57976</v>
      </c>
      <c r="E13" s="21">
        <v>8.0388683618037877</v>
      </c>
      <c r="F13" s="22" t="s">
        <v>239</v>
      </c>
      <c r="G13" s="23">
        <v>-79.133232695879087</v>
      </c>
      <c r="H13" s="24">
        <v>-44.862821049154533</v>
      </c>
    </row>
    <row r="14" spans="1:8" x14ac:dyDescent="0.2">
      <c r="A14" s="34"/>
      <c r="B14" s="25" t="s">
        <v>240</v>
      </c>
      <c r="C14" s="26">
        <v>4.1516399999999996</v>
      </c>
      <c r="D14" s="26">
        <v>15.13462</v>
      </c>
      <c r="E14" s="26">
        <v>2.1520999999999999</v>
      </c>
      <c r="F14" s="27"/>
      <c r="G14" s="38">
        <v>-48.162653794645003</v>
      </c>
      <c r="H14" s="24">
        <v>-85.780283878947742</v>
      </c>
    </row>
    <row r="15" spans="1:8" x14ac:dyDescent="0.2">
      <c r="A15" s="30" t="s">
        <v>55</v>
      </c>
      <c r="B15" s="31" t="s">
        <v>3</v>
      </c>
      <c r="C15" s="20">
        <v>7995.9896980479998</v>
      </c>
      <c r="D15" s="20">
        <v>7483.1903999999995</v>
      </c>
      <c r="E15" s="21">
        <v>7118.6509062394307</v>
      </c>
      <c r="F15" s="22" t="s">
        <v>239</v>
      </c>
      <c r="G15" s="37">
        <v>-10.972235144609385</v>
      </c>
      <c r="H15" s="33">
        <v>-4.8714448553997585</v>
      </c>
    </row>
    <row r="16" spans="1:8" x14ac:dyDescent="0.2">
      <c r="A16" s="34"/>
      <c r="B16" s="25" t="s">
        <v>240</v>
      </c>
      <c r="C16" s="26">
        <v>2252.0655999999999</v>
      </c>
      <c r="D16" s="26">
        <v>2210.3847999999998</v>
      </c>
      <c r="E16" s="26">
        <v>2069.0839999999998</v>
      </c>
      <c r="F16" s="27"/>
      <c r="G16" s="28">
        <v>-8.1250563926734714</v>
      </c>
      <c r="H16" s="29">
        <v>-6.3925882950335193</v>
      </c>
    </row>
    <row r="17" spans="1:9" x14ac:dyDescent="0.2">
      <c r="A17" s="30" t="s">
        <v>67</v>
      </c>
      <c r="B17" s="31" t="s">
        <v>3</v>
      </c>
      <c r="C17" s="20">
        <v>1376.311856128</v>
      </c>
      <c r="D17" s="20">
        <v>1805.4494</v>
      </c>
      <c r="E17" s="21">
        <v>2370.6689081324866</v>
      </c>
      <c r="F17" s="22" t="s">
        <v>239</v>
      </c>
      <c r="G17" s="37">
        <v>72.247946392173588</v>
      </c>
      <c r="H17" s="33">
        <v>31.306305683919277</v>
      </c>
    </row>
    <row r="18" spans="1:9" x14ac:dyDescent="0.2">
      <c r="A18" s="30"/>
      <c r="B18" s="25" t="s">
        <v>240</v>
      </c>
      <c r="C18" s="26">
        <v>263.37909999999999</v>
      </c>
      <c r="D18" s="26">
        <v>445.33654999999999</v>
      </c>
      <c r="E18" s="26">
        <v>533.38024999999993</v>
      </c>
      <c r="F18" s="27"/>
      <c r="G18" s="28">
        <v>102.51426555865669</v>
      </c>
      <c r="H18" s="29">
        <v>19.770149115315135</v>
      </c>
    </row>
    <row r="19" spans="1:9" x14ac:dyDescent="0.2">
      <c r="A19" s="39" t="s">
        <v>56</v>
      </c>
      <c r="B19" s="31" t="s">
        <v>3</v>
      </c>
      <c r="C19" s="20">
        <v>102.26237122560001</v>
      </c>
      <c r="D19" s="20">
        <v>0.28988000000000003</v>
      </c>
      <c r="E19" s="21">
        <v>0.16558420437248447</v>
      </c>
      <c r="F19" s="22" t="s">
        <v>239</v>
      </c>
      <c r="G19" s="23">
        <v>-99.838079048639315</v>
      </c>
      <c r="H19" s="24">
        <v>-42.878361952364962</v>
      </c>
    </row>
    <row r="20" spans="1:9" x14ac:dyDescent="0.2">
      <c r="A20" s="34"/>
      <c r="B20" s="25" t="s">
        <v>240</v>
      </c>
      <c r="C20" s="26">
        <v>17.07582</v>
      </c>
      <c r="D20" s="26">
        <v>1.06731</v>
      </c>
      <c r="E20" s="26">
        <v>7.6050000000000006E-2</v>
      </c>
      <c r="F20" s="27"/>
      <c r="G20" s="38">
        <v>-99.554633393886789</v>
      </c>
      <c r="H20" s="24">
        <v>-92.874610000843248</v>
      </c>
    </row>
    <row r="21" spans="1:9" x14ac:dyDescent="0.2">
      <c r="A21" s="39" t="s">
        <v>68</v>
      </c>
      <c r="B21" s="31" t="s">
        <v>3</v>
      </c>
      <c r="C21" s="20">
        <v>53.262371225599999</v>
      </c>
      <c r="D21" s="20">
        <v>13.28988</v>
      </c>
      <c r="E21" s="21">
        <v>66.986389188109044</v>
      </c>
      <c r="F21" s="22" t="s">
        <v>239</v>
      </c>
      <c r="G21" s="37">
        <v>25.766817448624479</v>
      </c>
      <c r="H21" s="33">
        <v>404.04058718445197</v>
      </c>
    </row>
    <row r="22" spans="1:9" x14ac:dyDescent="0.2">
      <c r="A22" s="34"/>
      <c r="B22" s="25" t="s">
        <v>240</v>
      </c>
      <c r="C22" s="26">
        <v>14.07582</v>
      </c>
      <c r="D22" s="26">
        <v>2.06731</v>
      </c>
      <c r="E22" s="26">
        <v>12.07605</v>
      </c>
      <c r="F22" s="27"/>
      <c r="G22" s="28">
        <v>-14.207129673439979</v>
      </c>
      <c r="H22" s="29">
        <v>484.14316188670307</v>
      </c>
    </row>
    <row r="23" spans="1:9" x14ac:dyDescent="0.2">
      <c r="A23" s="30" t="s">
        <v>69</v>
      </c>
      <c r="B23" s="31" t="s">
        <v>3</v>
      </c>
      <c r="C23" s="20">
        <v>2065.3118561279998</v>
      </c>
      <c r="D23" s="20">
        <v>3454.4494</v>
      </c>
      <c r="E23" s="21">
        <v>4285.2731077361768</v>
      </c>
      <c r="F23" s="22" t="s">
        <v>239</v>
      </c>
      <c r="G23" s="23">
        <v>107.48794401297394</v>
      </c>
      <c r="H23" s="24">
        <v>24.050828700405248</v>
      </c>
    </row>
    <row r="24" spans="1:9" ht="13.5" thickBot="1" x14ac:dyDescent="0.25">
      <c r="A24" s="56"/>
      <c r="B24" s="42" t="s">
        <v>240</v>
      </c>
      <c r="C24" s="43">
        <v>482.37909999999999</v>
      </c>
      <c r="D24" s="43">
        <v>859.33654999999999</v>
      </c>
      <c r="E24" s="43">
        <v>1043.3802499999999</v>
      </c>
      <c r="F24" s="44"/>
      <c r="G24" s="57">
        <v>116.29880938042297</v>
      </c>
      <c r="H24" s="46">
        <v>21.416952415209153</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234</v>
      </c>
      <c r="D34" s="15" t="s">
        <v>235</v>
      </c>
      <c r="E34" s="15" t="s">
        <v>236</v>
      </c>
      <c r="F34" s="16"/>
      <c r="G34" s="17" t="s">
        <v>237</v>
      </c>
      <c r="H34" s="18" t="s">
        <v>238</v>
      </c>
    </row>
    <row r="35" spans="1:8" ht="12.75" customHeight="1" x14ac:dyDescent="0.2">
      <c r="A35" s="205" t="s">
        <v>64</v>
      </c>
      <c r="B35" s="19" t="s">
        <v>3</v>
      </c>
      <c r="C35" s="80">
        <v>1558.6503994062928</v>
      </c>
      <c r="D35" s="80">
        <v>1705.1275681590485</v>
      </c>
      <c r="E35" s="81">
        <v>1807.2981164026569</v>
      </c>
      <c r="F35" s="22" t="s">
        <v>239</v>
      </c>
      <c r="G35" s="23">
        <v>15.952757404166888</v>
      </c>
      <c r="H35" s="24">
        <v>5.9919592030241802</v>
      </c>
    </row>
    <row r="36" spans="1:8" ht="12.75" customHeight="1" x14ac:dyDescent="0.2">
      <c r="A36" s="206"/>
      <c r="B36" s="25" t="s">
        <v>240</v>
      </c>
      <c r="C36" s="82">
        <v>414.92680469493024</v>
      </c>
      <c r="D36" s="82">
        <v>420.45726599679233</v>
      </c>
      <c r="E36" s="82">
        <v>456.87793273317737</v>
      </c>
      <c r="F36" s="27"/>
      <c r="G36" s="28">
        <v>10.11048878104927</v>
      </c>
      <c r="H36" s="29">
        <v>8.6621565808932672</v>
      </c>
    </row>
    <row r="37" spans="1:8" x14ac:dyDescent="0.2">
      <c r="A37" s="30" t="s">
        <v>53</v>
      </c>
      <c r="B37" s="31" t="s">
        <v>3</v>
      </c>
      <c r="C37" s="80">
        <v>1.8343637693212369</v>
      </c>
      <c r="D37" s="80">
        <v>0.61137295083207166</v>
      </c>
      <c r="E37" s="83">
        <v>3.1391275719049321</v>
      </c>
      <c r="F37" s="22" t="s">
        <v>239</v>
      </c>
      <c r="G37" s="32">
        <v>71.128956230229733</v>
      </c>
      <c r="H37" s="33">
        <v>413.45542318033779</v>
      </c>
    </row>
    <row r="38" spans="1:8" x14ac:dyDescent="0.2">
      <c r="A38" s="34"/>
      <c r="B38" s="25" t="s">
        <v>240</v>
      </c>
      <c r="C38" s="82">
        <v>5.8402707351416387E-2</v>
      </c>
      <c r="D38" s="82">
        <v>0.22498576330698175</v>
      </c>
      <c r="E38" s="82">
        <v>0.25560393891749889</v>
      </c>
      <c r="F38" s="27"/>
      <c r="G38" s="35">
        <v>337.65768833197757</v>
      </c>
      <c r="H38" s="29">
        <v>13.608939143736023</v>
      </c>
    </row>
    <row r="39" spans="1:8" x14ac:dyDescent="0.2">
      <c r="A39" s="30" t="s">
        <v>54</v>
      </c>
      <c r="B39" s="31" t="s">
        <v>3</v>
      </c>
      <c r="C39" s="80">
        <v>64.424899827308451</v>
      </c>
      <c r="D39" s="80">
        <v>62.235706663841562</v>
      </c>
      <c r="E39" s="83">
        <v>53.860834990728947</v>
      </c>
      <c r="F39" s="22" t="s">
        <v>239</v>
      </c>
      <c r="G39" s="37">
        <v>-16.397487407658502</v>
      </c>
      <c r="H39" s="33">
        <v>-13.456698930645132</v>
      </c>
    </row>
    <row r="40" spans="1:8" x14ac:dyDescent="0.2">
      <c r="A40" s="34"/>
      <c r="B40" s="25" t="s">
        <v>240</v>
      </c>
      <c r="C40" s="82">
        <v>18.855111278265355</v>
      </c>
      <c r="D40" s="82">
        <v>16.448974711216959</v>
      </c>
      <c r="E40" s="82">
        <v>14.710765617828415</v>
      </c>
      <c r="F40" s="27"/>
      <c r="G40" s="28">
        <v>-21.979958639725481</v>
      </c>
      <c r="H40" s="29">
        <v>-10.567279261504467</v>
      </c>
    </row>
    <row r="41" spans="1:8" x14ac:dyDescent="0.2">
      <c r="A41" s="30" t="s">
        <v>66</v>
      </c>
      <c r="B41" s="31" t="s">
        <v>3</v>
      </c>
      <c r="C41" s="80">
        <v>7.526468051877937</v>
      </c>
      <c r="D41" s="80">
        <v>4.190662060242377</v>
      </c>
      <c r="E41" s="83">
        <v>5.4526472906621688</v>
      </c>
      <c r="F41" s="22" t="s">
        <v>239</v>
      </c>
      <c r="G41" s="23">
        <v>-27.553704432430663</v>
      </c>
      <c r="H41" s="24">
        <v>30.11422091016334</v>
      </c>
    </row>
    <row r="42" spans="1:8" x14ac:dyDescent="0.2">
      <c r="A42" s="34"/>
      <c r="B42" s="25" t="s">
        <v>240</v>
      </c>
      <c r="C42" s="82">
        <v>2.3258666335984519</v>
      </c>
      <c r="D42" s="82">
        <v>1.5511609089917013</v>
      </c>
      <c r="E42" s="82">
        <v>1.8934461288843645</v>
      </c>
      <c r="F42" s="27"/>
      <c r="G42" s="38">
        <v>-18.591801372767037</v>
      </c>
      <c r="H42" s="24">
        <v>22.066390269927467</v>
      </c>
    </row>
    <row r="43" spans="1:8" x14ac:dyDescent="0.2">
      <c r="A43" s="30" t="s">
        <v>55</v>
      </c>
      <c r="B43" s="31" t="s">
        <v>3</v>
      </c>
      <c r="C43" s="80">
        <v>1023.6976082091957</v>
      </c>
      <c r="D43" s="80">
        <v>976.78140855690845</v>
      </c>
      <c r="E43" s="83">
        <v>909.49222701522092</v>
      </c>
      <c r="F43" s="22" t="s">
        <v>239</v>
      </c>
      <c r="G43" s="37">
        <v>-11.156163722386708</v>
      </c>
      <c r="H43" s="33">
        <v>-6.8888679649523823</v>
      </c>
    </row>
    <row r="44" spans="1:8" x14ac:dyDescent="0.2">
      <c r="A44" s="34"/>
      <c r="B44" s="25" t="s">
        <v>240</v>
      </c>
      <c r="C44" s="82">
        <v>272.47375942701899</v>
      </c>
      <c r="D44" s="82">
        <v>255.33678207817115</v>
      </c>
      <c r="E44" s="82">
        <v>239.17271796948842</v>
      </c>
      <c r="F44" s="27"/>
      <c r="G44" s="28">
        <v>-12.221742573508294</v>
      </c>
      <c r="H44" s="29">
        <v>-6.3304879058647003</v>
      </c>
    </row>
    <row r="45" spans="1:8" x14ac:dyDescent="0.2">
      <c r="A45" s="30" t="s">
        <v>67</v>
      </c>
      <c r="B45" s="31" t="s">
        <v>3</v>
      </c>
      <c r="C45" s="80">
        <v>260.45788179982316</v>
      </c>
      <c r="D45" s="80">
        <v>403.79327400749645</v>
      </c>
      <c r="E45" s="83">
        <v>615.51427453222527</v>
      </c>
      <c r="F45" s="22" t="s">
        <v>239</v>
      </c>
      <c r="G45" s="37">
        <v>136.32007996029216</v>
      </c>
      <c r="H45" s="33">
        <v>52.433018119266194</v>
      </c>
    </row>
    <row r="46" spans="1:8" x14ac:dyDescent="0.2">
      <c r="A46" s="30"/>
      <c r="B46" s="25" t="s">
        <v>240</v>
      </c>
      <c r="C46" s="82">
        <v>58.637037066404822</v>
      </c>
      <c r="D46" s="82">
        <v>86.627719120109049</v>
      </c>
      <c r="E46" s="82">
        <v>134.15389706736804</v>
      </c>
      <c r="F46" s="27"/>
      <c r="G46" s="28">
        <v>128.78696431308842</v>
      </c>
      <c r="H46" s="29">
        <v>54.862552575537734</v>
      </c>
    </row>
    <row r="47" spans="1:8" x14ac:dyDescent="0.2">
      <c r="A47" s="39" t="s">
        <v>56</v>
      </c>
      <c r="B47" s="31" t="s">
        <v>3</v>
      </c>
      <c r="C47" s="80">
        <v>12.881169673480818</v>
      </c>
      <c r="D47" s="80">
        <v>5.9470217957497322</v>
      </c>
      <c r="E47" s="83">
        <v>4.0642107511143424</v>
      </c>
      <c r="F47" s="22" t="s">
        <v>239</v>
      </c>
      <c r="G47" s="23">
        <v>-68.448433999890867</v>
      </c>
      <c r="H47" s="24">
        <v>-31.659730017821914</v>
      </c>
    </row>
    <row r="48" spans="1:8" x14ac:dyDescent="0.2">
      <c r="A48" s="34"/>
      <c r="B48" s="25" t="s">
        <v>240</v>
      </c>
      <c r="C48" s="82">
        <v>3.0194225483170141</v>
      </c>
      <c r="D48" s="82">
        <v>2.2338008344486013</v>
      </c>
      <c r="E48" s="82">
        <v>1.2713000454452226</v>
      </c>
      <c r="F48" s="27"/>
      <c r="G48" s="38">
        <v>-57.895921319332125</v>
      </c>
      <c r="H48" s="24">
        <v>-43.088030685643716</v>
      </c>
    </row>
    <row r="49" spans="1:9" x14ac:dyDescent="0.2">
      <c r="A49" s="39" t="s">
        <v>68</v>
      </c>
      <c r="B49" s="31" t="s">
        <v>3</v>
      </c>
      <c r="C49" s="80">
        <v>3.762307945268268</v>
      </c>
      <c r="D49" s="80">
        <v>2.3239229081157085</v>
      </c>
      <c r="E49" s="83">
        <v>2.3749823309838201</v>
      </c>
      <c r="F49" s="22" t="s">
        <v>239</v>
      </c>
      <c r="G49" s="37">
        <v>-36.874323805132491</v>
      </c>
      <c r="H49" s="33">
        <v>2.1971220598497183</v>
      </c>
    </row>
    <row r="50" spans="1:9" x14ac:dyDescent="0.2">
      <c r="A50" s="34"/>
      <c r="B50" s="25" t="s">
        <v>240</v>
      </c>
      <c r="C50" s="82">
        <v>0.94560100915680079</v>
      </c>
      <c r="D50" s="82">
        <v>0.60209773792824439</v>
      </c>
      <c r="E50" s="82">
        <v>0.60906516355436124</v>
      </c>
      <c r="F50" s="27"/>
      <c r="G50" s="28">
        <v>-35.589624201282419</v>
      </c>
      <c r="H50" s="29">
        <v>1.1571917958189033</v>
      </c>
    </row>
    <row r="51" spans="1:9" x14ac:dyDescent="0.2">
      <c r="A51" s="30" t="s">
        <v>69</v>
      </c>
      <c r="B51" s="31" t="s">
        <v>3</v>
      </c>
      <c r="C51" s="80">
        <v>184.06570013001769</v>
      </c>
      <c r="D51" s="80">
        <v>249.24419921586249</v>
      </c>
      <c r="E51" s="83">
        <v>255.3579885720599</v>
      </c>
      <c r="F51" s="22" t="s">
        <v>239</v>
      </c>
      <c r="G51" s="23">
        <v>38.731979065998587</v>
      </c>
      <c r="H51" s="24">
        <v>2.4529314525400139</v>
      </c>
    </row>
    <row r="52" spans="1:9" ht="13.5" thickBot="1" x14ac:dyDescent="0.25">
      <c r="A52" s="56"/>
      <c r="B52" s="42" t="s">
        <v>240</v>
      </c>
      <c r="C52" s="86">
        <v>58.611604024817304</v>
      </c>
      <c r="D52" s="86">
        <v>57.431744842619665</v>
      </c>
      <c r="E52" s="86">
        <v>64.811136801691021</v>
      </c>
      <c r="F52" s="44"/>
      <c r="G52" s="57">
        <v>10.577312940025863</v>
      </c>
      <c r="H52" s="46">
        <v>12.848977476294891</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241</v>
      </c>
      <c r="G61" s="53"/>
      <c r="H61" s="208">
        <v>26</v>
      </c>
    </row>
    <row r="62" spans="1:9" ht="12.75" customHeight="1" x14ac:dyDescent="0.2">
      <c r="A62" s="54" t="s">
        <v>242</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200">
        <v>27</v>
      </c>
      <c r="H52" s="54" t="str">
        <f>+Innhold!B123</f>
        <v>Finans Norge / Skadeforsikringsstatistikk</v>
      </c>
      <c r="N52" s="200">
        <v>28</v>
      </c>
    </row>
    <row r="53" spans="1:14" ht="12.75" customHeight="1" x14ac:dyDescent="0.2">
      <c r="A53" s="54" t="str">
        <f>+Innhold!B124</f>
        <v>Skadestatistikk for landbasert forsikring 1. kvartal 2024</v>
      </c>
      <c r="G53" s="201"/>
      <c r="H53" s="54" t="str">
        <f>+Innhold!B124</f>
        <v>Skadestatistikk for landbasert forsikring 1. kvartal 2024</v>
      </c>
      <c r="N53" s="201"/>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c r="B46" s="73"/>
      <c r="C46" s="73"/>
      <c r="D46" s="73"/>
      <c r="E46" s="73"/>
      <c r="F46" s="73"/>
      <c r="G46" s="73"/>
      <c r="M46" s="77"/>
    </row>
    <row r="47" spans="1:13" ht="15.6" customHeight="1" x14ac:dyDescent="0.25">
      <c r="A47" s="93"/>
      <c r="B47" s="73"/>
      <c r="C47" s="73"/>
      <c r="D47" s="73"/>
      <c r="E47" s="73"/>
      <c r="F47" s="73"/>
      <c r="G47" s="73"/>
      <c r="M47" s="77"/>
    </row>
    <row r="48" spans="1:13" ht="15.6" customHeight="1" x14ac:dyDescent="0.25">
      <c r="A48" s="148" t="s">
        <v>232</v>
      </c>
      <c r="B48" s="73"/>
      <c r="C48" s="73"/>
      <c r="D48" s="73"/>
      <c r="E48" s="73"/>
      <c r="F48" s="73"/>
      <c r="G48" s="73"/>
      <c r="M48" s="77"/>
    </row>
    <row r="49" spans="1:13" ht="15.6" customHeight="1" x14ac:dyDescent="0.25">
      <c r="A49" s="148" t="s">
        <v>233</v>
      </c>
      <c r="B49" s="73"/>
      <c r="C49" s="73"/>
      <c r="D49" s="73"/>
      <c r="E49" s="73"/>
      <c r="F49" s="73"/>
      <c r="G49" s="73"/>
      <c r="M49" s="77"/>
    </row>
    <row r="50" spans="1:13" ht="15.6" customHeight="1" x14ac:dyDescent="0.2">
      <c r="A50" s="149" t="s">
        <v>243</v>
      </c>
      <c r="B50" s="52"/>
      <c r="C50" s="52"/>
      <c r="D50" s="52"/>
      <c r="E50" s="52"/>
      <c r="F50" s="52"/>
      <c r="G50" s="52"/>
      <c r="H50" s="77"/>
    </row>
    <row r="51" spans="1:13" ht="15.6" customHeight="1" x14ac:dyDescent="0.2">
      <c r="A51" s="54" t="str">
        <f>+Innhold!B123</f>
        <v>Finans Norge / Skadeforsikringsstatistikk</v>
      </c>
      <c r="G51" s="200">
        <v>3</v>
      </c>
      <c r="H51" s="77"/>
    </row>
    <row r="52" spans="1:13" ht="15.6" customHeight="1" x14ac:dyDescent="0.2">
      <c r="A52" s="54" t="str">
        <f>+Innhold!B124</f>
        <v>Skadestatistikk for landbasert forsikring 1. kvartal 2024</v>
      </c>
      <c r="G52" s="201"/>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39"/>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21" width="11.42578125" style="1" customWidth="1"/>
    <col min="22" max="22" width="15.42578125" style="1" customWidth="1"/>
    <col min="23" max="16384" width="11.42578125" style="1"/>
  </cols>
  <sheetData>
    <row r="1" spans="1:36" ht="5.25" customHeight="1" x14ac:dyDescent="0.2"/>
    <row r="2" spans="1:36" x14ac:dyDescent="0.2">
      <c r="A2" s="146" t="s">
        <v>0</v>
      </c>
      <c r="B2" s="2"/>
      <c r="C2" s="2"/>
      <c r="D2" s="2"/>
      <c r="E2" s="2"/>
      <c r="F2" s="2"/>
      <c r="G2" s="2"/>
    </row>
    <row r="3" spans="1:36" ht="6" customHeight="1" x14ac:dyDescent="0.25">
      <c r="A3" s="147"/>
      <c r="B3" s="2"/>
      <c r="C3" s="2"/>
      <c r="D3" s="2"/>
      <c r="E3" s="2"/>
      <c r="F3" s="2"/>
      <c r="G3" s="2"/>
    </row>
    <row r="4" spans="1:36" ht="12.75" customHeight="1" x14ac:dyDescent="0.2">
      <c r="A4" s="202" t="s">
        <v>90</v>
      </c>
      <c r="B4" s="2"/>
      <c r="C4" s="2"/>
      <c r="D4" s="2"/>
      <c r="E4" s="2"/>
      <c r="F4" s="2"/>
      <c r="G4" s="2"/>
      <c r="H4" s="67"/>
    </row>
    <row r="5" spans="1:36" ht="12.75" customHeight="1" x14ac:dyDescent="0.2">
      <c r="A5" s="202"/>
      <c r="B5" s="2"/>
      <c r="C5" s="2"/>
      <c r="D5" s="2"/>
      <c r="E5" s="2"/>
      <c r="F5" s="2"/>
      <c r="G5" s="2"/>
      <c r="H5" s="67"/>
    </row>
    <row r="6" spans="1:36"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x14ac:dyDescent="0.25">
      <c r="A7" s="147"/>
      <c r="B7" s="2"/>
      <c r="C7" s="2"/>
      <c r="D7" s="2"/>
      <c r="E7" s="2"/>
      <c r="F7" s="2"/>
      <c r="G7" s="2"/>
      <c r="H7" s="67"/>
      <c r="V7" s="88"/>
      <c r="AJ7" s="88"/>
    </row>
    <row r="8" spans="1:36" ht="15.75" x14ac:dyDescent="0.25">
      <c r="A8" s="147"/>
      <c r="B8" s="2"/>
      <c r="C8" s="2"/>
      <c r="D8" s="2"/>
      <c r="E8" s="2"/>
      <c r="F8" s="2"/>
      <c r="G8" s="2"/>
      <c r="H8" s="67"/>
    </row>
    <row r="9" spans="1:36" ht="15.75" x14ac:dyDescent="0.25">
      <c r="A9" s="147"/>
      <c r="B9" s="2"/>
      <c r="C9" s="2"/>
      <c r="D9" s="2"/>
      <c r="E9" s="2"/>
      <c r="F9" s="2"/>
      <c r="G9" s="2"/>
      <c r="H9" s="67"/>
    </row>
    <row r="10" spans="1:36" ht="15.75" x14ac:dyDescent="0.25">
      <c r="A10" s="147"/>
      <c r="B10" s="2"/>
      <c r="C10" s="2"/>
      <c r="D10" s="2"/>
      <c r="E10" s="2"/>
      <c r="F10" s="2"/>
      <c r="G10" s="2"/>
      <c r="H10" s="67"/>
    </row>
    <row r="11" spans="1:36" ht="15.75" x14ac:dyDescent="0.25">
      <c r="A11" s="147"/>
      <c r="B11" s="2"/>
      <c r="C11" s="2"/>
      <c r="D11" s="2"/>
      <c r="E11" s="2"/>
      <c r="F11" s="2"/>
      <c r="G11" s="2"/>
      <c r="H11" s="67"/>
    </row>
    <row r="12" spans="1:36" ht="15.75" x14ac:dyDescent="0.25">
      <c r="A12" s="147"/>
      <c r="B12" s="2"/>
      <c r="C12" s="2"/>
      <c r="D12" s="2"/>
      <c r="E12" s="2"/>
      <c r="F12" s="2"/>
      <c r="G12" s="2"/>
      <c r="H12" s="67"/>
    </row>
    <row r="13" spans="1:36" ht="15.75" x14ac:dyDescent="0.25">
      <c r="A13" s="147"/>
      <c r="B13" s="2"/>
      <c r="C13" s="2"/>
      <c r="D13" s="2"/>
      <c r="E13" s="2"/>
      <c r="F13" s="2"/>
      <c r="G13" s="2"/>
      <c r="H13" s="67"/>
    </row>
    <row r="14" spans="1:36" ht="15.75" x14ac:dyDescent="0.25">
      <c r="A14" s="147"/>
      <c r="B14" s="2"/>
      <c r="C14" s="2"/>
      <c r="D14" s="2"/>
      <c r="E14" s="2"/>
      <c r="F14" s="2"/>
      <c r="G14" s="2"/>
      <c r="H14" s="67"/>
    </row>
    <row r="15" spans="1:36" ht="15.75" x14ac:dyDescent="0.25">
      <c r="A15" s="147"/>
      <c r="B15" s="2"/>
      <c r="C15" s="2"/>
      <c r="D15" s="2"/>
      <c r="E15" s="2"/>
      <c r="F15" s="2"/>
      <c r="G15" s="2"/>
      <c r="H15" s="67"/>
    </row>
    <row r="16" spans="1:36" ht="15.75" x14ac:dyDescent="0.25">
      <c r="A16" s="147"/>
      <c r="B16" s="2"/>
      <c r="C16" s="2"/>
      <c r="D16" s="2"/>
      <c r="E16" s="2"/>
      <c r="F16" s="2"/>
      <c r="G16" s="2"/>
      <c r="H16" s="67"/>
    </row>
    <row r="17" spans="1:30" ht="15.75" x14ac:dyDescent="0.25">
      <c r="A17" s="147"/>
      <c r="B17" s="2"/>
      <c r="C17" s="2"/>
      <c r="D17" s="2"/>
      <c r="E17" s="2"/>
      <c r="F17" s="2"/>
      <c r="G17" s="2"/>
      <c r="H17" s="67"/>
    </row>
    <row r="18" spans="1:30" ht="15.75" x14ac:dyDescent="0.25">
      <c r="A18" s="147"/>
      <c r="B18" s="2"/>
      <c r="C18" s="2"/>
      <c r="D18" s="2"/>
      <c r="E18" s="2"/>
      <c r="F18" s="2"/>
      <c r="G18" s="2"/>
      <c r="H18" s="67"/>
    </row>
    <row r="19" spans="1:30" ht="15.75" x14ac:dyDescent="0.25">
      <c r="A19" s="147"/>
      <c r="B19" s="2"/>
      <c r="C19" s="2"/>
      <c r="D19" s="2"/>
      <c r="E19" s="2"/>
      <c r="F19" s="2"/>
      <c r="G19" s="2"/>
      <c r="H19" s="67"/>
    </row>
    <row r="20" spans="1:30" ht="15.75" x14ac:dyDescent="0.25">
      <c r="A20" s="147"/>
      <c r="B20" s="2"/>
      <c r="C20" s="2"/>
      <c r="D20" s="2"/>
      <c r="E20" s="2"/>
      <c r="F20" s="2"/>
      <c r="G20" s="2"/>
      <c r="H20" s="67"/>
    </row>
    <row r="21" spans="1:30" ht="15.75" x14ac:dyDescent="0.25">
      <c r="A21" s="147"/>
      <c r="B21" s="2"/>
      <c r="C21" s="2"/>
      <c r="D21" s="2"/>
      <c r="E21" s="2"/>
      <c r="F21" s="2"/>
      <c r="G21" s="2"/>
      <c r="H21" s="67"/>
    </row>
    <row r="22" spans="1:30" ht="15.75" x14ac:dyDescent="0.25">
      <c r="A22" s="147"/>
      <c r="B22" s="2"/>
      <c r="C22" s="2"/>
      <c r="D22" s="2"/>
      <c r="E22" s="2"/>
      <c r="F22" s="2"/>
      <c r="G22" s="2"/>
      <c r="H22" s="67"/>
    </row>
    <row r="23" spans="1:30" ht="15.75" x14ac:dyDescent="0.25">
      <c r="A23" s="147"/>
      <c r="B23" s="2"/>
      <c r="C23" s="2"/>
      <c r="D23" s="2"/>
      <c r="E23" s="2"/>
      <c r="F23" s="2"/>
      <c r="G23" s="2"/>
      <c r="H23" s="67"/>
    </row>
    <row r="24" spans="1:30" ht="15.75" x14ac:dyDescent="0.25">
      <c r="A24" s="147"/>
      <c r="B24" s="2"/>
      <c r="C24" s="2"/>
      <c r="D24" s="2"/>
      <c r="E24" s="2"/>
      <c r="F24" s="2"/>
      <c r="G24" s="2"/>
      <c r="H24" s="67"/>
    </row>
    <row r="25" spans="1:30" ht="15.75" x14ac:dyDescent="0.25">
      <c r="A25" s="147"/>
      <c r="B25" s="2"/>
      <c r="C25" s="2"/>
      <c r="D25" s="2"/>
      <c r="E25" s="2"/>
      <c r="F25" s="2"/>
      <c r="G25" s="2"/>
      <c r="H25" s="67"/>
    </row>
    <row r="26" spans="1:30" ht="15.75" x14ac:dyDescent="0.25">
      <c r="A26" s="147"/>
      <c r="B26" s="2"/>
      <c r="C26" s="2"/>
      <c r="D26" s="2"/>
      <c r="E26" s="2"/>
      <c r="F26" s="2"/>
      <c r="G26" s="2"/>
      <c r="H26" s="67"/>
    </row>
    <row r="27" spans="1:30" ht="15.75" x14ac:dyDescent="0.25">
      <c r="A27" s="147"/>
      <c r="B27" s="2"/>
      <c r="C27" s="2"/>
      <c r="D27" s="2"/>
      <c r="E27" s="2"/>
      <c r="F27" s="2"/>
      <c r="G27" s="2"/>
      <c r="H27" s="67"/>
    </row>
    <row r="28" spans="1:30" ht="15.75" x14ac:dyDescent="0.25">
      <c r="A28" s="147"/>
      <c r="B28" s="2"/>
      <c r="C28" s="2"/>
      <c r="D28" s="2"/>
      <c r="E28" s="2"/>
      <c r="F28" s="2"/>
      <c r="G28" s="2"/>
      <c r="H28" s="67"/>
    </row>
    <row r="29" spans="1:30" ht="15.75" x14ac:dyDescent="0.25">
      <c r="A29" s="147"/>
      <c r="B29" s="2"/>
      <c r="C29" s="2"/>
      <c r="D29" s="2"/>
      <c r="E29" s="2"/>
      <c r="F29" s="2"/>
      <c r="G29" s="2"/>
      <c r="H29" s="67"/>
    </row>
    <row r="30" spans="1:30" ht="15.75" x14ac:dyDescent="0.25">
      <c r="A30" s="147"/>
      <c r="B30" s="2"/>
      <c r="C30" s="2"/>
      <c r="D30" s="2"/>
      <c r="E30" s="2"/>
      <c r="F30" s="2"/>
      <c r="G30" s="2"/>
      <c r="H30" s="67"/>
    </row>
    <row r="31" spans="1:30" ht="15.75" x14ac:dyDescent="0.25">
      <c r="A31" s="147"/>
      <c r="B31" s="2"/>
      <c r="C31" s="2"/>
      <c r="D31" s="2"/>
      <c r="E31" s="2"/>
      <c r="F31" s="2"/>
      <c r="G31" s="2"/>
      <c r="H31" s="67"/>
    </row>
    <row r="32" spans="1:30"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2024</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ht="15.75" x14ac:dyDescent="0.25">
      <c r="A33" s="147"/>
      <c r="B33" s="2"/>
      <c r="C33" s="2"/>
      <c r="D33" s="2"/>
      <c r="E33" s="2"/>
      <c r="F33" s="2"/>
      <c r="G33" s="2"/>
      <c r="H33" s="67"/>
    </row>
    <row r="34" spans="1:8" ht="15.75" x14ac:dyDescent="0.25">
      <c r="A34" s="147"/>
      <c r="B34" s="2"/>
      <c r="C34" s="2"/>
      <c r="D34" s="2"/>
      <c r="E34" s="2"/>
      <c r="F34" s="2"/>
      <c r="G34" s="2"/>
      <c r="H34" s="67"/>
    </row>
    <row r="35" spans="1:8" ht="15.75" x14ac:dyDescent="0.25">
      <c r="A35" s="147"/>
      <c r="B35" s="2"/>
      <c r="C35" s="2"/>
      <c r="D35" s="2"/>
      <c r="E35" s="2"/>
      <c r="F35" s="2"/>
      <c r="G35" s="2"/>
      <c r="H35" s="67"/>
    </row>
    <row r="36" spans="1:8" ht="15.75" x14ac:dyDescent="0.25">
      <c r="A36" s="147"/>
      <c r="B36" s="2"/>
      <c r="C36" s="2"/>
      <c r="D36" s="2"/>
      <c r="E36" s="2"/>
      <c r="F36" s="2"/>
      <c r="G36" s="2"/>
      <c r="H36" s="67"/>
    </row>
    <row r="37" spans="1:8" x14ac:dyDescent="0.2">
      <c r="A37" s="47"/>
      <c r="B37" s="48"/>
      <c r="C37" s="49"/>
      <c r="D37" s="49"/>
      <c r="E37" s="49"/>
      <c r="F37" s="49"/>
      <c r="G37" s="50"/>
      <c r="H37" s="51"/>
    </row>
    <row r="38" spans="1:8" x14ac:dyDescent="0.2">
      <c r="A38" s="47"/>
      <c r="B38" s="48"/>
      <c r="C38" s="49"/>
      <c r="D38" s="49"/>
      <c r="E38" s="49"/>
      <c r="F38" s="49"/>
      <c r="G38" s="50"/>
      <c r="H38" s="51"/>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36" x14ac:dyDescent="0.2">
      <c r="A49" s="47"/>
      <c r="B49" s="48"/>
      <c r="C49" s="49"/>
      <c r="D49" s="49"/>
      <c r="E49" s="97"/>
      <c r="F49" s="49"/>
      <c r="G49" s="50"/>
      <c r="H49" s="51"/>
    </row>
    <row r="50" spans="1:36" x14ac:dyDescent="0.2">
      <c r="A50" s="47"/>
      <c r="B50" s="48"/>
      <c r="C50" s="49"/>
      <c r="D50" s="49"/>
      <c r="E50" s="49"/>
      <c r="F50" s="49"/>
      <c r="G50" s="50"/>
      <c r="H50" s="51"/>
    </row>
    <row r="51" spans="1:36" x14ac:dyDescent="0.2">
      <c r="A51" s="47"/>
      <c r="B51" s="48"/>
      <c r="C51" s="49"/>
      <c r="D51" s="49"/>
      <c r="E51" s="49"/>
      <c r="F51" s="49"/>
      <c r="G51" s="50"/>
      <c r="H51" s="51"/>
    </row>
    <row r="52" spans="1:36" x14ac:dyDescent="0.2">
      <c r="A52" s="47"/>
      <c r="B52" s="48"/>
      <c r="C52" s="49"/>
      <c r="D52" s="49"/>
      <c r="E52" s="49"/>
      <c r="F52" s="49"/>
      <c r="G52" s="50"/>
      <c r="H52" s="51"/>
    </row>
    <row r="53" spans="1:36" x14ac:dyDescent="0.2">
      <c r="A53" s="47"/>
      <c r="B53" s="48"/>
      <c r="C53" s="49"/>
      <c r="D53" s="49"/>
      <c r="E53" s="49"/>
      <c r="F53" s="49"/>
      <c r="G53" s="50"/>
      <c r="H53" s="51"/>
    </row>
    <row r="54" spans="1:36" x14ac:dyDescent="0.2">
      <c r="A54" s="47"/>
      <c r="B54" s="48"/>
      <c r="C54" s="49"/>
      <c r="D54" s="49"/>
      <c r="E54" s="49"/>
      <c r="F54" s="49"/>
      <c r="G54" s="50"/>
      <c r="H54" s="51"/>
    </row>
    <row r="55" spans="1:36" x14ac:dyDescent="0.2">
      <c r="A55" s="47"/>
      <c r="B55" s="48"/>
      <c r="C55" s="49"/>
      <c r="D55" s="49"/>
      <c r="E55" s="49"/>
      <c r="F55" s="49"/>
      <c r="G55" s="50"/>
      <c r="H55" s="51"/>
    </row>
    <row r="56" spans="1:36" x14ac:dyDescent="0.2">
      <c r="A56" s="47"/>
      <c r="B56" s="48"/>
      <c r="C56" s="49"/>
      <c r="D56" s="49"/>
      <c r="E56" s="49"/>
      <c r="F56" s="49"/>
      <c r="G56" s="50"/>
      <c r="H56" s="51"/>
    </row>
    <row r="57" spans="1:36" x14ac:dyDescent="0.2">
      <c r="A57" s="47"/>
      <c r="B57" s="48"/>
      <c r="C57" s="49"/>
      <c r="D57" s="49"/>
      <c r="E57" s="49"/>
      <c r="F57" s="49"/>
      <c r="G57" s="50"/>
      <c r="H57" s="51"/>
    </row>
    <row r="58" spans="1:36" x14ac:dyDescent="0.2">
      <c r="A58" s="47"/>
      <c r="B58" s="48"/>
      <c r="C58" s="49"/>
      <c r="D58" s="49"/>
      <c r="E58" s="49"/>
      <c r="F58" s="49"/>
      <c r="G58" s="50"/>
      <c r="H58" s="51"/>
    </row>
    <row r="59" spans="1:36" x14ac:dyDescent="0.2">
      <c r="A59" s="47"/>
      <c r="B59" s="48"/>
      <c r="C59" s="49"/>
      <c r="D59" s="49"/>
      <c r="E59" s="49"/>
      <c r="F59" s="49"/>
      <c r="G59" s="50"/>
      <c r="H59" s="51"/>
    </row>
    <row r="60" spans="1:36"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
      <c r="A61" s="54" t="str">
        <f>+Innhold!B123</f>
        <v>Finans Norge / Skadeforsikringsstatistikk</v>
      </c>
      <c r="H61" s="200">
        <v>4</v>
      </c>
      <c r="I61" s="54" t="str">
        <f>+Innhold!B123</f>
        <v>Finans Norge / Skadeforsikringsstatistikk</v>
      </c>
      <c r="O61" s="200">
        <v>5</v>
      </c>
      <c r="P61" s="54" t="str">
        <f>+Innhold!B123</f>
        <v>Finans Norge / Skadeforsikringsstatistikk</v>
      </c>
      <c r="V61" s="200">
        <v>6</v>
      </c>
      <c r="W61" s="54" t="str">
        <f>+Innhold!B123</f>
        <v>Finans Norge / Skadeforsikringsstatistikk</v>
      </c>
      <c r="AC61" s="200">
        <v>7</v>
      </c>
      <c r="AD61" s="54" t="str">
        <f>+Innhold!B123</f>
        <v>Finans Norge / Skadeforsikringsstatistikk</v>
      </c>
      <c r="AJ61" s="200">
        <v>8</v>
      </c>
    </row>
    <row r="62" spans="1:36" x14ac:dyDescent="0.2">
      <c r="A62" s="54" t="str">
        <f>+Innhold!B124</f>
        <v>Skadestatistikk for landbasert forsikring 1. kvartal 2024</v>
      </c>
      <c r="H62" s="201"/>
      <c r="I62" s="54" t="str">
        <f>+Innhold!B124</f>
        <v>Skadestatistikk for landbasert forsikring 1. kvartal 2024</v>
      </c>
      <c r="O62" s="201"/>
      <c r="P62" s="54" t="str">
        <f>+Innhold!B124</f>
        <v>Skadestatistikk for landbasert forsikring 1. kvartal 2024</v>
      </c>
      <c r="V62" s="201"/>
      <c r="W62" s="54" t="str">
        <f>+Innhold!B124</f>
        <v>Skadestatistikk for landbasert forsikring 1. kvartal 2024</v>
      </c>
      <c r="AC62" s="201"/>
      <c r="AD62" s="54" t="str">
        <f>+Innhold!B124</f>
        <v>Skadestatistikk for landbasert forsikring 1. kvartal 2024</v>
      </c>
      <c r="AJ62" s="201"/>
    </row>
    <row r="63" spans="1:36" x14ac:dyDescent="0.2">
      <c r="A63" s="168"/>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row>
    <row r="64" spans="1:36" x14ac:dyDescent="0.2">
      <c r="A64" s="168"/>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row>
    <row r="65" spans="1:36" x14ac:dyDescent="0.2">
      <c r="A65" s="168"/>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row>
    <row r="66" spans="1:36" x14ac:dyDescent="0.2">
      <c r="A66" s="168"/>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row>
    <row r="67" spans="1:36" ht="12.75" customHeight="1" x14ac:dyDescent="0.2">
      <c r="A67" s="168"/>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row>
    <row r="68" spans="1:36" ht="12.75" customHeight="1" x14ac:dyDescent="0.2">
      <c r="A68" s="168"/>
      <c r="B68" s="168"/>
      <c r="C68" s="168"/>
      <c r="D68" s="168"/>
      <c r="E68" s="168"/>
      <c r="F68" s="168"/>
      <c r="G68" s="168"/>
      <c r="H68" s="168"/>
      <c r="I68" s="168"/>
      <c r="J68" s="168"/>
      <c r="K68" s="168"/>
      <c r="L68" s="168"/>
      <c r="M68" s="169" t="s">
        <v>177</v>
      </c>
      <c r="N68" s="168"/>
      <c r="O68" s="168"/>
      <c r="P68" s="169" t="s">
        <v>179</v>
      </c>
      <c r="Q68" s="168"/>
      <c r="R68" s="168"/>
      <c r="S68" s="169" t="s">
        <v>178</v>
      </c>
      <c r="T68" s="168"/>
      <c r="U68" s="168"/>
      <c r="V68" s="168"/>
      <c r="W68" s="168"/>
      <c r="X68" s="168"/>
      <c r="Y68" s="168"/>
      <c r="Z68" s="168"/>
      <c r="AA68" s="168"/>
      <c r="AB68" s="168"/>
      <c r="AC68" s="168"/>
      <c r="AD68" s="168"/>
      <c r="AE68" s="168"/>
      <c r="AF68" s="168"/>
      <c r="AG68" s="168"/>
      <c r="AH68" s="168"/>
      <c r="AI68" s="168"/>
      <c r="AJ68" s="168"/>
    </row>
    <row r="69" spans="1:36" x14ac:dyDescent="0.2">
      <c r="A69" s="170" t="s">
        <v>183</v>
      </c>
      <c r="B69" s="171"/>
      <c r="C69" s="171"/>
      <c r="D69" s="171" t="s">
        <v>74</v>
      </c>
      <c r="E69" s="171"/>
      <c r="F69" s="171"/>
      <c r="G69" s="171"/>
      <c r="H69" s="170"/>
      <c r="I69" s="172">
        <v>154.90750000000003</v>
      </c>
      <c r="J69" s="173" t="s">
        <v>231</v>
      </c>
      <c r="K69" s="168"/>
      <c r="L69" s="168"/>
      <c r="M69" s="169" t="s">
        <v>161</v>
      </c>
      <c r="N69" s="168"/>
      <c r="O69" s="168"/>
      <c r="P69" s="169" t="s">
        <v>175</v>
      </c>
      <c r="Q69" s="168"/>
      <c r="R69" s="168"/>
      <c r="S69" s="169" t="s">
        <v>176</v>
      </c>
      <c r="T69" s="168"/>
      <c r="U69" s="168"/>
      <c r="V69" s="170" t="s">
        <v>184</v>
      </c>
      <c r="W69" s="171"/>
      <c r="X69" s="171"/>
      <c r="Y69" s="171"/>
      <c r="Z69" s="171"/>
      <c r="AA69" s="168"/>
      <c r="AB69" s="168"/>
      <c r="AC69" s="168"/>
      <c r="AD69" s="168"/>
      <c r="AE69" s="168"/>
      <c r="AF69" s="168"/>
      <c r="AG69" s="168"/>
      <c r="AH69" s="168"/>
      <c r="AI69" s="168"/>
      <c r="AJ69" s="168"/>
    </row>
    <row r="70" spans="1:36" x14ac:dyDescent="0.2">
      <c r="A70" s="171" t="s">
        <v>75</v>
      </c>
      <c r="B70" s="171" t="s">
        <v>76</v>
      </c>
      <c r="C70" s="171" t="s">
        <v>26</v>
      </c>
      <c r="D70" s="171" t="s">
        <v>77</v>
      </c>
      <c r="E70" s="171"/>
      <c r="F70" s="171"/>
      <c r="G70" s="171"/>
      <c r="H70" s="168"/>
      <c r="I70" s="174" t="s">
        <v>159</v>
      </c>
      <c r="J70" s="168" t="s">
        <v>229</v>
      </c>
      <c r="K70" s="174" t="s">
        <v>76</v>
      </c>
      <c r="L70" s="174" t="s">
        <v>108</v>
      </c>
      <c r="M70" s="174" t="s">
        <v>157</v>
      </c>
      <c r="N70" s="174" t="s">
        <v>158</v>
      </c>
      <c r="O70" s="174" t="s">
        <v>108</v>
      </c>
      <c r="P70" s="174" t="s">
        <v>157</v>
      </c>
      <c r="Q70" s="174" t="s">
        <v>158</v>
      </c>
      <c r="R70" s="174" t="s">
        <v>108</v>
      </c>
      <c r="S70" s="174" t="s">
        <v>157</v>
      </c>
      <c r="T70" s="174" t="s">
        <v>158</v>
      </c>
      <c r="U70" s="168"/>
      <c r="V70" s="171" t="s">
        <v>81</v>
      </c>
      <c r="W70" s="171"/>
      <c r="X70" s="175" t="str">
        <f>+'Tab3'!C6</f>
        <v>2022</v>
      </c>
      <c r="Y70" s="175" t="str">
        <f>+'Tab3'!D6</f>
        <v>2023</v>
      </c>
      <c r="Z70" s="175" t="str">
        <f>+'Tab3'!E6</f>
        <v>2024</v>
      </c>
      <c r="AA70" s="168"/>
      <c r="AB70" s="168"/>
      <c r="AC70" s="168"/>
      <c r="AD70" s="168"/>
      <c r="AE70" s="168"/>
      <c r="AF70" s="168"/>
      <c r="AG70" s="168"/>
      <c r="AH70" s="168"/>
      <c r="AI70" s="168"/>
      <c r="AJ70" s="168"/>
    </row>
    <row r="71" spans="1:36" x14ac:dyDescent="0.2">
      <c r="A71" s="171">
        <v>1</v>
      </c>
      <c r="B71" s="171">
        <v>1983</v>
      </c>
      <c r="C71" s="171">
        <v>97</v>
      </c>
      <c r="D71" s="171">
        <v>78.3</v>
      </c>
      <c r="E71" s="171"/>
      <c r="F71" s="171"/>
      <c r="G71" s="171"/>
      <c r="H71" s="168"/>
      <c r="I71" s="176">
        <v>53.8</v>
      </c>
      <c r="J71" s="168">
        <v>1</v>
      </c>
      <c r="K71" s="168">
        <v>1983</v>
      </c>
      <c r="L71" s="177">
        <v>11621</v>
      </c>
      <c r="M71" s="176">
        <v>80.900000000000006</v>
      </c>
      <c r="N71" s="176">
        <f t="shared" ref="N71:N102" si="0">M71/I71*$I$69</f>
        <v>232.93711431226771</v>
      </c>
      <c r="O71" s="168"/>
      <c r="P71" s="168"/>
      <c r="Q71" s="168"/>
      <c r="R71" s="168"/>
      <c r="S71" s="168"/>
      <c r="T71" s="168"/>
      <c r="U71" s="168"/>
      <c r="V71" s="171"/>
      <c r="W71" s="171"/>
      <c r="X71" s="171"/>
      <c r="Y71" s="171"/>
      <c r="Z71" s="171"/>
      <c r="AA71" s="168"/>
      <c r="AB71" s="168"/>
      <c r="AC71" s="168"/>
      <c r="AD71" s="168"/>
      <c r="AE71" s="168"/>
      <c r="AF71" s="168"/>
      <c r="AG71" s="168"/>
      <c r="AH71" s="168"/>
      <c r="AI71" s="168"/>
      <c r="AJ71" s="168"/>
    </row>
    <row r="72" spans="1:36" x14ac:dyDescent="0.2">
      <c r="A72" s="171">
        <v>2</v>
      </c>
      <c r="B72" s="171"/>
      <c r="C72" s="171">
        <v>78.8</v>
      </c>
      <c r="D72" s="171">
        <v>61.3</v>
      </c>
      <c r="E72" s="171"/>
      <c r="F72" s="171"/>
      <c r="G72" s="171"/>
      <c r="H72" s="168"/>
      <c r="I72" s="176">
        <v>54.7</v>
      </c>
      <c r="J72" s="168">
        <v>2</v>
      </c>
      <c r="K72" s="168"/>
      <c r="L72" s="177">
        <v>11120</v>
      </c>
      <c r="M72" s="176">
        <v>68.900000000000006</v>
      </c>
      <c r="N72" s="176">
        <f t="shared" si="0"/>
        <v>195.12114716636202</v>
      </c>
      <c r="O72" s="168"/>
      <c r="P72" s="168"/>
      <c r="Q72" s="168"/>
      <c r="R72" s="168"/>
      <c r="S72" s="168"/>
      <c r="T72" s="168"/>
      <c r="U72" s="168"/>
      <c r="V72" s="171" t="s">
        <v>26</v>
      </c>
      <c r="W72" s="171"/>
      <c r="X72" s="178">
        <f>IF('Tab6'!C36="",'Tab6'!C35,'Tab6'!C36)</f>
        <v>4836.7416705058095</v>
      </c>
      <c r="Y72" s="178">
        <f>IF('Tab6'!D36="",'Tab6'!D35,'Tab6'!D36)</f>
        <v>5502.865890113907</v>
      </c>
      <c r="Z72" s="178">
        <f>IF('Tab6'!E36="",'Tab6'!E35,'Tab6'!E36)</f>
        <v>6897.2338808247232</v>
      </c>
      <c r="AA72" s="168"/>
      <c r="AB72" s="168"/>
      <c r="AC72" s="168"/>
      <c r="AD72" s="168"/>
      <c r="AE72" s="168"/>
      <c r="AF72" s="168"/>
      <c r="AG72" s="168"/>
      <c r="AH72" s="168"/>
      <c r="AI72" s="168"/>
      <c r="AJ72" s="168"/>
    </row>
    <row r="73" spans="1:36" x14ac:dyDescent="0.2">
      <c r="A73" s="171">
        <v>3</v>
      </c>
      <c r="B73" s="171"/>
      <c r="C73" s="171">
        <v>84.8</v>
      </c>
      <c r="D73" s="171">
        <v>63</v>
      </c>
      <c r="E73" s="171"/>
      <c r="F73" s="171"/>
      <c r="G73" s="171"/>
      <c r="H73" s="168"/>
      <c r="I73" s="176">
        <v>55.3</v>
      </c>
      <c r="J73" s="168">
        <v>3</v>
      </c>
      <c r="K73" s="168"/>
      <c r="L73" s="177">
        <v>11918</v>
      </c>
      <c r="M73" s="176">
        <v>63.7</v>
      </c>
      <c r="N73" s="176">
        <f t="shared" si="0"/>
        <v>178.43775316455702</v>
      </c>
      <c r="O73" s="168"/>
      <c r="P73" s="168"/>
      <c r="Q73" s="168"/>
      <c r="R73" s="168"/>
      <c r="S73" s="168"/>
      <c r="T73" s="168"/>
      <c r="U73" s="168"/>
      <c r="V73" s="171"/>
      <c r="W73" s="171"/>
      <c r="X73" s="178"/>
      <c r="Y73" s="178"/>
      <c r="Z73" s="178"/>
      <c r="AA73" s="168"/>
      <c r="AB73" s="168"/>
      <c r="AC73" s="168"/>
      <c r="AD73" s="168"/>
      <c r="AE73" s="168"/>
      <c r="AF73" s="168"/>
      <c r="AG73" s="168"/>
      <c r="AH73" s="168"/>
      <c r="AI73" s="168"/>
      <c r="AJ73" s="168"/>
    </row>
    <row r="74" spans="1:36" x14ac:dyDescent="0.2">
      <c r="A74" s="171">
        <v>4</v>
      </c>
      <c r="B74" s="171"/>
      <c r="C74" s="171">
        <v>91.2</v>
      </c>
      <c r="D74" s="171">
        <v>70.8</v>
      </c>
      <c r="E74" s="171"/>
      <c r="F74" s="171"/>
      <c r="G74" s="171"/>
      <c r="H74" s="168"/>
      <c r="I74" s="176">
        <v>56.2</v>
      </c>
      <c r="J74" s="168">
        <v>4</v>
      </c>
      <c r="K74" s="168"/>
      <c r="L74" s="177">
        <v>11905</v>
      </c>
      <c r="M74" s="176">
        <v>79.3</v>
      </c>
      <c r="N74" s="176">
        <f t="shared" si="0"/>
        <v>218.57944395017796</v>
      </c>
      <c r="O74" s="168"/>
      <c r="P74" s="168"/>
      <c r="Q74" s="168"/>
      <c r="R74" s="168"/>
      <c r="S74" s="168"/>
      <c r="T74" s="168"/>
      <c r="U74" s="168"/>
      <c r="V74" s="171" t="s">
        <v>63</v>
      </c>
      <c r="W74" s="171"/>
      <c r="X74" s="178">
        <f>IF('Tab6'!C36="",'Tab6'!C45+'Tab6'!C47,'Tab6'!C46+'Tab6'!C48)</f>
        <v>39.837669286281852</v>
      </c>
      <c r="Y74" s="178">
        <f>IF('Tab6'!D36="",'Tab6'!D45+'Tab6'!D47,'Tab6'!D46+'Tab6'!D48)</f>
        <v>47.476768661491946</v>
      </c>
      <c r="Z74" s="178">
        <f>IF('Tab6'!E36="",'Tab6'!E45+'Tab6'!E47,'Tab6'!E46+'Tab6'!E48)</f>
        <v>77.624035555218768</v>
      </c>
      <c r="AA74" s="168"/>
      <c r="AB74" s="168"/>
      <c r="AC74" s="168"/>
      <c r="AD74" s="168"/>
      <c r="AE74" s="168"/>
      <c r="AF74" s="168"/>
      <c r="AG74" s="168"/>
      <c r="AH74" s="168"/>
      <c r="AI74" s="168"/>
      <c r="AJ74" s="168"/>
    </row>
    <row r="75" spans="1:36" x14ac:dyDescent="0.2">
      <c r="A75" s="171">
        <v>1</v>
      </c>
      <c r="B75" s="171">
        <v>1984</v>
      </c>
      <c r="C75" s="171">
        <v>112.2</v>
      </c>
      <c r="D75" s="171">
        <v>90.4</v>
      </c>
      <c r="E75" s="171"/>
      <c r="F75" s="171"/>
      <c r="G75" s="171"/>
      <c r="H75" s="168"/>
      <c r="I75" s="176">
        <v>57.3</v>
      </c>
      <c r="J75" s="168">
        <v>1</v>
      </c>
      <c r="K75" s="168">
        <v>1984</v>
      </c>
      <c r="L75" s="177">
        <v>13205</v>
      </c>
      <c r="M75" s="176">
        <v>86.7</v>
      </c>
      <c r="N75" s="176">
        <f t="shared" si="0"/>
        <v>234.3888350785341</v>
      </c>
      <c r="O75" s="168"/>
      <c r="P75" s="168"/>
      <c r="Q75" s="168"/>
      <c r="R75" s="168"/>
      <c r="S75" s="168"/>
      <c r="T75" s="168"/>
      <c r="U75" s="168"/>
      <c r="V75" s="171" t="s">
        <v>39</v>
      </c>
      <c r="W75" s="171"/>
      <c r="X75" s="178">
        <f>IF('Tab6'!C36="",'Tab6'!C49,'Tab6'!C50)</f>
        <v>409.60663645313161</v>
      </c>
      <c r="Y75" s="178">
        <f>IF('Tab6'!D36="",'Tab6'!D49,'Tab6'!D50)</f>
        <v>478.46245091077117</v>
      </c>
      <c r="Z75" s="178">
        <f>IF('Tab6'!E36="",'Tab6'!E49,'Tab6'!E50)</f>
        <v>533.56324206124907</v>
      </c>
      <c r="AA75" s="168"/>
      <c r="AB75" s="168"/>
      <c r="AC75" s="168"/>
      <c r="AD75" s="168"/>
      <c r="AE75" s="168"/>
      <c r="AF75" s="168"/>
      <c r="AG75" s="168"/>
      <c r="AH75" s="168"/>
      <c r="AI75" s="168"/>
      <c r="AJ75" s="168"/>
    </row>
    <row r="76" spans="1:36" x14ac:dyDescent="0.2">
      <c r="A76" s="171">
        <v>2</v>
      </c>
      <c r="B76" s="171"/>
      <c r="C76" s="171">
        <v>81.8</v>
      </c>
      <c r="D76" s="171">
        <v>64.400000000000006</v>
      </c>
      <c r="E76" s="171"/>
      <c r="F76" s="171"/>
      <c r="G76" s="171"/>
      <c r="H76" s="168"/>
      <c r="I76" s="176">
        <v>58.2</v>
      </c>
      <c r="J76" s="168">
        <v>2</v>
      </c>
      <c r="K76" s="168"/>
      <c r="L76" s="177">
        <v>12453</v>
      </c>
      <c r="M76" s="176">
        <v>83.3</v>
      </c>
      <c r="N76" s="176">
        <f t="shared" si="0"/>
        <v>221.71468642611686</v>
      </c>
      <c r="O76" s="168"/>
      <c r="P76" s="168"/>
      <c r="Q76" s="168"/>
      <c r="R76" s="168"/>
      <c r="S76" s="168"/>
      <c r="T76" s="168"/>
      <c r="U76" s="168"/>
      <c r="V76" s="171" t="s">
        <v>18</v>
      </c>
      <c r="W76" s="171"/>
      <c r="X76" s="178">
        <f>IF('Tab6'!C36="",'Tab6'!C43,'Tab6'!C44)</f>
        <v>65.318115641068118</v>
      </c>
      <c r="Y76" s="178">
        <f>IF('Tab6'!D36="",'Tab6'!D43,'Tab6'!D44)</f>
        <v>63.001375513191135</v>
      </c>
      <c r="Z76" s="178">
        <f>IF('Tab6'!E36="",'Tab6'!E43,'Tab6'!E44)</f>
        <v>96.625680848188594</v>
      </c>
      <c r="AA76" s="168"/>
      <c r="AB76" s="168"/>
      <c r="AC76" s="168"/>
      <c r="AD76" s="168"/>
      <c r="AE76" s="168"/>
      <c r="AF76" s="168"/>
      <c r="AG76" s="168"/>
      <c r="AH76" s="168"/>
      <c r="AI76" s="168"/>
      <c r="AJ76" s="168"/>
    </row>
    <row r="77" spans="1:36" x14ac:dyDescent="0.2">
      <c r="A77" s="171">
        <v>3</v>
      </c>
      <c r="B77" s="171"/>
      <c r="C77" s="171">
        <v>90.4</v>
      </c>
      <c r="D77" s="171">
        <v>71.099999999999994</v>
      </c>
      <c r="E77" s="171"/>
      <c r="F77" s="171"/>
      <c r="G77" s="171"/>
      <c r="H77" s="168"/>
      <c r="I77" s="176">
        <v>58.7</v>
      </c>
      <c r="J77" s="168">
        <v>3</v>
      </c>
      <c r="K77" s="168"/>
      <c r="L77" s="177">
        <v>12278</v>
      </c>
      <c r="M77" s="176">
        <v>83.3</v>
      </c>
      <c r="N77" s="176">
        <f t="shared" si="0"/>
        <v>219.82614565587735</v>
      </c>
      <c r="O77" s="168"/>
      <c r="P77" s="168"/>
      <c r="Q77" s="168"/>
      <c r="R77" s="168"/>
      <c r="S77" s="168"/>
      <c r="T77" s="168"/>
      <c r="U77" s="168"/>
      <c r="V77" s="171" t="s">
        <v>82</v>
      </c>
      <c r="W77" s="171"/>
      <c r="X77" s="178">
        <f>IF('Tab6'!C36="",'Tab6'!C37+'Tab6'!C39,'Tab6'!C38+'Tab6'!C40)</f>
        <v>487.67491097650395</v>
      </c>
      <c r="Y77" s="178">
        <f>IF('Tab6'!D36="",'Tab6'!D37+'Tab6'!D39,'Tab6'!D38+'Tab6'!D40)</f>
        <v>519.77764064758696</v>
      </c>
      <c r="Z77" s="178">
        <f>IF('Tab6'!E36="",'Tab6'!E37+'Tab6'!E39,'Tab6'!E38+'Tab6'!E40)</f>
        <v>706.64607784801251</v>
      </c>
      <c r="AA77" s="168"/>
      <c r="AB77" s="168"/>
      <c r="AC77" s="168"/>
      <c r="AD77" s="168"/>
      <c r="AE77" s="168"/>
      <c r="AF77" s="168"/>
      <c r="AG77" s="168"/>
      <c r="AH77" s="168"/>
      <c r="AI77" s="168"/>
      <c r="AJ77" s="168"/>
    </row>
    <row r="78" spans="1:36" x14ac:dyDescent="0.2">
      <c r="A78" s="171">
        <v>4</v>
      </c>
      <c r="B78" s="171"/>
      <c r="C78" s="171">
        <v>92.9</v>
      </c>
      <c r="D78" s="171">
        <v>73.900000000000006</v>
      </c>
      <c r="E78" s="171"/>
      <c r="F78" s="171"/>
      <c r="G78" s="171"/>
      <c r="H78" s="168"/>
      <c r="I78" s="176">
        <v>59.6</v>
      </c>
      <c r="J78" s="168">
        <v>4</v>
      </c>
      <c r="K78" s="168"/>
      <c r="L78" s="177">
        <v>11449</v>
      </c>
      <c r="M78" s="176">
        <v>94.6</v>
      </c>
      <c r="N78" s="176">
        <f t="shared" si="0"/>
        <v>245.87666946308727</v>
      </c>
      <c r="O78" s="168"/>
      <c r="P78" s="168"/>
      <c r="Q78" s="168"/>
      <c r="R78" s="168"/>
      <c r="S78" s="168"/>
      <c r="T78" s="168"/>
      <c r="U78" s="168"/>
      <c r="V78" s="171" t="s">
        <v>83</v>
      </c>
      <c r="W78" s="171"/>
      <c r="X78" s="179">
        <f>X72-X77-X76-X75-X74</f>
        <v>3834.3043381488237</v>
      </c>
      <c r="Y78" s="179">
        <f>Y72-Y77-Y76-Y75-Y74</f>
        <v>4394.1476543808658</v>
      </c>
      <c r="Z78" s="179">
        <f>Z72-Z77-Z76-Z75-Z74</f>
        <v>5482.7748445120542</v>
      </c>
      <c r="AA78" s="168"/>
      <c r="AB78" s="168"/>
      <c r="AC78" s="168"/>
      <c r="AD78" s="168"/>
      <c r="AE78" s="168"/>
      <c r="AF78" s="168"/>
      <c r="AG78" s="168"/>
      <c r="AH78" s="168"/>
      <c r="AI78" s="168"/>
      <c r="AJ78" s="168"/>
    </row>
    <row r="79" spans="1:36" x14ac:dyDescent="0.2">
      <c r="A79" s="171">
        <v>1</v>
      </c>
      <c r="B79" s="171">
        <v>1985</v>
      </c>
      <c r="C79" s="171">
        <v>123.4</v>
      </c>
      <c r="D79" s="171">
        <v>100.8</v>
      </c>
      <c r="E79" s="171"/>
      <c r="F79" s="171"/>
      <c r="G79" s="171"/>
      <c r="H79" s="168"/>
      <c r="I79" s="176">
        <v>60.4</v>
      </c>
      <c r="J79" s="168">
        <v>1</v>
      </c>
      <c r="K79" s="168">
        <v>1985</v>
      </c>
      <c r="L79" s="177">
        <v>16918</v>
      </c>
      <c r="M79" s="176">
        <v>103.6</v>
      </c>
      <c r="N79" s="176">
        <f t="shared" si="0"/>
        <v>265.70226821192057</v>
      </c>
      <c r="O79" s="168"/>
      <c r="P79" s="168"/>
      <c r="Q79" s="168"/>
      <c r="R79" s="168"/>
      <c r="S79" s="168"/>
      <c r="T79" s="168"/>
      <c r="U79" s="168"/>
      <c r="V79" s="171"/>
      <c r="W79" s="171"/>
      <c r="X79" s="171"/>
      <c r="Y79" s="171"/>
      <c r="Z79" s="171"/>
      <c r="AA79" s="168"/>
      <c r="AB79" s="168"/>
      <c r="AC79" s="168"/>
      <c r="AD79" s="168"/>
      <c r="AE79" s="168"/>
      <c r="AF79" s="168"/>
      <c r="AG79" s="168"/>
      <c r="AH79" s="168"/>
      <c r="AI79" s="168"/>
      <c r="AJ79" s="168"/>
    </row>
    <row r="80" spans="1:36" x14ac:dyDescent="0.2">
      <c r="A80" s="171">
        <v>2</v>
      </c>
      <c r="B80" s="171"/>
      <c r="C80" s="171">
        <v>102</v>
      </c>
      <c r="D80" s="171">
        <v>81.099999999999994</v>
      </c>
      <c r="E80" s="171"/>
      <c r="F80" s="171"/>
      <c r="G80" s="171"/>
      <c r="H80" s="168"/>
      <c r="I80" s="176">
        <v>61.5</v>
      </c>
      <c r="J80" s="168">
        <v>2</v>
      </c>
      <c r="K80" s="168"/>
      <c r="L80" s="177">
        <v>14237</v>
      </c>
      <c r="M80" s="176">
        <v>115.3</v>
      </c>
      <c r="N80" s="176">
        <f t="shared" si="0"/>
        <v>290.4200772357724</v>
      </c>
      <c r="O80" s="168"/>
      <c r="P80" s="168"/>
      <c r="Q80" s="168"/>
      <c r="R80" s="168"/>
      <c r="S80" s="168"/>
      <c r="T80" s="168"/>
      <c r="U80" s="168"/>
      <c r="V80" s="170" t="s">
        <v>162</v>
      </c>
      <c r="W80" s="171"/>
      <c r="X80" s="171"/>
      <c r="Y80" s="171"/>
      <c r="Z80" s="168"/>
      <c r="AA80" s="168"/>
      <c r="AB80" s="168"/>
      <c r="AC80" s="168"/>
      <c r="AD80" s="168"/>
      <c r="AE80" s="168"/>
      <c r="AF80" s="168"/>
      <c r="AG80" s="168"/>
      <c r="AH80" s="168"/>
      <c r="AI80" s="168"/>
      <c r="AJ80" s="168"/>
    </row>
    <row r="81" spans="1:36" x14ac:dyDescent="0.2">
      <c r="A81" s="171">
        <v>3</v>
      </c>
      <c r="B81" s="171"/>
      <c r="C81" s="171">
        <v>108.4</v>
      </c>
      <c r="D81" s="171">
        <v>86</v>
      </c>
      <c r="E81" s="171"/>
      <c r="F81" s="171"/>
      <c r="G81" s="171"/>
      <c r="H81" s="168"/>
      <c r="I81" s="176">
        <v>62</v>
      </c>
      <c r="J81" s="168">
        <v>3</v>
      </c>
      <c r="K81" s="168"/>
      <c r="L81" s="177">
        <v>14329</v>
      </c>
      <c r="M81" s="176">
        <v>103</v>
      </c>
      <c r="N81" s="176">
        <f t="shared" si="0"/>
        <v>257.34633064516134</v>
      </c>
      <c r="O81" s="168"/>
      <c r="P81" s="168"/>
      <c r="Q81" s="168"/>
      <c r="R81" s="168"/>
      <c r="S81" s="168"/>
      <c r="T81" s="168"/>
      <c r="U81" s="168"/>
      <c r="V81" s="171"/>
      <c r="W81" s="171"/>
      <c r="X81" s="171"/>
      <c r="Y81" s="171"/>
      <c r="Z81" s="168"/>
      <c r="AA81" s="168"/>
      <c r="AB81" s="168"/>
      <c r="AC81" s="168"/>
      <c r="AD81" s="168"/>
      <c r="AE81" s="168"/>
      <c r="AF81" s="168"/>
      <c r="AG81" s="168"/>
      <c r="AH81" s="168"/>
      <c r="AI81" s="168"/>
      <c r="AJ81" s="168"/>
    </row>
    <row r="82" spans="1:36" x14ac:dyDescent="0.2">
      <c r="A82" s="171">
        <v>4</v>
      </c>
      <c r="B82" s="171"/>
      <c r="C82" s="171">
        <v>109.6</v>
      </c>
      <c r="D82" s="171">
        <v>87.1</v>
      </c>
      <c r="E82" s="171"/>
      <c r="F82" s="171"/>
      <c r="G82" s="171"/>
      <c r="H82" s="168"/>
      <c r="I82" s="176">
        <v>63</v>
      </c>
      <c r="J82" s="168">
        <v>4</v>
      </c>
      <c r="K82" s="168"/>
      <c r="L82" s="177">
        <v>13060</v>
      </c>
      <c r="M82" s="176">
        <v>118.7</v>
      </c>
      <c r="N82" s="176">
        <f t="shared" si="0"/>
        <v>291.86540079365085</v>
      </c>
      <c r="O82" s="168"/>
      <c r="P82" s="168"/>
      <c r="Q82" s="168"/>
      <c r="R82" s="168"/>
      <c r="S82" s="168"/>
      <c r="T82" s="168"/>
      <c r="U82" s="168"/>
      <c r="V82" s="171"/>
      <c r="W82" s="175" t="str">
        <f>+'Tab4'!C6</f>
        <v>2022</v>
      </c>
      <c r="X82" s="175" t="str">
        <f>+'Tab4'!D6</f>
        <v>2023</v>
      </c>
      <c r="Y82" s="175" t="str">
        <f>+'Tab4'!E6</f>
        <v>2024</v>
      </c>
      <c r="Z82" s="168"/>
      <c r="AA82" s="168"/>
      <c r="AB82" s="168"/>
      <c r="AC82" s="168"/>
      <c r="AD82" s="168"/>
      <c r="AE82" s="168"/>
      <c r="AF82" s="168"/>
      <c r="AG82" s="168"/>
      <c r="AH82" s="168"/>
      <c r="AI82" s="168"/>
      <c r="AJ82" s="168"/>
    </row>
    <row r="83" spans="1:36" x14ac:dyDescent="0.2">
      <c r="A83" s="171">
        <v>1</v>
      </c>
      <c r="B83" s="171">
        <v>1986</v>
      </c>
      <c r="C83" s="171">
        <v>141</v>
      </c>
      <c r="D83" s="171">
        <v>115.2</v>
      </c>
      <c r="E83" s="171"/>
      <c r="F83" s="171"/>
      <c r="G83" s="171"/>
      <c r="H83" s="168"/>
      <c r="I83" s="176">
        <v>64</v>
      </c>
      <c r="J83" s="168">
        <v>1</v>
      </c>
      <c r="K83" s="168">
        <v>1986</v>
      </c>
      <c r="L83" s="177">
        <v>14314</v>
      </c>
      <c r="M83" s="176">
        <v>111.8</v>
      </c>
      <c r="N83" s="176">
        <f t="shared" si="0"/>
        <v>270.60403906250002</v>
      </c>
      <c r="O83" s="168"/>
      <c r="P83" s="168"/>
      <c r="Q83" s="168"/>
      <c r="R83" s="168"/>
      <c r="S83" s="168"/>
      <c r="T83" s="168"/>
      <c r="U83" s="168"/>
      <c r="V83" s="171" t="s">
        <v>84</v>
      </c>
      <c r="W83" s="178">
        <f>IF('Tab4'!C14="",'Tab4'!C13,'Tab4'!C14)</f>
        <v>2505.6769390314967</v>
      </c>
      <c r="X83" s="178">
        <f>IF('Tab4'!D14="",'Tab4'!D13,'Tab4'!D14)</f>
        <v>2558.3572859548399</v>
      </c>
      <c r="Y83" s="178">
        <f>IF('Tab4'!E14="",'Tab4'!E13,'Tab4'!E14)</f>
        <v>3932.4092415218524</v>
      </c>
      <c r="Z83" s="168"/>
      <c r="AA83" s="168"/>
      <c r="AB83" s="168"/>
      <c r="AC83" s="168"/>
      <c r="AD83" s="168"/>
      <c r="AE83" s="168"/>
      <c r="AF83" s="168"/>
      <c r="AG83" s="168"/>
      <c r="AH83" s="168"/>
      <c r="AI83" s="168"/>
      <c r="AJ83" s="168"/>
    </row>
    <row r="84" spans="1:36" x14ac:dyDescent="0.2">
      <c r="A84" s="171">
        <v>2</v>
      </c>
      <c r="B84" s="171"/>
      <c r="C84" s="171">
        <v>120.5</v>
      </c>
      <c r="D84" s="171">
        <v>93.2</v>
      </c>
      <c r="E84" s="171"/>
      <c r="F84" s="171"/>
      <c r="G84" s="171"/>
      <c r="H84" s="168"/>
      <c r="I84" s="176">
        <v>65</v>
      </c>
      <c r="J84" s="168">
        <v>2</v>
      </c>
      <c r="K84" s="168"/>
      <c r="L84" s="177">
        <v>13505</v>
      </c>
      <c r="M84" s="176">
        <v>121.5</v>
      </c>
      <c r="N84" s="176">
        <f t="shared" si="0"/>
        <v>289.55786538461541</v>
      </c>
      <c r="O84" s="168"/>
      <c r="P84" s="168"/>
      <c r="Q84" s="168"/>
      <c r="R84" s="168"/>
      <c r="S84" s="168"/>
      <c r="T84" s="168"/>
      <c r="U84" s="168"/>
      <c r="V84" s="171" t="s">
        <v>169</v>
      </c>
      <c r="W84" s="178">
        <f>IF('Tab4'!C16="",'Tab4'!C15,'Tab4'!C16)</f>
        <v>1689.9175000707487</v>
      </c>
      <c r="X84" s="178">
        <f>IF('Tab4'!D16="",'Tab4'!D15,'Tab4'!D16)</f>
        <v>2172.8590638677833</v>
      </c>
      <c r="Y84" s="178">
        <f>IF('Tab4'!E16="",'Tab4'!E15,'Tab4'!E16)</f>
        <v>2683.8552665969805</v>
      </c>
      <c r="Z84" s="168"/>
      <c r="AA84" s="168"/>
      <c r="AB84" s="168"/>
      <c r="AC84" s="168"/>
      <c r="AD84" s="168"/>
      <c r="AE84" s="168"/>
      <c r="AF84" s="168"/>
      <c r="AG84" s="168"/>
      <c r="AH84" s="168"/>
      <c r="AI84" s="168"/>
      <c r="AJ84" s="168"/>
    </row>
    <row r="85" spans="1:36" x14ac:dyDescent="0.2">
      <c r="A85" s="171">
        <v>3</v>
      </c>
      <c r="B85" s="171"/>
      <c r="C85" s="171">
        <v>115.7</v>
      </c>
      <c r="D85" s="171">
        <v>91.1</v>
      </c>
      <c r="E85" s="171"/>
      <c r="F85" s="171"/>
      <c r="G85" s="171"/>
      <c r="H85" s="168"/>
      <c r="I85" s="176">
        <v>67</v>
      </c>
      <c r="J85" s="168">
        <v>3</v>
      </c>
      <c r="K85" s="168"/>
      <c r="L85" s="177">
        <v>12132</v>
      </c>
      <c r="M85" s="176">
        <v>100.8</v>
      </c>
      <c r="N85" s="176">
        <f t="shared" si="0"/>
        <v>233.05486567164183</v>
      </c>
      <c r="O85" s="168"/>
      <c r="P85" s="168"/>
      <c r="Q85" s="168"/>
      <c r="R85" s="168"/>
      <c r="S85" s="168"/>
      <c r="T85" s="168"/>
      <c r="U85" s="168"/>
      <c r="V85" s="171" t="s">
        <v>7</v>
      </c>
      <c r="W85" s="178">
        <f>IF('Tab4'!C18="",'Tab4'!C17,'Tab4'!C18)</f>
        <v>455.45258046041744</v>
      </c>
      <c r="X85" s="178">
        <f>IF('Tab4'!D18="",'Tab4'!D17,'Tab4'!D18)</f>
        <v>480.09060016829699</v>
      </c>
      <c r="Y85" s="178">
        <f>IF('Tab4'!E18="",'Tab4'!E17,'Tab4'!E18)</f>
        <v>556.31455547052394</v>
      </c>
      <c r="Z85" s="168"/>
      <c r="AA85" s="168"/>
      <c r="AB85" s="168"/>
      <c r="AC85" s="168"/>
      <c r="AD85" s="168"/>
      <c r="AE85" s="168"/>
      <c r="AF85" s="168"/>
      <c r="AG85" s="168"/>
      <c r="AH85" s="168"/>
      <c r="AI85" s="168"/>
      <c r="AJ85" s="168"/>
    </row>
    <row r="86" spans="1:36" x14ac:dyDescent="0.2">
      <c r="A86" s="171">
        <v>4</v>
      </c>
      <c r="B86" s="171"/>
      <c r="C86" s="171">
        <v>114.4</v>
      </c>
      <c r="D86" s="171">
        <v>90.8</v>
      </c>
      <c r="E86" s="171"/>
      <c r="F86" s="171"/>
      <c r="G86" s="171"/>
      <c r="H86" s="168"/>
      <c r="I86" s="176">
        <v>68.5</v>
      </c>
      <c r="J86" s="168">
        <v>4</v>
      </c>
      <c r="K86" s="168"/>
      <c r="L86" s="177">
        <v>11763</v>
      </c>
      <c r="M86" s="176">
        <v>120.6</v>
      </c>
      <c r="N86" s="176">
        <f t="shared" si="0"/>
        <v>272.72765693430659</v>
      </c>
      <c r="O86" s="168"/>
      <c r="P86" s="168"/>
      <c r="Q86" s="168"/>
      <c r="R86" s="168"/>
      <c r="S86" s="168"/>
      <c r="T86" s="168"/>
      <c r="U86" s="168"/>
      <c r="V86" s="168" t="s">
        <v>8</v>
      </c>
      <c r="W86" s="178">
        <f>IF('Tab4'!C20="",'Tab4'!C19,'Tab4'!C20)</f>
        <v>759.55744125825504</v>
      </c>
      <c r="X86" s="178">
        <f>IF('Tab4'!D20="",'Tab4'!D19,'Tab4'!D20)</f>
        <v>691.94667116029279</v>
      </c>
      <c r="Y86" s="178">
        <f>IF('Tab4'!E20="",'Tab4'!E19,'Tab4'!E20)</f>
        <v>677.20724836542172</v>
      </c>
      <c r="Z86" s="168"/>
      <c r="AA86" s="168"/>
      <c r="AB86" s="168"/>
      <c r="AC86" s="168"/>
      <c r="AD86" s="168"/>
      <c r="AE86" s="168"/>
      <c r="AF86" s="168"/>
      <c r="AG86" s="168"/>
      <c r="AH86" s="168"/>
      <c r="AI86" s="168"/>
      <c r="AJ86" s="168"/>
    </row>
    <row r="87" spans="1:36" x14ac:dyDescent="0.2">
      <c r="A87" s="171">
        <v>1</v>
      </c>
      <c r="B87" s="171">
        <v>1987</v>
      </c>
      <c r="C87" s="171">
        <v>152.19999999999999</v>
      </c>
      <c r="D87" s="171">
        <v>121.3</v>
      </c>
      <c r="E87" s="171"/>
      <c r="F87" s="171"/>
      <c r="G87" s="171"/>
      <c r="H87" s="168"/>
      <c r="I87" s="176">
        <v>70.5</v>
      </c>
      <c r="J87" s="168">
        <v>1</v>
      </c>
      <c r="K87" s="168">
        <v>1987</v>
      </c>
      <c r="L87" s="177">
        <v>17280</v>
      </c>
      <c r="M87" s="176">
        <v>135.6</v>
      </c>
      <c r="N87" s="176">
        <f t="shared" si="0"/>
        <v>297.9497446808511</v>
      </c>
      <c r="O87" s="168"/>
      <c r="P87" s="168"/>
      <c r="Q87" s="168"/>
      <c r="R87" s="168"/>
      <c r="S87" s="168"/>
      <c r="T87" s="168"/>
      <c r="U87" s="168"/>
      <c r="V87" s="171" t="s">
        <v>9</v>
      </c>
      <c r="W87" s="178">
        <f>IF('Tab4'!C20="",'Tab4'!C21,'Tab4'!C22)</f>
        <v>283.75611025797389</v>
      </c>
      <c r="X87" s="178">
        <f>IF('Tab4'!D20="",'Tab4'!D21,'Tab4'!D22)</f>
        <v>217.7168526859424</v>
      </c>
      <c r="Y87" s="178">
        <f>IF('Tab4'!E20="",'Tab4'!E21,'Tab4'!E22)</f>
        <v>241.95851461356409</v>
      </c>
      <c r="Z87" s="168"/>
      <c r="AA87" s="168"/>
      <c r="AB87" s="168"/>
      <c r="AC87" s="168"/>
      <c r="AD87" s="168"/>
      <c r="AE87" s="168"/>
      <c r="AF87" s="168"/>
      <c r="AG87" s="168"/>
      <c r="AH87" s="168"/>
      <c r="AI87" s="168"/>
      <c r="AJ87" s="168"/>
    </row>
    <row r="88" spans="1:36" x14ac:dyDescent="0.2">
      <c r="A88" s="171">
        <v>2</v>
      </c>
      <c r="B88" s="171"/>
      <c r="C88" s="171">
        <v>109.2</v>
      </c>
      <c r="D88" s="171">
        <v>86.1</v>
      </c>
      <c r="E88" s="171"/>
      <c r="F88" s="171"/>
      <c r="G88" s="171"/>
      <c r="H88" s="168"/>
      <c r="I88" s="176">
        <v>71.599999999999994</v>
      </c>
      <c r="J88" s="168">
        <v>2</v>
      </c>
      <c r="K88" s="168"/>
      <c r="L88" s="177">
        <v>12241</v>
      </c>
      <c r="M88" s="176">
        <v>135.9</v>
      </c>
      <c r="N88" s="176">
        <f t="shared" si="0"/>
        <v>294.02135824022355</v>
      </c>
      <c r="O88" s="168"/>
      <c r="P88" s="168"/>
      <c r="Q88" s="168"/>
      <c r="R88" s="168"/>
      <c r="S88" s="168"/>
      <c r="T88" s="168"/>
      <c r="U88" s="168"/>
      <c r="V88" s="171" t="s">
        <v>10</v>
      </c>
      <c r="W88" s="178">
        <f>IF('Tab4'!C22="",'Tab4'!C29,'Tab4'!C30)</f>
        <v>414.36619515244865</v>
      </c>
      <c r="X88" s="178">
        <f>IF('Tab4'!D22="",'Tab4'!D29,'Tab4'!D30)</f>
        <v>619.34148160607799</v>
      </c>
      <c r="Y88" s="178">
        <f>IF('Tab4'!E22="",'Tab4'!E29,'Tab4'!E30)</f>
        <v>758.09987079489167</v>
      </c>
      <c r="Z88" s="168"/>
      <c r="AA88" s="168"/>
      <c r="AB88" s="168"/>
      <c r="AC88" s="168"/>
      <c r="AD88" s="168"/>
      <c r="AE88" s="168"/>
      <c r="AF88" s="168"/>
      <c r="AG88" s="168"/>
      <c r="AH88" s="168"/>
      <c r="AI88" s="168"/>
      <c r="AJ88" s="168"/>
    </row>
    <row r="89" spans="1:36" x14ac:dyDescent="0.2">
      <c r="A89" s="171">
        <v>3</v>
      </c>
      <c r="B89" s="171"/>
      <c r="C89" s="171">
        <v>110.1</v>
      </c>
      <c r="D89" s="171">
        <v>87.3</v>
      </c>
      <c r="E89" s="171"/>
      <c r="F89" s="171"/>
      <c r="G89" s="171"/>
      <c r="H89" s="168"/>
      <c r="I89" s="176">
        <v>72.3</v>
      </c>
      <c r="J89" s="168">
        <v>3</v>
      </c>
      <c r="K89" s="168"/>
      <c r="L89" s="177">
        <v>11506</v>
      </c>
      <c r="M89" s="176">
        <v>112.3</v>
      </c>
      <c r="N89" s="176">
        <f t="shared" si="0"/>
        <v>240.6101279391425</v>
      </c>
      <c r="O89" s="168"/>
      <c r="P89" s="168"/>
      <c r="Q89" s="168"/>
      <c r="R89" s="168"/>
      <c r="S89" s="168"/>
      <c r="T89" s="168"/>
      <c r="U89" s="168"/>
      <c r="V89" s="171" t="s">
        <v>11</v>
      </c>
      <c r="W89" s="178">
        <f>IF('Tab4'!C30="",'Tab4'!C31,'Tab4'!C32)</f>
        <v>81.147399862018034</v>
      </c>
      <c r="X89" s="178">
        <f>IF('Tab4'!D30="",'Tab4'!D31,'Tab4'!D32)</f>
        <v>74.038735819343103</v>
      </c>
      <c r="Y89" s="178">
        <f>IF('Tab4'!E30="",'Tab4'!E31,'Tab4'!E32)</f>
        <v>152.26295510110907</v>
      </c>
      <c r="Z89" s="168"/>
      <c r="AA89" s="168"/>
      <c r="AB89" s="168"/>
      <c r="AC89" s="168"/>
      <c r="AD89" s="168"/>
      <c r="AE89" s="168"/>
      <c r="AF89" s="168"/>
      <c r="AG89" s="168"/>
      <c r="AH89" s="168"/>
      <c r="AI89" s="168"/>
      <c r="AJ89" s="168"/>
    </row>
    <row r="90" spans="1:36" x14ac:dyDescent="0.2">
      <c r="A90" s="171">
        <v>4</v>
      </c>
      <c r="B90" s="171"/>
      <c r="C90" s="171">
        <v>112</v>
      </c>
      <c r="D90" s="171">
        <v>89.8</v>
      </c>
      <c r="E90" s="171"/>
      <c r="F90" s="171"/>
      <c r="G90" s="171"/>
      <c r="H90" s="168"/>
      <c r="I90" s="176">
        <v>73.599999999999994</v>
      </c>
      <c r="J90" s="168">
        <v>4</v>
      </c>
      <c r="K90" s="168"/>
      <c r="L90" s="177">
        <v>12860</v>
      </c>
      <c r="M90" s="176">
        <v>134.5</v>
      </c>
      <c r="N90" s="176">
        <f t="shared" si="0"/>
        <v>283.08503736413047</v>
      </c>
      <c r="O90" s="168"/>
      <c r="P90" s="168"/>
      <c r="Q90" s="168"/>
      <c r="R90" s="168"/>
      <c r="S90" s="168"/>
      <c r="T90" s="168"/>
      <c r="U90" s="168"/>
      <c r="V90" s="171" t="s">
        <v>12</v>
      </c>
      <c r="W90" s="178">
        <f>IF('Tab4'!C32="",'Tab4'!C33,'Tab4'!C34)</f>
        <v>414.92680469493013</v>
      </c>
      <c r="X90" s="178">
        <f>IF('Tab4'!D32="",'Tab4'!D33,'Tab4'!D34)</f>
        <v>420.45726599679239</v>
      </c>
      <c r="Y90" s="178">
        <f>IF('Tab4'!E32="",'Tab4'!E33,'Tab4'!E34)</f>
        <v>456.87793273317743</v>
      </c>
      <c r="Z90" s="168"/>
      <c r="AA90" s="168"/>
      <c r="AB90" s="168"/>
      <c r="AC90" s="168"/>
      <c r="AD90" s="168"/>
      <c r="AE90" s="168"/>
      <c r="AF90" s="168"/>
      <c r="AG90" s="168"/>
      <c r="AH90" s="168"/>
      <c r="AI90" s="168"/>
      <c r="AJ90" s="168"/>
    </row>
    <row r="91" spans="1:36" x14ac:dyDescent="0.2">
      <c r="A91" s="171">
        <v>1</v>
      </c>
      <c r="B91" s="171">
        <v>1988</v>
      </c>
      <c r="C91" s="171">
        <v>134.1</v>
      </c>
      <c r="D91" s="171">
        <v>107.5</v>
      </c>
      <c r="E91" s="171"/>
      <c r="F91" s="171"/>
      <c r="G91" s="171"/>
      <c r="H91" s="168"/>
      <c r="I91" s="176">
        <v>75.2</v>
      </c>
      <c r="J91" s="168">
        <v>1</v>
      </c>
      <c r="K91" s="168">
        <v>1988</v>
      </c>
      <c r="L91" s="177">
        <v>10180</v>
      </c>
      <c r="M91" s="176">
        <v>130.80000000000001</v>
      </c>
      <c r="N91" s="176">
        <f t="shared" si="0"/>
        <v>269.4401728723405</v>
      </c>
      <c r="O91" s="168"/>
      <c r="P91" s="168"/>
      <c r="Q91" s="168"/>
      <c r="R91" s="168"/>
      <c r="S91" s="168"/>
      <c r="T91" s="168"/>
      <c r="U91" s="168"/>
      <c r="V91" s="171" t="s">
        <v>13</v>
      </c>
      <c r="W91" s="178">
        <f>IF('Tab4'!C34="",'Tab4'!C35,'Tab4'!C36)</f>
        <v>25.872207222590546</v>
      </c>
      <c r="X91" s="178">
        <f>IF('Tab4'!D34="",'Tab4'!D35,'Tab4'!D36)</f>
        <v>20.316945875929974</v>
      </c>
      <c r="Y91" s="178">
        <f>IF('Tab4'!E34="",'Tab4'!E35,'Tab4'!E36)</f>
        <v>67.824454293064562</v>
      </c>
      <c r="Z91" s="168"/>
      <c r="AA91" s="168"/>
      <c r="AB91" s="168"/>
      <c r="AC91" s="168"/>
      <c r="AD91" s="168"/>
      <c r="AE91" s="168"/>
      <c r="AF91" s="168"/>
      <c r="AG91" s="168"/>
      <c r="AH91" s="168"/>
      <c r="AI91" s="168"/>
      <c r="AJ91" s="168"/>
    </row>
    <row r="92" spans="1:36" x14ac:dyDescent="0.2">
      <c r="A92" s="171">
        <v>2</v>
      </c>
      <c r="B92" s="171"/>
      <c r="C92" s="171">
        <v>113.7</v>
      </c>
      <c r="D92" s="171">
        <v>90</v>
      </c>
      <c r="E92" s="171"/>
      <c r="F92" s="171"/>
      <c r="G92" s="171"/>
      <c r="H92" s="168"/>
      <c r="I92" s="176">
        <v>76.7</v>
      </c>
      <c r="J92" s="168">
        <v>2</v>
      </c>
      <c r="K92" s="168"/>
      <c r="L92" s="177">
        <v>11081</v>
      </c>
      <c r="M92" s="176">
        <v>95.1</v>
      </c>
      <c r="N92" s="176">
        <f t="shared" si="0"/>
        <v>192.06914276401568</v>
      </c>
      <c r="O92" s="168"/>
      <c r="P92" s="168"/>
      <c r="Q92" s="168"/>
      <c r="R92" s="168"/>
      <c r="S92" s="168"/>
      <c r="T92" s="168"/>
      <c r="U92" s="168"/>
      <c r="V92" s="171" t="s">
        <v>14</v>
      </c>
      <c r="W92" s="178">
        <f>IF('Tab4'!C38="",'Tab4'!C37,'Tab4'!C38)</f>
        <v>360.98911460955628</v>
      </c>
      <c r="X92" s="178">
        <f>IF('Tab4'!D38="",'Tab4'!D37,'Tab4'!D38)</f>
        <v>368.30294866867189</v>
      </c>
      <c r="Y92" s="178">
        <f>IF('Tab4'!E38="",'Tab4'!E37,'Tab4'!E38)</f>
        <v>415.53689514468016</v>
      </c>
      <c r="Z92" s="168"/>
      <c r="AA92" s="168"/>
      <c r="AB92" s="168"/>
      <c r="AC92" s="168"/>
      <c r="AD92" s="168"/>
      <c r="AE92" s="168"/>
      <c r="AF92" s="168"/>
      <c r="AG92" s="168"/>
      <c r="AH92" s="168"/>
      <c r="AI92" s="168"/>
      <c r="AJ92" s="168"/>
    </row>
    <row r="93" spans="1:36" x14ac:dyDescent="0.2">
      <c r="A93" s="171">
        <v>3</v>
      </c>
      <c r="B93" s="171"/>
      <c r="C93" s="171">
        <v>116.3</v>
      </c>
      <c r="D93" s="171">
        <v>93.1</v>
      </c>
      <c r="E93" s="171"/>
      <c r="F93" s="171"/>
      <c r="G93" s="171"/>
      <c r="H93" s="168"/>
      <c r="I93" s="176">
        <v>77</v>
      </c>
      <c r="J93" s="168">
        <v>3</v>
      </c>
      <c r="K93" s="168"/>
      <c r="L93" s="177">
        <v>15987</v>
      </c>
      <c r="M93" s="176">
        <v>148.69999999999999</v>
      </c>
      <c r="N93" s="176">
        <f t="shared" si="0"/>
        <v>299.15253571428576</v>
      </c>
      <c r="O93" s="168"/>
      <c r="P93" s="168"/>
      <c r="Q93" s="168"/>
      <c r="R93" s="168"/>
      <c r="S93" s="168"/>
      <c r="T93" s="168"/>
      <c r="U93" s="168"/>
      <c r="V93" s="171" t="s">
        <v>85</v>
      </c>
      <c r="W93" s="179">
        <f>SUM(W83:W92)</f>
        <v>6991.6622926204354</v>
      </c>
      <c r="X93" s="179">
        <f>SUM(X83:X92)</f>
        <v>7623.427851803971</v>
      </c>
      <c r="Y93" s="179">
        <f>SUM(Y83:Y92)</f>
        <v>9942.3469346352649</v>
      </c>
      <c r="Z93" s="168"/>
      <c r="AA93" s="168"/>
      <c r="AB93" s="168"/>
      <c r="AC93" s="168"/>
      <c r="AD93" s="168"/>
      <c r="AE93" s="168"/>
      <c r="AF93" s="168"/>
      <c r="AG93" s="168"/>
      <c r="AH93" s="168"/>
      <c r="AI93" s="168"/>
      <c r="AJ93" s="168"/>
    </row>
    <row r="94" spans="1:36" x14ac:dyDescent="0.2">
      <c r="A94" s="171">
        <v>4</v>
      </c>
      <c r="B94" s="171"/>
      <c r="C94" s="171">
        <v>115.2</v>
      </c>
      <c r="D94" s="171">
        <v>93.4</v>
      </c>
      <c r="E94" s="171"/>
      <c r="F94" s="171"/>
      <c r="G94" s="171"/>
      <c r="H94" s="168"/>
      <c r="I94" s="176">
        <v>78.099999999999994</v>
      </c>
      <c r="J94" s="168">
        <v>4</v>
      </c>
      <c r="K94" s="168"/>
      <c r="L94" s="177">
        <v>12493</v>
      </c>
      <c r="M94" s="176">
        <v>199.8</v>
      </c>
      <c r="N94" s="176">
        <f t="shared" si="0"/>
        <v>396.29345070422551</v>
      </c>
      <c r="O94" s="168"/>
      <c r="P94" s="168"/>
      <c r="Q94" s="168"/>
      <c r="R94" s="168"/>
      <c r="S94" s="168"/>
      <c r="T94" s="168"/>
      <c r="U94" s="168"/>
      <c r="V94" s="171"/>
      <c r="W94" s="171"/>
      <c r="X94" s="171"/>
      <c r="Y94" s="171"/>
      <c r="Z94" s="168"/>
      <c r="AA94" s="168"/>
      <c r="AB94" s="168"/>
      <c r="AC94" s="168"/>
      <c r="AD94" s="168"/>
      <c r="AE94" s="168"/>
      <c r="AF94" s="168"/>
      <c r="AG94" s="168"/>
      <c r="AH94" s="168"/>
      <c r="AI94" s="168"/>
      <c r="AJ94" s="168"/>
    </row>
    <row r="95" spans="1:36" x14ac:dyDescent="0.2">
      <c r="A95" s="171">
        <v>1</v>
      </c>
      <c r="B95" s="171">
        <v>1989</v>
      </c>
      <c r="C95" s="171">
        <v>106.6</v>
      </c>
      <c r="D95" s="171">
        <v>86.4</v>
      </c>
      <c r="E95" s="171"/>
      <c r="F95" s="171"/>
      <c r="G95" s="171"/>
      <c r="H95" s="168"/>
      <c r="I95" s="176">
        <v>78.900000000000006</v>
      </c>
      <c r="J95" s="168">
        <v>1</v>
      </c>
      <c r="K95" s="168">
        <v>1989</v>
      </c>
      <c r="L95" s="177">
        <v>10988</v>
      </c>
      <c r="M95" s="176">
        <v>142.6</v>
      </c>
      <c r="N95" s="176">
        <f t="shared" si="0"/>
        <v>279.97223700887201</v>
      </c>
      <c r="O95" s="168"/>
      <c r="P95" s="168"/>
      <c r="Q95" s="168"/>
      <c r="R95" s="168"/>
      <c r="S95" s="168"/>
      <c r="T95" s="168"/>
      <c r="U95" s="168"/>
      <c r="V95" s="171" t="s">
        <v>170</v>
      </c>
      <c r="W95" s="180">
        <f>+W93+X72</f>
        <v>11828.403963126246</v>
      </c>
      <c r="X95" s="180">
        <f>+X93+Y72</f>
        <v>13126.293741917878</v>
      </c>
      <c r="Y95" s="180">
        <f>+Y93+Z72</f>
        <v>16839.580815459987</v>
      </c>
      <c r="Z95" s="168"/>
      <c r="AA95" s="168"/>
      <c r="AB95" s="168"/>
      <c r="AC95" s="168"/>
      <c r="AD95" s="168"/>
      <c r="AE95" s="168"/>
      <c r="AF95" s="168"/>
      <c r="AG95" s="168"/>
      <c r="AH95" s="168"/>
      <c r="AI95" s="168"/>
      <c r="AJ95" s="168"/>
    </row>
    <row r="96" spans="1:36" x14ac:dyDescent="0.2">
      <c r="A96" s="171">
        <v>2</v>
      </c>
      <c r="B96" s="171"/>
      <c r="C96" s="171">
        <v>98</v>
      </c>
      <c r="D96" s="171">
        <v>79.599999999999994</v>
      </c>
      <c r="E96" s="171"/>
      <c r="F96" s="171"/>
      <c r="G96" s="171"/>
      <c r="H96" s="168"/>
      <c r="I96" s="176">
        <v>80.3</v>
      </c>
      <c r="J96" s="168">
        <v>2</v>
      </c>
      <c r="K96" s="168"/>
      <c r="L96" s="177">
        <v>10292</v>
      </c>
      <c r="M96" s="176">
        <v>117.3</v>
      </c>
      <c r="N96" s="176">
        <f t="shared" si="0"/>
        <v>226.2845547945206</v>
      </c>
      <c r="O96" s="168"/>
      <c r="P96" s="168"/>
      <c r="Q96" s="168"/>
      <c r="R96" s="168"/>
      <c r="S96" s="168"/>
      <c r="T96" s="168"/>
      <c r="U96" s="168"/>
      <c r="V96" s="168"/>
      <c r="W96" s="168"/>
      <c r="X96" s="168"/>
      <c r="Y96" s="168"/>
      <c r="Z96" s="168"/>
      <c r="AA96" s="168"/>
      <c r="AB96" s="168"/>
      <c r="AC96" s="168"/>
      <c r="AD96" s="168"/>
      <c r="AE96" s="168"/>
      <c r="AF96" s="168"/>
      <c r="AG96" s="168"/>
      <c r="AH96" s="168"/>
      <c r="AI96" s="168"/>
      <c r="AJ96" s="168"/>
    </row>
    <row r="97" spans="1:36" x14ac:dyDescent="0.2">
      <c r="A97" s="171">
        <v>3</v>
      </c>
      <c r="B97" s="171"/>
      <c r="C97" s="171">
        <v>96.9</v>
      </c>
      <c r="D97" s="171">
        <v>79</v>
      </c>
      <c r="E97" s="171"/>
      <c r="F97" s="171"/>
      <c r="G97" s="171"/>
      <c r="H97" s="168"/>
      <c r="I97" s="176">
        <v>80.599999999999994</v>
      </c>
      <c r="J97" s="168">
        <v>3</v>
      </c>
      <c r="K97" s="168"/>
      <c r="L97" s="177">
        <v>11352</v>
      </c>
      <c r="M97" s="176">
        <v>103.6</v>
      </c>
      <c r="N97" s="176">
        <f t="shared" si="0"/>
        <v>199.11187344913154</v>
      </c>
      <c r="O97" s="168"/>
      <c r="P97" s="168"/>
      <c r="Q97" s="168"/>
      <c r="R97" s="168"/>
      <c r="S97" s="168"/>
      <c r="T97" s="168"/>
      <c r="U97" s="168"/>
      <c r="V97" s="168"/>
      <c r="W97" s="168"/>
      <c r="X97" s="168"/>
      <c r="Y97" s="171"/>
      <c r="Z97" s="168"/>
      <c r="AA97" s="168"/>
      <c r="AB97" s="168"/>
      <c r="AC97" s="168"/>
      <c r="AD97" s="168"/>
      <c r="AE97" s="168"/>
      <c r="AF97" s="168"/>
      <c r="AG97" s="168"/>
      <c r="AH97" s="168"/>
      <c r="AI97" s="168"/>
      <c r="AJ97" s="168"/>
    </row>
    <row r="98" spans="1:36" x14ac:dyDescent="0.2">
      <c r="A98" s="171">
        <v>4</v>
      </c>
      <c r="B98" s="171"/>
      <c r="C98" s="171">
        <v>93.4</v>
      </c>
      <c r="D98" s="171">
        <v>76.8</v>
      </c>
      <c r="E98" s="171"/>
      <c r="F98" s="171"/>
      <c r="G98" s="171"/>
      <c r="H98" s="168"/>
      <c r="I98" s="176">
        <v>81.400000000000006</v>
      </c>
      <c r="J98" s="168">
        <v>4</v>
      </c>
      <c r="K98" s="168"/>
      <c r="L98" s="177">
        <v>11958</v>
      </c>
      <c r="M98" s="176">
        <v>132</v>
      </c>
      <c r="N98" s="176">
        <f t="shared" si="0"/>
        <v>251.20135135135138</v>
      </c>
      <c r="O98" s="168"/>
      <c r="P98" s="168"/>
      <c r="Q98" s="168"/>
      <c r="R98" s="168"/>
      <c r="S98" s="168"/>
      <c r="T98" s="168"/>
      <c r="U98" s="168"/>
      <c r="V98" s="170" t="s">
        <v>185</v>
      </c>
      <c r="W98" s="171"/>
      <c r="X98" s="171"/>
      <c r="Y98" s="171"/>
      <c r="Z98" s="168"/>
      <c r="AA98" s="168"/>
      <c r="AB98" s="168"/>
      <c r="AC98" s="168"/>
      <c r="AD98" s="168"/>
      <c r="AE98" s="168"/>
      <c r="AF98" s="168"/>
      <c r="AG98" s="168"/>
      <c r="AH98" s="168"/>
      <c r="AI98" s="168"/>
      <c r="AJ98" s="168"/>
    </row>
    <row r="99" spans="1:36" x14ac:dyDescent="0.2">
      <c r="A99" s="171">
        <v>1</v>
      </c>
      <c r="B99" s="171">
        <v>1990</v>
      </c>
      <c r="C99" s="171">
        <v>99.4</v>
      </c>
      <c r="D99" s="171">
        <v>81.3</v>
      </c>
      <c r="E99" s="171"/>
      <c r="F99" s="171"/>
      <c r="G99" s="171"/>
      <c r="H99" s="168"/>
      <c r="I99" s="176">
        <v>82.3</v>
      </c>
      <c r="J99" s="168">
        <v>1</v>
      </c>
      <c r="K99" s="168">
        <v>1990</v>
      </c>
      <c r="L99" s="177">
        <v>13741</v>
      </c>
      <c r="M99" s="176">
        <v>142.9</v>
      </c>
      <c r="N99" s="176">
        <f t="shared" si="0"/>
        <v>268.97061664641564</v>
      </c>
      <c r="O99" s="168"/>
      <c r="P99" s="168"/>
      <c r="Q99" s="168"/>
      <c r="R99" s="168"/>
      <c r="S99" s="168"/>
      <c r="T99" s="168"/>
      <c r="U99" s="168"/>
      <c r="V99" s="171"/>
      <c r="W99" s="168"/>
      <c r="X99" s="171"/>
      <c r="Y99" s="171"/>
      <c r="Z99" s="168"/>
      <c r="AA99" s="168"/>
      <c r="AB99" s="168"/>
      <c r="AC99" s="168"/>
      <c r="AD99" s="168"/>
      <c r="AE99" s="168"/>
      <c r="AF99" s="168"/>
      <c r="AG99" s="168"/>
      <c r="AH99" s="168"/>
      <c r="AI99" s="168"/>
      <c r="AJ99" s="168"/>
    </row>
    <row r="100" spans="1:36" x14ac:dyDescent="0.2">
      <c r="A100" s="171">
        <v>2</v>
      </c>
      <c r="B100" s="171"/>
      <c r="C100" s="171">
        <v>88.6</v>
      </c>
      <c r="D100" s="171">
        <v>73.099999999999994</v>
      </c>
      <c r="E100" s="171"/>
      <c r="F100" s="171"/>
      <c r="G100" s="171"/>
      <c r="H100" s="168"/>
      <c r="I100" s="176">
        <v>83.4</v>
      </c>
      <c r="J100" s="168">
        <v>2</v>
      </c>
      <c r="K100" s="168"/>
      <c r="L100" s="177">
        <v>10045</v>
      </c>
      <c r="M100" s="176">
        <v>116.5</v>
      </c>
      <c r="N100" s="176">
        <f t="shared" si="0"/>
        <v>216.38757494004798</v>
      </c>
      <c r="O100" s="168"/>
      <c r="P100" s="168"/>
      <c r="Q100" s="168"/>
      <c r="R100" s="168"/>
      <c r="S100" s="168"/>
      <c r="T100" s="168"/>
      <c r="U100" s="168"/>
      <c r="V100" s="171"/>
      <c r="W100" s="175" t="str">
        <f>+W82</f>
        <v>2022</v>
      </c>
      <c r="X100" s="175" t="str">
        <f>+X82</f>
        <v>2023</v>
      </c>
      <c r="Y100" s="175" t="str">
        <f>+Y82</f>
        <v>2024</v>
      </c>
      <c r="Z100" s="168"/>
      <c r="AA100" s="168"/>
      <c r="AB100" s="168"/>
      <c r="AC100" s="168"/>
      <c r="AD100" s="168"/>
      <c r="AE100" s="168"/>
      <c r="AF100" s="168"/>
      <c r="AG100" s="168"/>
      <c r="AH100" s="168"/>
      <c r="AI100" s="168"/>
      <c r="AJ100" s="168"/>
    </row>
    <row r="101" spans="1:36" x14ac:dyDescent="0.2">
      <c r="A101" s="171">
        <v>3</v>
      </c>
      <c r="B101" s="171"/>
      <c r="C101" s="171">
        <v>88.2</v>
      </c>
      <c r="D101" s="171">
        <v>72.5</v>
      </c>
      <c r="E101" s="171"/>
      <c r="F101" s="171"/>
      <c r="G101" s="171"/>
      <c r="H101" s="168"/>
      <c r="I101" s="176">
        <v>83.7</v>
      </c>
      <c r="J101" s="168">
        <v>3</v>
      </c>
      <c r="K101" s="168"/>
      <c r="L101" s="177">
        <v>10870</v>
      </c>
      <c r="M101" s="176">
        <v>101.4</v>
      </c>
      <c r="N101" s="176">
        <f t="shared" si="0"/>
        <v>187.66571684587819</v>
      </c>
      <c r="O101" s="168"/>
      <c r="P101" s="168"/>
      <c r="Q101" s="168"/>
      <c r="R101" s="168"/>
      <c r="S101" s="168"/>
      <c r="T101" s="168"/>
      <c r="U101" s="168"/>
      <c r="V101" s="171" t="s">
        <v>18</v>
      </c>
      <c r="W101" s="181">
        <f>IF('Tab7'!C10="",+'Tab7'!C9+'Tab11'!C9,+'Tab7'!C10+'Tab11'!C10)</f>
        <v>6900.0468369565215</v>
      </c>
      <c r="X101" s="181">
        <f>IF('Tab7'!D10="",+'Tab7'!D9+'Tab11'!D9,+'Tab7'!D10+'Tab11'!D10)</f>
        <v>6557.2362137681157</v>
      </c>
      <c r="Y101" s="181">
        <f>IF('Tab7'!E10="",+'Tab7'!E9+'Tab11'!E9,+'Tab7'!E10+'Tab11'!E10)</f>
        <v>8194.415441304347</v>
      </c>
      <c r="Z101" s="168"/>
      <c r="AA101" s="168"/>
      <c r="AB101" s="168"/>
      <c r="AC101" s="168"/>
      <c r="AD101" s="168"/>
      <c r="AE101" s="168"/>
      <c r="AF101" s="168"/>
      <c r="AG101" s="168"/>
      <c r="AH101" s="168"/>
      <c r="AI101" s="168"/>
      <c r="AJ101" s="168"/>
    </row>
    <row r="102" spans="1:36" x14ac:dyDescent="0.2">
      <c r="A102" s="171">
        <v>4</v>
      </c>
      <c r="B102" s="171"/>
      <c r="C102" s="171">
        <v>84.8</v>
      </c>
      <c r="D102" s="171">
        <v>70.2</v>
      </c>
      <c r="E102" s="171"/>
      <c r="F102" s="171"/>
      <c r="G102" s="171"/>
      <c r="H102" s="168"/>
      <c r="I102" s="176">
        <v>85.1</v>
      </c>
      <c r="J102" s="168">
        <v>4</v>
      </c>
      <c r="K102" s="168"/>
      <c r="L102" s="177">
        <v>11076</v>
      </c>
      <c r="M102" s="176">
        <v>120</v>
      </c>
      <c r="N102" s="176">
        <f t="shared" si="0"/>
        <v>218.43595769682733</v>
      </c>
      <c r="O102" s="168"/>
      <c r="P102" s="168"/>
      <c r="Q102" s="168"/>
      <c r="R102" s="168"/>
      <c r="S102" s="168"/>
      <c r="T102" s="168"/>
      <c r="U102" s="168"/>
      <c r="V102" s="171" t="s">
        <v>86</v>
      </c>
      <c r="W102" s="181">
        <f>IF('Tab7'!C12="",+'Tab7'!C11+'Tab11'!C11,+'Tab7'!C12+'Tab11'!C12)</f>
        <v>24505.067470355734</v>
      </c>
      <c r="X102" s="181">
        <f>IF('Tab7'!D12="",+'Tab7'!D11+'Tab11'!D11,+'Tab7'!D12+'Tab11'!D12)</f>
        <v>26844.315237154151</v>
      </c>
      <c r="Y102" s="181">
        <f>IF('Tab7'!E12="",+'Tab7'!E11+'Tab11'!E11,+'Tab7'!E12+'Tab11'!E12)</f>
        <v>43293.220189723317</v>
      </c>
      <c r="Z102" s="168"/>
      <c r="AA102" s="168"/>
      <c r="AB102" s="168"/>
      <c r="AC102" s="168"/>
      <c r="AD102" s="168"/>
      <c r="AE102" s="168"/>
      <c r="AF102" s="168"/>
      <c r="AG102" s="168"/>
      <c r="AH102" s="168"/>
      <c r="AI102" s="168"/>
      <c r="AJ102" s="168"/>
    </row>
    <row r="103" spans="1:36" x14ac:dyDescent="0.2">
      <c r="A103" s="171">
        <v>1</v>
      </c>
      <c r="B103" s="171">
        <v>1991</v>
      </c>
      <c r="C103" s="171">
        <v>97.5</v>
      </c>
      <c r="D103" s="171">
        <v>82.4</v>
      </c>
      <c r="E103" s="171"/>
      <c r="F103" s="171"/>
      <c r="G103" s="171"/>
      <c r="H103" s="168"/>
      <c r="I103" s="176">
        <v>85.5</v>
      </c>
      <c r="J103" s="168">
        <v>1</v>
      </c>
      <c r="K103" s="168">
        <v>1991</v>
      </c>
      <c r="L103" s="177">
        <v>10172</v>
      </c>
      <c r="M103" s="176">
        <v>130.10000000000002</v>
      </c>
      <c r="N103" s="176">
        <f t="shared" ref="N103:N106" si="1">M103/I103*$I$69</f>
        <v>235.71304970760241</v>
      </c>
      <c r="O103" s="177">
        <v>6727</v>
      </c>
      <c r="P103" s="176">
        <v>376.9</v>
      </c>
      <c r="Q103" s="176">
        <f>P103/I103*$I$69</f>
        <v>682.86124853801175</v>
      </c>
      <c r="R103" s="177">
        <v>9077</v>
      </c>
      <c r="S103" s="176">
        <v>139.9</v>
      </c>
      <c r="T103" s="176">
        <f>S103/I103*$I$69</f>
        <v>253.46852923976613</v>
      </c>
      <c r="U103" s="168"/>
      <c r="V103" s="171" t="s">
        <v>63</v>
      </c>
      <c r="W103" s="181">
        <f>IF('Tab7'!C14="",+'Tab7'!C13+'Tab11'!C13,+'Tab7'!C14+'Tab11'!C14)</f>
        <v>6778.6444332298142</v>
      </c>
      <c r="X103" s="181">
        <f>IF('Tab7'!D14="",+'Tab7'!D13+'Tab11'!D13,+'Tab7'!D14+'Tab11'!D14)</f>
        <v>7838.5406661490688</v>
      </c>
      <c r="Y103" s="181">
        <f>IF('Tab7'!E14="",+'Tab7'!E13+'Tab11'!E13,+'Tab7'!E14+'Tab11'!E14)</f>
        <v>8331.0396847826087</v>
      </c>
      <c r="Z103" s="168"/>
      <c r="AA103" s="168"/>
      <c r="AB103" s="168"/>
      <c r="AC103" s="168"/>
      <c r="AD103" s="168"/>
      <c r="AE103" s="168"/>
      <c r="AF103" s="168"/>
      <c r="AG103" s="168"/>
      <c r="AH103" s="168"/>
      <c r="AI103" s="168"/>
      <c r="AJ103" s="168"/>
    </row>
    <row r="104" spans="1:36" x14ac:dyDescent="0.2">
      <c r="A104" s="171">
        <v>2</v>
      </c>
      <c r="B104" s="171"/>
      <c r="C104" s="171">
        <v>93.9</v>
      </c>
      <c r="D104" s="171">
        <v>78</v>
      </c>
      <c r="E104" s="171"/>
      <c r="F104" s="171"/>
      <c r="G104" s="171"/>
      <c r="H104" s="168"/>
      <c r="I104" s="176">
        <v>86.6</v>
      </c>
      <c r="J104" s="168">
        <v>2</v>
      </c>
      <c r="K104" s="168"/>
      <c r="L104" s="177">
        <v>10188</v>
      </c>
      <c r="M104" s="176">
        <v>126.69999999999993</v>
      </c>
      <c r="N104" s="176">
        <f t="shared" si="1"/>
        <v>226.63718533487292</v>
      </c>
      <c r="O104" s="177">
        <v>5864</v>
      </c>
      <c r="P104" s="176">
        <v>369.29999999999995</v>
      </c>
      <c r="Q104" s="176">
        <f t="shared" ref="Q104:Q167" si="2">P104/I104*$I$69</f>
        <v>660.59283775981532</v>
      </c>
      <c r="R104" s="177">
        <v>12525</v>
      </c>
      <c r="S104" s="176">
        <v>176.29999999999998</v>
      </c>
      <c r="T104" s="176">
        <f t="shared" ref="T104:T167" si="3">S104/I104*$I$69</f>
        <v>315.36018764434186</v>
      </c>
      <c r="U104" s="168"/>
      <c r="V104" s="171" t="s">
        <v>14</v>
      </c>
      <c r="W104" s="182">
        <f>+W106-SUM(W101:W103)</f>
        <v>71207.251964443858</v>
      </c>
      <c r="X104" s="182">
        <f>+X106-SUM(X101:X103)</f>
        <v>75674.261737361783</v>
      </c>
      <c r="Y104" s="182">
        <f>+Y106-SUM(Y101:Y103)</f>
        <v>82218.660648108969</v>
      </c>
      <c r="Z104" s="168"/>
      <c r="AA104" s="168"/>
      <c r="AB104" s="168"/>
      <c r="AC104" s="168"/>
      <c r="AD104" s="168"/>
      <c r="AE104" s="168"/>
      <c r="AF104" s="168"/>
      <c r="AG104" s="168"/>
      <c r="AH104" s="168"/>
      <c r="AI104" s="168"/>
      <c r="AJ104" s="168"/>
    </row>
    <row r="105" spans="1:36" x14ac:dyDescent="0.2">
      <c r="A105" s="171">
        <v>3</v>
      </c>
      <c r="B105" s="171"/>
      <c r="C105" s="171">
        <v>90.2</v>
      </c>
      <c r="D105" s="171">
        <v>76.099999999999994</v>
      </c>
      <c r="E105" s="171"/>
      <c r="F105" s="171"/>
      <c r="G105" s="171"/>
      <c r="H105" s="168"/>
      <c r="I105" s="176">
        <v>86.6</v>
      </c>
      <c r="J105" s="168">
        <v>3</v>
      </c>
      <c r="K105" s="168"/>
      <c r="L105" s="177">
        <v>10621</v>
      </c>
      <c r="M105" s="176">
        <v>132.60000000000002</v>
      </c>
      <c r="N105" s="176">
        <f t="shared" si="1"/>
        <v>237.19092956120102</v>
      </c>
      <c r="O105" s="177">
        <v>7951</v>
      </c>
      <c r="P105" s="176">
        <v>430.9</v>
      </c>
      <c r="Q105" s="176">
        <f t="shared" si="2"/>
        <v>770.78108256351049</v>
      </c>
      <c r="R105" s="177">
        <v>14126</v>
      </c>
      <c r="S105" s="176">
        <v>204.90000000000003</v>
      </c>
      <c r="T105" s="176">
        <f t="shared" si="3"/>
        <v>366.51901558891467</v>
      </c>
      <c r="U105" s="168"/>
      <c r="V105" s="171"/>
      <c r="W105" s="171"/>
      <c r="X105" s="171"/>
      <c r="Y105" s="171"/>
      <c r="Z105" s="168"/>
      <c r="AA105" s="168"/>
      <c r="AB105" s="168"/>
      <c r="AC105" s="168"/>
      <c r="AD105" s="168"/>
      <c r="AE105" s="168"/>
      <c r="AF105" s="168"/>
      <c r="AG105" s="168"/>
      <c r="AH105" s="168"/>
      <c r="AI105" s="168"/>
      <c r="AJ105" s="168"/>
    </row>
    <row r="106" spans="1:36" x14ac:dyDescent="0.2">
      <c r="A106" s="171">
        <v>4</v>
      </c>
      <c r="B106" s="171"/>
      <c r="C106" s="171">
        <v>92.6</v>
      </c>
      <c r="D106" s="171">
        <v>78.099999999999994</v>
      </c>
      <c r="E106" s="171"/>
      <c r="F106" s="171"/>
      <c r="G106" s="171"/>
      <c r="H106" s="168"/>
      <c r="I106" s="176">
        <v>87.3</v>
      </c>
      <c r="J106" s="168">
        <v>4</v>
      </c>
      <c r="K106" s="168"/>
      <c r="L106" s="177">
        <v>11640</v>
      </c>
      <c r="M106" s="176">
        <v>138.20000000000005</v>
      </c>
      <c r="N106" s="176">
        <f t="shared" si="1"/>
        <v>245.22584765177561</v>
      </c>
      <c r="O106" s="177">
        <v>13048</v>
      </c>
      <c r="P106" s="176">
        <v>427.00000000000023</v>
      </c>
      <c r="Q106" s="176">
        <f t="shared" si="2"/>
        <v>757.68044100801899</v>
      </c>
      <c r="R106" s="177">
        <v>13048</v>
      </c>
      <c r="S106" s="176">
        <v>185</v>
      </c>
      <c r="T106" s="176">
        <f t="shared" si="3"/>
        <v>328.26904352806423</v>
      </c>
      <c r="U106" s="168"/>
      <c r="V106" s="171" t="s">
        <v>87</v>
      </c>
      <c r="W106" s="181">
        <f>IF('Tab7'!C8="",+'Tab7'!C7+'Tab11'!C7,+'Tab7'!C8+'Tab11'!C8)</f>
        <v>109391.01070498592</v>
      </c>
      <c r="X106" s="181">
        <f>IF('Tab7'!D8="",+'Tab7'!D7+'Tab11'!D7,+'Tab7'!D8+'Tab11'!D8)</f>
        <v>116914.35385443312</v>
      </c>
      <c r="Y106" s="181">
        <f>IF('Tab7'!E8="",+'Tab7'!E7+'Tab11'!E7,+'Tab7'!E8+'Tab11'!E8)</f>
        <v>142037.33596391923</v>
      </c>
      <c r="Z106" s="168"/>
      <c r="AA106" s="168"/>
      <c r="AB106" s="168"/>
      <c r="AC106" s="168"/>
      <c r="AD106" s="168"/>
      <c r="AE106" s="168"/>
      <c r="AF106" s="168"/>
      <c r="AG106" s="168"/>
      <c r="AH106" s="168"/>
      <c r="AI106" s="168"/>
      <c r="AJ106" s="168"/>
    </row>
    <row r="107" spans="1:36" x14ac:dyDescent="0.2">
      <c r="A107" s="171">
        <v>1</v>
      </c>
      <c r="B107" s="171">
        <v>1992</v>
      </c>
      <c r="C107" s="171">
        <v>102</v>
      </c>
      <c r="D107" s="171">
        <v>87.1</v>
      </c>
      <c r="E107" s="171"/>
      <c r="F107" s="171"/>
      <c r="G107" s="171"/>
      <c r="H107" s="168"/>
      <c r="I107" s="176">
        <v>87.5</v>
      </c>
      <c r="J107" s="168">
        <v>1</v>
      </c>
      <c r="K107" s="168">
        <v>1992</v>
      </c>
      <c r="L107" s="177">
        <v>10520</v>
      </c>
      <c r="M107" s="176">
        <v>129.4</v>
      </c>
      <c r="N107" s="176">
        <f>M107/I107*$I$69</f>
        <v>229.08606285714291</v>
      </c>
      <c r="O107" s="177">
        <v>6509</v>
      </c>
      <c r="P107" s="176">
        <v>409.5</v>
      </c>
      <c r="Q107" s="176">
        <f t="shared" si="2"/>
        <v>724.96710000000007</v>
      </c>
      <c r="R107" s="177">
        <v>11030</v>
      </c>
      <c r="S107" s="176">
        <v>180.5</v>
      </c>
      <c r="T107" s="176">
        <f t="shared" si="3"/>
        <v>319.55204285714291</v>
      </c>
      <c r="U107" s="168"/>
      <c r="V107" s="168"/>
      <c r="W107" s="168"/>
      <c r="X107" s="168"/>
      <c r="Y107" s="168"/>
      <c r="Z107" s="168"/>
      <c r="AA107" s="168"/>
      <c r="AB107" s="168"/>
      <c r="AC107" s="168"/>
      <c r="AD107" s="168"/>
      <c r="AE107" s="168"/>
      <c r="AF107" s="168"/>
      <c r="AG107" s="168"/>
      <c r="AH107" s="168"/>
      <c r="AI107" s="168"/>
      <c r="AJ107" s="168"/>
    </row>
    <row r="108" spans="1:36" x14ac:dyDescent="0.2">
      <c r="A108" s="171">
        <v>2</v>
      </c>
      <c r="B108" s="171"/>
      <c r="C108" s="171">
        <v>92.2</v>
      </c>
      <c r="D108" s="171">
        <v>78.900000000000006</v>
      </c>
      <c r="E108" s="171"/>
      <c r="F108" s="171"/>
      <c r="G108" s="171"/>
      <c r="H108" s="168"/>
      <c r="I108" s="176">
        <v>88.6</v>
      </c>
      <c r="J108" s="168">
        <v>2</v>
      </c>
      <c r="K108" s="168"/>
      <c r="L108" s="177">
        <v>10661</v>
      </c>
      <c r="M108" s="176">
        <v>112.9</v>
      </c>
      <c r="N108" s="176">
        <f t="shared" ref="N108:N171" si="4">M108/I108*$I$69</f>
        <v>197.39341704288947</v>
      </c>
      <c r="O108" s="177">
        <v>5632</v>
      </c>
      <c r="P108" s="176">
        <v>412</v>
      </c>
      <c r="Q108" s="176">
        <f t="shared" si="2"/>
        <v>720.33735891647871</v>
      </c>
      <c r="R108" s="177">
        <v>13252</v>
      </c>
      <c r="S108" s="176">
        <v>167</v>
      </c>
      <c r="T108" s="176">
        <f t="shared" si="3"/>
        <v>291.98140519187365</v>
      </c>
      <c r="U108" s="168"/>
      <c r="V108" s="168"/>
      <c r="W108" s="168"/>
      <c r="X108" s="168"/>
      <c r="Y108" s="168"/>
      <c r="Z108" s="168"/>
      <c r="AA108" s="168"/>
      <c r="AB108" s="168"/>
      <c r="AC108" s="168"/>
      <c r="AD108" s="168"/>
      <c r="AE108" s="168"/>
      <c r="AF108" s="168"/>
      <c r="AG108" s="168"/>
      <c r="AH108" s="168"/>
      <c r="AI108" s="168"/>
      <c r="AJ108" s="168"/>
    </row>
    <row r="109" spans="1:36" x14ac:dyDescent="0.2">
      <c r="A109" s="171">
        <v>3</v>
      </c>
      <c r="B109" s="171"/>
      <c r="C109" s="171">
        <v>93.3</v>
      </c>
      <c r="D109" s="171">
        <v>79.900000000000006</v>
      </c>
      <c r="E109" s="171"/>
      <c r="F109" s="171"/>
      <c r="G109" s="171"/>
      <c r="H109" s="168"/>
      <c r="I109" s="176">
        <v>88.7</v>
      </c>
      <c r="J109" s="168">
        <v>3</v>
      </c>
      <c r="K109" s="168"/>
      <c r="L109" s="177">
        <v>11590</v>
      </c>
      <c r="M109" s="176">
        <v>130.59999999999997</v>
      </c>
      <c r="N109" s="176">
        <f t="shared" si="4"/>
        <v>228.082519729425</v>
      </c>
      <c r="O109" s="177">
        <v>8642</v>
      </c>
      <c r="P109" s="176">
        <v>440.40000000000009</v>
      </c>
      <c r="Q109" s="176">
        <f t="shared" si="2"/>
        <v>769.12359639233398</v>
      </c>
      <c r="R109" s="177">
        <v>15450</v>
      </c>
      <c r="S109" s="176">
        <v>219.10000000000002</v>
      </c>
      <c r="T109" s="176">
        <f t="shared" si="3"/>
        <v>382.64073562570468</v>
      </c>
      <c r="U109" s="168"/>
      <c r="V109" s="170" t="s">
        <v>186</v>
      </c>
      <c r="W109" s="171"/>
      <c r="X109" s="171"/>
      <c r="Y109" s="171"/>
      <c r="Z109" s="168"/>
      <c r="AA109" s="168"/>
      <c r="AB109" s="168"/>
      <c r="AC109" s="168"/>
      <c r="AD109" s="168"/>
      <c r="AE109" s="168"/>
      <c r="AF109" s="168"/>
      <c r="AG109" s="168"/>
      <c r="AH109" s="168"/>
      <c r="AI109" s="168"/>
      <c r="AJ109" s="168"/>
    </row>
    <row r="110" spans="1:36" x14ac:dyDescent="0.2">
      <c r="A110" s="171">
        <v>4</v>
      </c>
      <c r="B110" s="171"/>
      <c r="C110" s="171">
        <v>90.8</v>
      </c>
      <c r="D110" s="171">
        <v>77.599999999999994</v>
      </c>
      <c r="E110" s="171"/>
      <c r="F110" s="171"/>
      <c r="G110" s="171"/>
      <c r="H110" s="168"/>
      <c r="I110" s="176">
        <v>89.3</v>
      </c>
      <c r="J110" s="168">
        <v>4</v>
      </c>
      <c r="K110" s="168"/>
      <c r="L110" s="177">
        <v>11917</v>
      </c>
      <c r="M110" s="176">
        <v>108.50000000000006</v>
      </c>
      <c r="N110" s="176">
        <f t="shared" si="4"/>
        <v>188.2134798432252</v>
      </c>
      <c r="O110" s="177">
        <v>7139</v>
      </c>
      <c r="P110" s="176">
        <v>425.59999999999991</v>
      </c>
      <c r="Q110" s="176">
        <f t="shared" si="2"/>
        <v>738.28255319148934</v>
      </c>
      <c r="R110" s="177">
        <v>12309</v>
      </c>
      <c r="S110" s="176">
        <v>109.39999999999998</v>
      </c>
      <c r="T110" s="176">
        <f t="shared" si="3"/>
        <v>189.77469764837628</v>
      </c>
      <c r="U110" s="168"/>
      <c r="V110" s="171"/>
      <c r="W110" s="171"/>
      <c r="X110" s="171"/>
      <c r="Y110" s="171"/>
      <c r="Z110" s="168"/>
      <c r="AA110" s="168"/>
      <c r="AB110" s="168"/>
      <c r="AC110" s="168"/>
      <c r="AD110" s="168"/>
      <c r="AE110" s="168"/>
      <c r="AF110" s="168"/>
      <c r="AG110" s="168"/>
      <c r="AH110" s="168"/>
      <c r="AI110" s="168"/>
      <c r="AJ110" s="168"/>
    </row>
    <row r="111" spans="1:36" x14ac:dyDescent="0.2">
      <c r="A111" s="171">
        <v>1</v>
      </c>
      <c r="B111" s="171">
        <v>1993</v>
      </c>
      <c r="C111" s="171">
        <v>112.6</v>
      </c>
      <c r="D111" s="171">
        <v>96.5</v>
      </c>
      <c r="E111" s="171"/>
      <c r="F111" s="171"/>
      <c r="G111" s="171"/>
      <c r="H111" s="168"/>
      <c r="I111" s="176">
        <v>89.8</v>
      </c>
      <c r="J111" s="168">
        <v>1</v>
      </c>
      <c r="K111" s="168">
        <v>1993</v>
      </c>
      <c r="L111" s="177">
        <v>11275</v>
      </c>
      <c r="M111" s="176">
        <v>136.89999999999998</v>
      </c>
      <c r="N111" s="176">
        <f t="shared" si="4"/>
        <v>236.15631124721605</v>
      </c>
      <c r="O111" s="177">
        <v>6982</v>
      </c>
      <c r="P111" s="176">
        <v>449.4</v>
      </c>
      <c r="Q111" s="176">
        <f t="shared" si="2"/>
        <v>775.22751113585764</v>
      </c>
      <c r="R111" s="177">
        <v>10571</v>
      </c>
      <c r="S111" s="176">
        <v>175.5</v>
      </c>
      <c r="T111" s="176">
        <f t="shared" si="3"/>
        <v>302.7423858574611</v>
      </c>
      <c r="U111" s="168"/>
      <c r="V111" s="171"/>
      <c r="W111" s="175" t="str">
        <f>+W100</f>
        <v>2022</v>
      </c>
      <c r="X111" s="175" t="str">
        <f>+X100</f>
        <v>2023</v>
      </c>
      <c r="Y111" s="175" t="str">
        <f>+Y100</f>
        <v>2024</v>
      </c>
      <c r="Z111" s="168"/>
      <c r="AA111" s="168"/>
      <c r="AB111" s="168"/>
      <c r="AC111" s="168"/>
      <c r="AD111" s="168"/>
      <c r="AE111" s="168"/>
      <c r="AF111" s="168"/>
      <c r="AG111" s="168"/>
      <c r="AH111" s="168"/>
      <c r="AI111" s="168"/>
      <c r="AJ111" s="168"/>
    </row>
    <row r="112" spans="1:36" x14ac:dyDescent="0.2">
      <c r="A112" s="171">
        <v>2</v>
      </c>
      <c r="B112" s="171"/>
      <c r="C112" s="171">
        <f>205.6-C111</f>
        <v>93</v>
      </c>
      <c r="D112" s="171">
        <f>176.6-D111</f>
        <v>80.099999999999994</v>
      </c>
      <c r="E112" s="171"/>
      <c r="F112" s="171"/>
      <c r="G112" s="171"/>
      <c r="H112" s="168"/>
      <c r="I112" s="176">
        <v>90.8</v>
      </c>
      <c r="J112" s="168">
        <v>2</v>
      </c>
      <c r="K112" s="168"/>
      <c r="L112" s="177">
        <v>10076</v>
      </c>
      <c r="M112" s="176">
        <v>115.20000000000002</v>
      </c>
      <c r="N112" s="176">
        <f t="shared" si="4"/>
        <v>196.53462555066088</v>
      </c>
      <c r="O112" s="177">
        <v>6332</v>
      </c>
      <c r="P112" s="176">
        <v>352.9</v>
      </c>
      <c r="Q112" s="176">
        <f t="shared" si="2"/>
        <v>602.05789372246704</v>
      </c>
      <c r="R112" s="177">
        <v>12919</v>
      </c>
      <c r="S112" s="176">
        <v>191.20000000000005</v>
      </c>
      <c r="T112" s="176">
        <f t="shared" si="3"/>
        <v>326.19288546255518</v>
      </c>
      <c r="U112" s="168"/>
      <c r="V112" s="171" t="s">
        <v>171</v>
      </c>
      <c r="W112" s="180">
        <f>IF('Tab7'!C38="",+'Tab7'!C37+'Tab11'!C37,+'Tab7'!C38+'Tab11'!C38)</f>
        <v>1583.5781374260632</v>
      </c>
      <c r="X112" s="180">
        <f>IF('Tab7'!D38="",+'Tab7'!D37+'Tab11'!D37,+'Tab7'!D38+'Tab11'!D38)</f>
        <v>1683.6496945575757</v>
      </c>
      <c r="Y112" s="180">
        <f>IF('Tab7'!E38="",+'Tab7'!E37+'Tab11'!E37,+'Tab7'!E38+'Tab11'!E38)</f>
        <v>1770.5452152039006</v>
      </c>
      <c r="Z112" s="168"/>
      <c r="AA112" s="168"/>
      <c r="AB112" s="168"/>
      <c r="AC112" s="168"/>
      <c r="AD112" s="168"/>
      <c r="AE112" s="168"/>
      <c r="AF112" s="168"/>
      <c r="AG112" s="168"/>
      <c r="AH112" s="168"/>
      <c r="AI112" s="168"/>
      <c r="AJ112" s="168"/>
    </row>
    <row r="113" spans="1:36" x14ac:dyDescent="0.2">
      <c r="A113" s="171">
        <v>3</v>
      </c>
      <c r="B113" s="171"/>
      <c r="C113" s="171">
        <f>293.1-C112-C111</f>
        <v>87.500000000000028</v>
      </c>
      <c r="D113" s="171">
        <f>250.2-D112-D111</f>
        <v>73.599999999999994</v>
      </c>
      <c r="E113" s="171"/>
      <c r="F113" s="171"/>
      <c r="G113" s="171"/>
      <c r="H113" s="168"/>
      <c r="I113" s="176">
        <v>90.6</v>
      </c>
      <c r="J113" s="168">
        <v>3</v>
      </c>
      <c r="K113" s="168"/>
      <c r="L113" s="177">
        <v>11766</v>
      </c>
      <c r="M113" s="176">
        <v>132.79999999999998</v>
      </c>
      <c r="N113" s="176">
        <f t="shared" si="4"/>
        <v>227.06088300220753</v>
      </c>
      <c r="O113" s="177">
        <v>6675</v>
      </c>
      <c r="P113" s="176">
        <v>388.50000000000023</v>
      </c>
      <c r="Q113" s="176">
        <f t="shared" si="2"/>
        <v>664.25567052980182</v>
      </c>
      <c r="R113" s="177">
        <v>14800</v>
      </c>
      <c r="S113" s="176">
        <v>216.89999999999998</v>
      </c>
      <c r="T113" s="176">
        <f t="shared" si="3"/>
        <v>370.85471026490069</v>
      </c>
      <c r="U113" s="168"/>
      <c r="V113" s="171" t="s">
        <v>86</v>
      </c>
      <c r="W113" s="180">
        <f>IF('Tab7'!C40="",+'Tab7'!C39+'Tab11'!C39,+'Tab7'!C40+'Tab11'!C40)</f>
        <v>1376.8794156428473</v>
      </c>
      <c r="X113" s="180">
        <f>IF('Tab7'!D40="",+'Tab7'!D39+'Tab11'!D39,+'Tab7'!D40+'Tab11'!D40)</f>
        <v>1582.0941255005041</v>
      </c>
      <c r="Y113" s="180">
        <f>IF('Tab7'!E40="",+'Tab7'!E39+'Tab11'!E39,+'Tab7'!E40+'Tab11'!E40)</f>
        <v>2872.2760083969697</v>
      </c>
      <c r="Z113" s="168"/>
      <c r="AA113" s="168"/>
      <c r="AB113" s="168"/>
      <c r="AC113" s="168"/>
      <c r="AD113" s="168"/>
      <c r="AE113" s="168"/>
      <c r="AF113" s="168"/>
      <c r="AG113" s="168"/>
      <c r="AH113" s="168"/>
      <c r="AI113" s="168"/>
      <c r="AJ113" s="168"/>
    </row>
    <row r="114" spans="1:36" x14ac:dyDescent="0.2">
      <c r="A114" s="171">
        <v>4</v>
      </c>
      <c r="B114" s="171"/>
      <c r="C114" s="171">
        <f>413.2-C113-C112-C111</f>
        <v>120.09999999999994</v>
      </c>
      <c r="D114" s="171">
        <f>356.8-D113-D112-D111</f>
        <v>106.60000000000005</v>
      </c>
      <c r="E114" s="171"/>
      <c r="F114" s="171"/>
      <c r="G114" s="171"/>
      <c r="H114" s="168"/>
      <c r="I114" s="176">
        <v>91</v>
      </c>
      <c r="J114" s="168">
        <v>4</v>
      </c>
      <c r="K114" s="168"/>
      <c r="L114" s="177">
        <v>12707</v>
      </c>
      <c r="M114" s="176">
        <v>157.79999999999995</v>
      </c>
      <c r="N114" s="176">
        <f t="shared" si="4"/>
        <v>268.61981868131863</v>
      </c>
      <c r="O114" s="177">
        <v>6319</v>
      </c>
      <c r="P114" s="176">
        <v>466.99999999999977</v>
      </c>
      <c r="Q114" s="176">
        <f t="shared" si="2"/>
        <v>794.96486263736244</v>
      </c>
      <c r="R114" s="177">
        <v>11391</v>
      </c>
      <c r="S114" s="176">
        <v>164.5</v>
      </c>
      <c r="T114" s="176">
        <f t="shared" si="3"/>
        <v>280.02509615384622</v>
      </c>
      <c r="U114" s="168"/>
      <c r="V114" s="171" t="s">
        <v>63</v>
      </c>
      <c r="W114" s="180">
        <f>IF('Tab7'!C42="",+'Tab7'!C41+'Tab11'!C41,+'Tab7'!C42+'Tab11'!C42)</f>
        <v>123.13727232676553</v>
      </c>
      <c r="X114" s="180">
        <f>IF('Tab7'!D42="",+'Tab7'!D41+'Tab11'!D41,+'Tab7'!D42+'Tab11'!D42)</f>
        <v>165.33913199150734</v>
      </c>
      <c r="Y114" s="180">
        <f>IF('Tab7'!E42="",+'Tab7'!E41+'Tab11'!E41,+'Tab7'!E42+'Tab11'!E42)</f>
        <v>172.94986992488299</v>
      </c>
      <c r="Z114" s="168"/>
      <c r="AA114" s="168"/>
      <c r="AB114" s="168"/>
      <c r="AC114" s="168"/>
      <c r="AD114" s="168"/>
      <c r="AE114" s="168"/>
      <c r="AF114" s="168"/>
      <c r="AG114" s="168"/>
      <c r="AH114" s="168"/>
      <c r="AI114" s="168"/>
      <c r="AJ114" s="168"/>
    </row>
    <row r="115" spans="1:36" x14ac:dyDescent="0.2">
      <c r="A115" s="171">
        <v>1</v>
      </c>
      <c r="B115" s="171">
        <v>1994</v>
      </c>
      <c r="C115" s="171">
        <v>138.4</v>
      </c>
      <c r="D115" s="171">
        <v>120</v>
      </c>
      <c r="E115" s="171"/>
      <c r="F115" s="171"/>
      <c r="G115" s="171"/>
      <c r="H115" s="168"/>
      <c r="I115" s="176">
        <v>91</v>
      </c>
      <c r="J115" s="168">
        <v>1</v>
      </c>
      <c r="K115" s="168">
        <v>1994</v>
      </c>
      <c r="L115" s="177">
        <v>15224</v>
      </c>
      <c r="M115" s="176">
        <v>189</v>
      </c>
      <c r="N115" s="176">
        <f t="shared" si="4"/>
        <v>321.7309615384616</v>
      </c>
      <c r="O115" s="177">
        <v>6291</v>
      </c>
      <c r="P115" s="176">
        <v>427.6</v>
      </c>
      <c r="Q115" s="176">
        <f t="shared" si="2"/>
        <v>727.8950219780221</v>
      </c>
      <c r="R115" s="177">
        <v>8795</v>
      </c>
      <c r="S115" s="176">
        <v>161.69999999999999</v>
      </c>
      <c r="T115" s="176">
        <f t="shared" si="3"/>
        <v>275.25871153846157</v>
      </c>
      <c r="U115" s="168"/>
      <c r="V115" s="171" t="s">
        <v>14</v>
      </c>
      <c r="W115" s="183">
        <f>+W117-SUM(W112:W114)</f>
        <v>1111.9996137065696</v>
      </c>
      <c r="X115" s="183">
        <f>+X117-SUM(X112:X114)</f>
        <v>1300.1333977730355</v>
      </c>
      <c r="Y115" s="183">
        <f>+Y117-SUM(Y112:Y114)</f>
        <v>1800.4934145930793</v>
      </c>
      <c r="Z115" s="168"/>
      <c r="AA115" s="168"/>
      <c r="AB115" s="168"/>
      <c r="AC115" s="168"/>
      <c r="AD115" s="168"/>
      <c r="AE115" s="168"/>
      <c r="AF115" s="168"/>
      <c r="AG115" s="168"/>
      <c r="AH115" s="168"/>
      <c r="AI115" s="168"/>
      <c r="AJ115" s="168"/>
    </row>
    <row r="116" spans="1:36" x14ac:dyDescent="0.2">
      <c r="A116" s="171">
        <v>2</v>
      </c>
      <c r="B116" s="171"/>
      <c r="C116" s="171">
        <f>252.9-C115</f>
        <v>114.5</v>
      </c>
      <c r="D116" s="171">
        <f>218.1-D115</f>
        <v>98.1</v>
      </c>
      <c r="E116" s="171"/>
      <c r="F116" s="171"/>
      <c r="G116" s="171"/>
      <c r="H116" s="168"/>
      <c r="I116" s="176">
        <v>91.7</v>
      </c>
      <c r="J116" s="168">
        <v>2</v>
      </c>
      <c r="K116" s="168"/>
      <c r="L116" s="177">
        <v>13585</v>
      </c>
      <c r="M116" s="176">
        <v>166.5</v>
      </c>
      <c r="N116" s="176">
        <f t="shared" si="4"/>
        <v>281.26607142857148</v>
      </c>
      <c r="O116" s="177">
        <v>5517</v>
      </c>
      <c r="P116" s="176">
        <v>494.30000000000007</v>
      </c>
      <c r="Q116" s="176">
        <f t="shared" si="2"/>
        <v>835.01392857142878</v>
      </c>
      <c r="R116" s="177">
        <v>13449</v>
      </c>
      <c r="S116" s="176">
        <v>196.2</v>
      </c>
      <c r="T116" s="176">
        <f t="shared" si="3"/>
        <v>331.43785714285718</v>
      </c>
      <c r="U116" s="168"/>
      <c r="V116" s="171"/>
      <c r="W116" s="180"/>
      <c r="X116" s="180"/>
      <c r="Y116" s="180"/>
      <c r="Z116" s="168"/>
      <c r="AA116" s="168"/>
      <c r="AB116" s="168"/>
      <c r="AC116" s="168"/>
      <c r="AD116" s="168"/>
      <c r="AE116" s="168"/>
      <c r="AF116" s="168"/>
      <c r="AG116" s="168"/>
      <c r="AH116" s="168"/>
      <c r="AI116" s="168"/>
      <c r="AJ116" s="168"/>
    </row>
    <row r="117" spans="1:36" x14ac:dyDescent="0.2">
      <c r="A117" s="171">
        <v>3</v>
      </c>
      <c r="B117" s="171"/>
      <c r="C117" s="171">
        <f>365.7-C115-C116</f>
        <v>112.79999999999998</v>
      </c>
      <c r="D117" s="171">
        <f>316.9-D115-D116</f>
        <v>98.799999999999983</v>
      </c>
      <c r="E117" s="171"/>
      <c r="F117" s="171"/>
      <c r="G117" s="171"/>
      <c r="H117" s="168"/>
      <c r="I117" s="176">
        <v>92.1</v>
      </c>
      <c r="J117" s="168">
        <v>3</v>
      </c>
      <c r="K117" s="168"/>
      <c r="L117" s="177">
        <v>13956</v>
      </c>
      <c r="M117" s="176">
        <v>169.89999999999998</v>
      </c>
      <c r="N117" s="176">
        <f t="shared" si="4"/>
        <v>285.7631297502715</v>
      </c>
      <c r="O117" s="177">
        <v>8952</v>
      </c>
      <c r="P117" s="176">
        <v>425.5</v>
      </c>
      <c r="Q117" s="176">
        <f t="shared" si="2"/>
        <v>715.66928610206321</v>
      </c>
      <c r="R117" s="177">
        <v>15669</v>
      </c>
      <c r="S117" s="176">
        <v>219.80000000000007</v>
      </c>
      <c r="T117" s="176">
        <f t="shared" si="3"/>
        <v>369.69238327904475</v>
      </c>
      <c r="U117" s="168"/>
      <c r="V117" s="171" t="s">
        <v>87</v>
      </c>
      <c r="W117" s="180">
        <f>IF('Tab7'!C36="",+'Tab7'!C35+'Tab11'!C35,+'Tab7'!C36+'Tab11'!C36)</f>
        <v>4195.5944391022458</v>
      </c>
      <c r="X117" s="180">
        <f>IF('Tab7'!D36="",+'Tab7'!D35+'Tab11'!D35,+'Tab7'!D36+'Tab11'!D36)</f>
        <v>4731.2163498226228</v>
      </c>
      <c r="Y117" s="180">
        <f>IF('Tab7'!E36="",+'Tab7'!E35+'Tab11'!E35,+'Tab7'!E36+'Tab11'!E36)</f>
        <v>6616.264508118833</v>
      </c>
      <c r="Z117" s="168"/>
      <c r="AA117" s="168"/>
      <c r="AB117" s="168"/>
      <c r="AC117" s="168"/>
      <c r="AD117" s="168"/>
      <c r="AE117" s="168"/>
      <c r="AF117" s="168"/>
      <c r="AG117" s="168"/>
      <c r="AH117" s="168"/>
      <c r="AI117" s="168"/>
      <c r="AJ117" s="168"/>
    </row>
    <row r="118" spans="1:36" x14ac:dyDescent="0.2">
      <c r="A118" s="171">
        <v>4</v>
      </c>
      <c r="B118" s="171"/>
      <c r="C118" s="171">
        <f>480.2-C115-C116-C117</f>
        <v>114.49999999999997</v>
      </c>
      <c r="D118" s="171">
        <f>417.1-D115-D116-D117</f>
        <v>100.20000000000005</v>
      </c>
      <c r="E118" s="171"/>
      <c r="F118" s="171"/>
      <c r="G118" s="171"/>
      <c r="H118" s="168"/>
      <c r="I118" s="176">
        <v>92.6</v>
      </c>
      <c r="J118" s="168">
        <v>4</v>
      </c>
      <c r="K118" s="168"/>
      <c r="L118" s="177">
        <v>14006</v>
      </c>
      <c r="M118" s="176">
        <v>140.80000000000007</v>
      </c>
      <c r="N118" s="176">
        <f t="shared" si="4"/>
        <v>235.53969762419021</v>
      </c>
      <c r="O118" s="177">
        <v>8189</v>
      </c>
      <c r="P118" s="176">
        <v>390.59999999999991</v>
      </c>
      <c r="Q118" s="176">
        <f t="shared" si="2"/>
        <v>653.42191684665238</v>
      </c>
      <c r="R118" s="177">
        <v>14139</v>
      </c>
      <c r="S118" s="176">
        <v>214.39999999999998</v>
      </c>
      <c r="T118" s="176">
        <f t="shared" si="3"/>
        <v>358.66272138228948</v>
      </c>
      <c r="U118" s="168"/>
      <c r="V118" s="171"/>
      <c r="W118" s="168"/>
      <c r="X118" s="171"/>
      <c r="Y118" s="168"/>
      <c r="Z118" s="168"/>
      <c r="AA118" s="168"/>
      <c r="AB118" s="168"/>
      <c r="AC118" s="168"/>
      <c r="AD118" s="168"/>
      <c r="AE118" s="168"/>
      <c r="AF118" s="168"/>
      <c r="AG118" s="168"/>
      <c r="AH118" s="168"/>
      <c r="AI118" s="168"/>
      <c r="AJ118" s="168"/>
    </row>
    <row r="119" spans="1:36" x14ac:dyDescent="0.2">
      <c r="A119" s="171">
        <v>1</v>
      </c>
      <c r="B119" s="171">
        <v>1995</v>
      </c>
      <c r="C119" s="171">
        <v>137.19999999999999</v>
      </c>
      <c r="D119" s="171">
        <v>119.3</v>
      </c>
      <c r="E119" s="171"/>
      <c r="F119" s="171"/>
      <c r="G119" s="171"/>
      <c r="H119" s="168"/>
      <c r="I119" s="176">
        <v>93.4</v>
      </c>
      <c r="J119" s="168">
        <v>1</v>
      </c>
      <c r="K119" s="168">
        <v>1995</v>
      </c>
      <c r="L119" s="177">
        <v>13188</v>
      </c>
      <c r="M119" s="176">
        <v>171.1</v>
      </c>
      <c r="N119" s="176">
        <f t="shared" si="4"/>
        <v>283.77594486081375</v>
      </c>
      <c r="O119" s="177">
        <v>7699</v>
      </c>
      <c r="P119" s="176">
        <v>543</v>
      </c>
      <c r="Q119" s="176">
        <f t="shared" si="2"/>
        <v>900.58642933618853</v>
      </c>
      <c r="R119" s="177">
        <v>11007</v>
      </c>
      <c r="S119" s="176">
        <v>183.1</v>
      </c>
      <c r="T119" s="176">
        <f t="shared" si="3"/>
        <v>303.67840738758036</v>
      </c>
      <c r="U119" s="168"/>
      <c r="V119" s="170" t="s">
        <v>180</v>
      </c>
      <c r="W119" s="168"/>
      <c r="X119" s="168"/>
      <c r="Y119" s="168"/>
      <c r="Z119" s="168"/>
      <c r="AA119" s="168"/>
      <c r="AB119" s="168"/>
      <c r="AC119" s="168"/>
      <c r="AD119" s="168"/>
      <c r="AE119" s="168"/>
      <c r="AF119" s="168"/>
      <c r="AG119" s="168"/>
      <c r="AH119" s="168"/>
      <c r="AI119" s="168"/>
      <c r="AJ119" s="168"/>
    </row>
    <row r="120" spans="1:36" x14ac:dyDescent="0.2">
      <c r="A120" s="171">
        <v>2</v>
      </c>
      <c r="B120" s="171"/>
      <c r="C120" s="171">
        <f>248.2-C119</f>
        <v>111</v>
      </c>
      <c r="D120" s="171">
        <f>214.7-D119</f>
        <v>95.399999999999991</v>
      </c>
      <c r="E120" s="171"/>
      <c r="F120" s="171"/>
      <c r="G120" s="171"/>
      <c r="H120" s="168"/>
      <c r="I120" s="176">
        <v>94.1</v>
      </c>
      <c r="J120" s="168">
        <v>2</v>
      </c>
      <c r="K120" s="168"/>
      <c r="L120" s="177">
        <v>11077</v>
      </c>
      <c r="M120" s="176">
        <v>148.30000000000004</v>
      </c>
      <c r="N120" s="176">
        <f t="shared" si="4"/>
        <v>244.13158607863988</v>
      </c>
      <c r="O120" s="177">
        <v>5465</v>
      </c>
      <c r="P120" s="176">
        <v>462.40000000000009</v>
      </c>
      <c r="Q120" s="176">
        <f t="shared" si="2"/>
        <v>761.2032731137092</v>
      </c>
      <c r="R120" s="177">
        <v>13915</v>
      </c>
      <c r="S120" s="176">
        <v>213.4</v>
      </c>
      <c r="T120" s="176">
        <f t="shared" si="3"/>
        <v>351.29926142401706</v>
      </c>
      <c r="U120" s="168"/>
      <c r="V120" s="168"/>
      <c r="W120" s="168"/>
      <c r="X120" s="168"/>
      <c r="Y120" s="168"/>
      <c r="Z120" s="168"/>
      <c r="AA120" s="168"/>
      <c r="AB120" s="168"/>
      <c r="AC120" s="168"/>
      <c r="AD120" s="168"/>
      <c r="AE120" s="168"/>
      <c r="AF120" s="168"/>
      <c r="AG120" s="168"/>
      <c r="AH120" s="168"/>
      <c r="AI120" s="168"/>
      <c r="AJ120" s="168"/>
    </row>
    <row r="121" spans="1:36" x14ac:dyDescent="0.2">
      <c r="A121" s="171">
        <v>3</v>
      </c>
      <c r="B121" s="171"/>
      <c r="C121" s="171">
        <f>364.1-C119-C120</f>
        <v>115.90000000000003</v>
      </c>
      <c r="D121" s="171">
        <f>315.7-D119-D120</f>
        <v>100.99999999999999</v>
      </c>
      <c r="E121" s="171"/>
      <c r="F121" s="171"/>
      <c r="G121" s="171"/>
      <c r="H121" s="168"/>
      <c r="I121" s="176">
        <v>94.1</v>
      </c>
      <c r="J121" s="168">
        <v>3</v>
      </c>
      <c r="K121" s="168"/>
      <c r="L121" s="177">
        <v>13937</v>
      </c>
      <c r="M121" s="176">
        <v>180.19999999999993</v>
      </c>
      <c r="N121" s="176">
        <f t="shared" si="4"/>
        <v>296.64539319872472</v>
      </c>
      <c r="O121" s="177">
        <v>9139</v>
      </c>
      <c r="P121" s="176">
        <v>487.89999999999986</v>
      </c>
      <c r="Q121" s="176">
        <f t="shared" si="2"/>
        <v>803.18139479277352</v>
      </c>
      <c r="R121" s="177">
        <v>17436</v>
      </c>
      <c r="S121" s="176">
        <v>224.09999999999991</v>
      </c>
      <c r="T121" s="176">
        <f t="shared" si="3"/>
        <v>368.91361052072256</v>
      </c>
      <c r="U121" s="168"/>
      <c r="V121" s="171"/>
      <c r="W121" s="175" t="str">
        <f>+'Tab3'!C6</f>
        <v>2022</v>
      </c>
      <c r="X121" s="175" t="str">
        <f>+'Tab3'!D6</f>
        <v>2023</v>
      </c>
      <c r="Y121" s="175" t="str">
        <f>+'Tab3'!E6</f>
        <v>2024</v>
      </c>
      <c r="Z121" s="168"/>
      <c r="AA121" s="168"/>
      <c r="AB121" s="168"/>
      <c r="AC121" s="168"/>
      <c r="AD121" s="168"/>
      <c r="AE121" s="168"/>
      <c r="AF121" s="168"/>
      <c r="AG121" s="168"/>
      <c r="AH121" s="168"/>
      <c r="AI121" s="168"/>
      <c r="AJ121" s="168"/>
    </row>
    <row r="122" spans="1:36" x14ac:dyDescent="0.2">
      <c r="A122" s="171">
        <v>4</v>
      </c>
      <c r="B122" s="171"/>
      <c r="C122" s="171">
        <f>482.9-C119-C120-C121</f>
        <v>118.79999999999995</v>
      </c>
      <c r="D122" s="171">
        <f>420.1-D119-D120-D121</f>
        <v>104.40000000000005</v>
      </c>
      <c r="E122" s="171"/>
      <c r="F122" s="171"/>
      <c r="G122" s="171"/>
      <c r="H122" s="168"/>
      <c r="I122" s="176">
        <v>94.6</v>
      </c>
      <c r="J122" s="168">
        <v>4</v>
      </c>
      <c r="K122" s="168"/>
      <c r="L122" s="177">
        <v>13920</v>
      </c>
      <c r="M122" s="176">
        <v>172.00000000000006</v>
      </c>
      <c r="N122" s="176">
        <f t="shared" si="4"/>
        <v>281.65000000000015</v>
      </c>
      <c r="O122" s="177">
        <v>7500</v>
      </c>
      <c r="P122" s="176">
        <v>369.89999999999986</v>
      </c>
      <c r="Q122" s="176">
        <f t="shared" si="2"/>
        <v>605.71124999999995</v>
      </c>
      <c r="R122" s="177">
        <v>15130</v>
      </c>
      <c r="S122" s="176">
        <v>206.30000000000018</v>
      </c>
      <c r="T122" s="176">
        <f t="shared" si="3"/>
        <v>337.81625000000037</v>
      </c>
      <c r="U122" s="168"/>
      <c r="V122" s="171" t="s">
        <v>10</v>
      </c>
      <c r="W122" s="175">
        <f>IF('Tab3'!C22="",'Tab3'!C29,'Tab3'!C30)</f>
        <v>66033.36538461539</v>
      </c>
      <c r="X122" s="175">
        <f>IF('Tab3'!D22="",'Tab3'!D29,'Tab3'!D30)</f>
        <v>85249</v>
      </c>
      <c r="Y122" s="175">
        <f>IF('Tab3'!E22="",'Tab3'!E29,'Tab3'!E30)</f>
        <v>92765.108974358969</v>
      </c>
      <c r="Z122" s="168"/>
      <c r="AA122" s="168"/>
      <c r="AB122" s="168"/>
      <c r="AC122" s="168"/>
      <c r="AD122" s="168"/>
      <c r="AE122" s="168"/>
      <c r="AF122" s="168"/>
      <c r="AG122" s="168"/>
      <c r="AH122" s="168"/>
      <c r="AI122" s="168"/>
      <c r="AJ122" s="168"/>
    </row>
    <row r="123" spans="1:36" x14ac:dyDescent="0.2">
      <c r="A123" s="171">
        <v>1</v>
      </c>
      <c r="B123" s="171">
        <v>1996</v>
      </c>
      <c r="C123" s="171">
        <v>143.9</v>
      </c>
      <c r="D123" s="171">
        <v>126.9</v>
      </c>
      <c r="E123" s="171"/>
      <c r="F123" s="171"/>
      <c r="G123" s="171"/>
      <c r="H123" s="168"/>
      <c r="I123" s="176">
        <v>94.2</v>
      </c>
      <c r="J123" s="168">
        <v>1</v>
      </c>
      <c r="K123" s="168">
        <v>1996</v>
      </c>
      <c r="L123" s="177">
        <v>29850</v>
      </c>
      <c r="M123" s="176">
        <v>375.59999999999997</v>
      </c>
      <c r="N123" s="176">
        <f t="shared" si="4"/>
        <v>617.65665605095546</v>
      </c>
      <c r="O123" s="177">
        <v>7239</v>
      </c>
      <c r="P123" s="176">
        <v>479.9</v>
      </c>
      <c r="Q123" s="176">
        <f t="shared" si="2"/>
        <v>789.17313428874752</v>
      </c>
      <c r="R123" s="177">
        <v>11785</v>
      </c>
      <c r="S123" s="176">
        <v>198.60000000000002</v>
      </c>
      <c r="T123" s="176">
        <f t="shared" si="3"/>
        <v>326.58842356687904</v>
      </c>
      <c r="U123" s="168"/>
      <c r="V123" s="168" t="s">
        <v>112</v>
      </c>
      <c r="W123" s="175">
        <f>IF('Tab9'!C8="",'Tab9'!C7,'Tab9'!C8)</f>
        <v>34271.789724271439</v>
      </c>
      <c r="X123" s="175">
        <f>IF('Tab9'!D8="",'Tab9'!D7,'Tab9'!D8)</f>
        <v>35963.894992936745</v>
      </c>
      <c r="Y123" s="175">
        <f>IF('Tab9'!E8="",'Tab9'!E7,'Tab9'!E8)</f>
        <v>48264.131969514645</v>
      </c>
      <c r="Z123" s="168"/>
      <c r="AA123" s="168"/>
      <c r="AB123" s="168"/>
      <c r="AC123" s="168"/>
      <c r="AD123" s="168"/>
      <c r="AE123" s="168"/>
      <c r="AF123" s="168"/>
      <c r="AG123" s="168"/>
      <c r="AH123" s="168"/>
      <c r="AI123" s="168"/>
      <c r="AJ123" s="168"/>
    </row>
    <row r="124" spans="1:36" x14ac:dyDescent="0.2">
      <c r="A124" s="171">
        <v>2</v>
      </c>
      <c r="B124" s="171"/>
      <c r="C124" s="171">
        <f>275.5-C123</f>
        <v>131.6</v>
      </c>
      <c r="D124" s="171">
        <f>242.6-D123</f>
        <v>115.69999999999999</v>
      </c>
      <c r="E124" s="171"/>
      <c r="F124" s="171"/>
      <c r="G124" s="171"/>
      <c r="H124" s="168"/>
      <c r="I124" s="176">
        <v>95.1</v>
      </c>
      <c r="J124" s="168">
        <v>2</v>
      </c>
      <c r="K124" s="168"/>
      <c r="L124" s="177">
        <v>17799</v>
      </c>
      <c r="M124" s="176">
        <v>234.8</v>
      </c>
      <c r="N124" s="176">
        <f t="shared" si="4"/>
        <v>382.46352260778139</v>
      </c>
      <c r="O124" s="177">
        <v>6503</v>
      </c>
      <c r="P124" s="176">
        <v>585.30000000000007</v>
      </c>
      <c r="Q124" s="176">
        <f t="shared" si="2"/>
        <v>953.38969242902238</v>
      </c>
      <c r="R124" s="177">
        <v>14642</v>
      </c>
      <c r="S124" s="176">
        <v>220.09999999999997</v>
      </c>
      <c r="T124" s="176">
        <f t="shared" si="3"/>
        <v>358.51883017875923</v>
      </c>
      <c r="U124" s="168"/>
      <c r="V124" s="168" t="s">
        <v>111</v>
      </c>
      <c r="W124" s="175">
        <f>IF('Tab8'!C8="",'Tab8'!C7,'Tab8'!C8)</f>
        <v>55060.821866443432</v>
      </c>
      <c r="X124" s="175">
        <f>IF('Tab8'!D8="",'Tab8'!D7,'Tab8'!D8)</f>
        <v>58109</v>
      </c>
      <c r="Y124" s="175">
        <f>IF('Tab8'!E8="",'Tab8'!E7,'Tab8'!E8)</f>
        <v>63559.629222693104</v>
      </c>
      <c r="Z124" s="168"/>
      <c r="AA124" s="168"/>
      <c r="AB124" s="168"/>
      <c r="AC124" s="168"/>
      <c r="AD124" s="168"/>
      <c r="AE124" s="168"/>
      <c r="AF124" s="168"/>
      <c r="AG124" s="168"/>
      <c r="AH124" s="168"/>
      <c r="AI124" s="168"/>
      <c r="AJ124" s="168"/>
    </row>
    <row r="125" spans="1:36" x14ac:dyDescent="0.2">
      <c r="A125" s="171">
        <v>3</v>
      </c>
      <c r="B125" s="171"/>
      <c r="C125" s="171">
        <f>387.5-C123-C124</f>
        <v>112</v>
      </c>
      <c r="D125" s="171">
        <f>339.3-D123-D124</f>
        <v>96.700000000000017</v>
      </c>
      <c r="E125" s="171"/>
      <c r="F125" s="171"/>
      <c r="G125" s="171"/>
      <c r="H125" s="168"/>
      <c r="I125" s="176">
        <v>95.5</v>
      </c>
      <c r="J125" s="168">
        <v>3</v>
      </c>
      <c r="K125" s="168"/>
      <c r="L125" s="177">
        <v>16263</v>
      </c>
      <c r="M125" s="176">
        <v>240.00000000000011</v>
      </c>
      <c r="N125" s="176">
        <f t="shared" si="4"/>
        <v>389.2963350785343</v>
      </c>
      <c r="O125" s="177">
        <v>8934</v>
      </c>
      <c r="P125" s="176">
        <v>581.89999999999986</v>
      </c>
      <c r="Q125" s="176">
        <f t="shared" si="2"/>
        <v>943.88140575916225</v>
      </c>
      <c r="R125" s="177">
        <v>17198</v>
      </c>
      <c r="S125" s="176">
        <v>233.2</v>
      </c>
      <c r="T125" s="176">
        <f t="shared" si="3"/>
        <v>378.26627225130898</v>
      </c>
      <c r="U125" s="168"/>
      <c r="V125" s="171" t="s">
        <v>169</v>
      </c>
      <c r="W125" s="175">
        <f>IF('Tab3'!C16="",'Tab3'!C15,'Tab3'!C16)</f>
        <v>11825.08552317248</v>
      </c>
      <c r="X125" s="175">
        <f>IF('Tab3'!D16="",'Tab3'!D15,'Tab3'!D16)</f>
        <v>14204.681955725435</v>
      </c>
      <c r="Y125" s="175">
        <f>IF('Tab3'!E16="",'Tab3'!E15,'Tab3'!E16)</f>
        <v>18591.561395126613</v>
      </c>
      <c r="Z125" s="168"/>
      <c r="AA125" s="168"/>
      <c r="AB125" s="168"/>
      <c r="AC125" s="168"/>
      <c r="AD125" s="168"/>
      <c r="AE125" s="168"/>
      <c r="AF125" s="168"/>
      <c r="AG125" s="168"/>
      <c r="AH125" s="168"/>
      <c r="AI125" s="168"/>
      <c r="AJ125" s="168"/>
    </row>
    <row r="126" spans="1:36" x14ac:dyDescent="0.2">
      <c r="A126" s="171">
        <v>4</v>
      </c>
      <c r="B126" s="171"/>
      <c r="C126" s="171">
        <f>520-C123-C124-C125</f>
        <v>132.50000000000003</v>
      </c>
      <c r="D126" s="171">
        <f>452.4-D123-D124-D125</f>
        <v>113.1</v>
      </c>
      <c r="E126" s="171"/>
      <c r="F126" s="171"/>
      <c r="G126" s="171"/>
      <c r="H126" s="168"/>
      <c r="I126" s="176">
        <v>96.3</v>
      </c>
      <c r="J126" s="168">
        <v>4</v>
      </c>
      <c r="K126" s="168"/>
      <c r="L126" s="177">
        <v>16638</v>
      </c>
      <c r="M126" s="176">
        <v>233.40000000000009</v>
      </c>
      <c r="N126" s="176">
        <f t="shared" si="4"/>
        <v>375.44559190031174</v>
      </c>
      <c r="O126" s="177">
        <v>7966</v>
      </c>
      <c r="P126" s="176">
        <v>665.80000000000018</v>
      </c>
      <c r="Q126" s="176">
        <f t="shared" si="2"/>
        <v>1071.0011786085156</v>
      </c>
      <c r="R126" s="177">
        <v>13841</v>
      </c>
      <c r="S126" s="176">
        <v>188.00000000000011</v>
      </c>
      <c r="T126" s="176">
        <f t="shared" si="3"/>
        <v>302.41547248182786</v>
      </c>
      <c r="U126" s="168"/>
      <c r="V126" s="168"/>
      <c r="W126" s="168"/>
      <c r="X126" s="168"/>
      <c r="Y126" s="168"/>
      <c r="Z126" s="168"/>
      <c r="AA126" s="168"/>
      <c r="AB126" s="168"/>
      <c r="AC126" s="168"/>
      <c r="AD126" s="168"/>
      <c r="AE126" s="168"/>
      <c r="AF126" s="168"/>
      <c r="AG126" s="168"/>
      <c r="AH126" s="168"/>
      <c r="AI126" s="168"/>
      <c r="AJ126" s="168"/>
    </row>
    <row r="127" spans="1:36" x14ac:dyDescent="0.2">
      <c r="A127" s="171">
        <v>1</v>
      </c>
      <c r="B127" s="171">
        <v>1997</v>
      </c>
      <c r="C127" s="171">
        <v>142.6</v>
      </c>
      <c r="D127" s="171">
        <v>124.8</v>
      </c>
      <c r="E127" s="171"/>
      <c r="F127" s="171"/>
      <c r="G127" s="171"/>
      <c r="H127" s="168"/>
      <c r="I127" s="176">
        <v>97.3</v>
      </c>
      <c r="J127" s="168">
        <v>1</v>
      </c>
      <c r="K127" s="168">
        <v>1997</v>
      </c>
      <c r="L127" s="177">
        <v>17837</v>
      </c>
      <c r="M127" s="176">
        <v>255.29999999999998</v>
      </c>
      <c r="N127" s="176">
        <f t="shared" si="4"/>
        <v>406.45308067831456</v>
      </c>
      <c r="O127" s="177">
        <v>7574</v>
      </c>
      <c r="P127" s="176">
        <v>625.70000000000005</v>
      </c>
      <c r="Q127" s="176">
        <f t="shared" si="2"/>
        <v>996.15234069886969</v>
      </c>
      <c r="R127" s="177">
        <v>10571</v>
      </c>
      <c r="S127" s="176">
        <v>187.8</v>
      </c>
      <c r="T127" s="176">
        <f t="shared" si="3"/>
        <v>298.98898766700933</v>
      </c>
      <c r="U127" s="168"/>
      <c r="V127" s="170" t="s">
        <v>181</v>
      </c>
      <c r="W127" s="168"/>
      <c r="X127" s="168"/>
      <c r="Y127" s="168"/>
      <c r="Z127" s="168"/>
      <c r="AA127" s="168"/>
      <c r="AB127" s="168"/>
      <c r="AC127" s="168"/>
      <c r="AD127" s="168"/>
      <c r="AE127" s="168"/>
      <c r="AF127" s="168"/>
      <c r="AG127" s="168"/>
      <c r="AH127" s="168"/>
      <c r="AI127" s="168"/>
      <c r="AJ127" s="168"/>
    </row>
    <row r="128" spans="1:36" x14ac:dyDescent="0.2">
      <c r="A128" s="171">
        <v>2</v>
      </c>
      <c r="B128" s="171"/>
      <c r="C128" s="171">
        <f>284.4-C127</f>
        <v>141.79999999999998</v>
      </c>
      <c r="D128" s="171">
        <f>247.3-D127</f>
        <v>122.50000000000001</v>
      </c>
      <c r="E128" s="171"/>
      <c r="F128" s="171"/>
      <c r="G128" s="171"/>
      <c r="H128" s="168"/>
      <c r="I128" s="176">
        <v>97.7</v>
      </c>
      <c r="J128" s="168">
        <v>2</v>
      </c>
      <c r="K128" s="168"/>
      <c r="L128" s="177">
        <v>16872</v>
      </c>
      <c r="M128" s="176">
        <v>281.30000000000007</v>
      </c>
      <c r="N128" s="176">
        <f t="shared" si="4"/>
        <v>446.01309877175044</v>
      </c>
      <c r="O128" s="177">
        <v>7284</v>
      </c>
      <c r="P128" s="176">
        <v>664.39999999999986</v>
      </c>
      <c r="Q128" s="176">
        <f t="shared" si="2"/>
        <v>1053.4344216990787</v>
      </c>
      <c r="R128" s="177">
        <v>14837</v>
      </c>
      <c r="S128" s="176">
        <v>224.59999999999997</v>
      </c>
      <c r="T128" s="176">
        <f t="shared" si="3"/>
        <v>356.11284032753326</v>
      </c>
      <c r="U128" s="168"/>
      <c r="V128" s="168"/>
      <c r="W128" s="175" t="str">
        <f>+'Tab3'!C6</f>
        <v>2022</v>
      </c>
      <c r="X128" s="175" t="str">
        <f>+'Tab3'!D6</f>
        <v>2023</v>
      </c>
      <c r="Y128" s="175" t="str">
        <f>+'Tab3'!E6</f>
        <v>2024</v>
      </c>
      <c r="Z128" s="168"/>
      <c r="AA128" s="168"/>
      <c r="AB128" s="168"/>
      <c r="AC128" s="168"/>
      <c r="AD128" s="168"/>
      <c r="AE128" s="168"/>
      <c r="AF128" s="168"/>
      <c r="AG128" s="168"/>
      <c r="AH128" s="168"/>
      <c r="AI128" s="168"/>
      <c r="AJ128" s="168"/>
    </row>
    <row r="129" spans="1:36" x14ac:dyDescent="0.2">
      <c r="A129" s="171">
        <v>3</v>
      </c>
      <c r="B129" s="171"/>
      <c r="C129" s="171">
        <f>419.8-C127-C128</f>
        <v>135.40000000000006</v>
      </c>
      <c r="D129" s="171">
        <f>364.6-D127-D128</f>
        <v>117.3</v>
      </c>
      <c r="E129" s="171"/>
      <c r="F129" s="171" t="s">
        <v>74</v>
      </c>
      <c r="G129" s="171"/>
      <c r="H129" s="168"/>
      <c r="I129" s="176">
        <v>97.7</v>
      </c>
      <c r="J129" s="168">
        <v>3</v>
      </c>
      <c r="K129" s="168"/>
      <c r="L129" s="177">
        <v>17873</v>
      </c>
      <c r="M129" s="176">
        <v>297.89999999999998</v>
      </c>
      <c r="N129" s="176">
        <f t="shared" si="4"/>
        <v>472.33310388945756</v>
      </c>
      <c r="O129" s="177">
        <v>14581</v>
      </c>
      <c r="P129" s="176">
        <v>720.30000000000018</v>
      </c>
      <c r="Q129" s="176">
        <f t="shared" si="2"/>
        <v>1142.0662461617201</v>
      </c>
      <c r="R129" s="177">
        <v>15670</v>
      </c>
      <c r="S129" s="176">
        <v>198.80000000000007</v>
      </c>
      <c r="T129" s="176">
        <f t="shared" si="3"/>
        <v>315.20584442169923</v>
      </c>
      <c r="U129" s="168"/>
      <c r="V129" s="171" t="s">
        <v>11</v>
      </c>
      <c r="W129" s="175">
        <f>IF('Tab3'!C30="",'Tab3'!C31,'Tab3'!C32)</f>
        <v>1816.3347880299252</v>
      </c>
      <c r="X129" s="175">
        <f>IF('Tab3'!D30="",'Tab3'!D31,'Tab3'!D32)</f>
        <v>1472.7774314214464</v>
      </c>
      <c r="Y129" s="175">
        <f>IF('Tab3'!E30="",'Tab3'!E31,'Tab3'!E32)</f>
        <v>2296.2699501246884</v>
      </c>
      <c r="Z129" s="168"/>
      <c r="AA129" s="168"/>
      <c r="AB129" s="168"/>
      <c r="AC129" s="168"/>
      <c r="AD129" s="168"/>
      <c r="AE129" s="168"/>
      <c r="AF129" s="168"/>
      <c r="AG129" s="168"/>
      <c r="AH129" s="168"/>
      <c r="AI129" s="168"/>
      <c r="AJ129" s="168"/>
    </row>
    <row r="130" spans="1:36" x14ac:dyDescent="0.2">
      <c r="A130" s="171">
        <v>4</v>
      </c>
      <c r="B130" s="171"/>
      <c r="C130" s="171">
        <f>550.4-C127-C128-C129</f>
        <v>130.59999999999994</v>
      </c>
      <c r="D130" s="171">
        <f>478.3-D127-D128-D129</f>
        <v>113.7</v>
      </c>
      <c r="E130" s="171"/>
      <c r="F130" s="171"/>
      <c r="G130" s="171"/>
      <c r="H130" s="168"/>
      <c r="I130" s="176">
        <v>98.4</v>
      </c>
      <c r="J130" s="168">
        <v>4</v>
      </c>
      <c r="K130" s="168"/>
      <c r="L130" s="177">
        <v>15493</v>
      </c>
      <c r="M130" s="176">
        <v>267.70000000000005</v>
      </c>
      <c r="N130" s="176">
        <f t="shared" si="4"/>
        <v>421.43026168699197</v>
      </c>
      <c r="O130" s="177">
        <v>9445</v>
      </c>
      <c r="P130" s="176">
        <v>564</v>
      </c>
      <c r="Q130" s="176">
        <f t="shared" si="2"/>
        <v>887.88445121951236</v>
      </c>
      <c r="R130" s="177">
        <v>13087</v>
      </c>
      <c r="S130" s="176">
        <v>185.09999999999991</v>
      </c>
      <c r="T130" s="176">
        <f t="shared" si="3"/>
        <v>291.39612042682916</v>
      </c>
      <c r="U130" s="168"/>
      <c r="V130" s="171" t="s">
        <v>12</v>
      </c>
      <c r="W130" s="175">
        <f>IF('Tab3'!C32="",'Tab3'!C33,'Tab3'!C34)</f>
        <v>3173.5819999999999</v>
      </c>
      <c r="X130" s="175">
        <f>IF('Tab3'!D32="",'Tab3'!D33,'Tab3'!D34)</f>
        <v>3674.7310000000002</v>
      </c>
      <c r="Y130" s="175">
        <f>IF('Tab3'!E32="",'Tab3'!E33,'Tab3'!E34)</f>
        <v>3764.605</v>
      </c>
      <c r="Z130" s="168"/>
      <c r="AA130" s="168"/>
      <c r="AB130" s="168"/>
      <c r="AC130" s="168"/>
      <c r="AD130" s="168"/>
      <c r="AE130" s="168"/>
      <c r="AF130" s="168"/>
      <c r="AG130" s="168"/>
      <c r="AH130" s="168"/>
      <c r="AI130" s="168"/>
      <c r="AJ130" s="168"/>
    </row>
    <row r="131" spans="1:36" x14ac:dyDescent="0.2">
      <c r="A131" s="171">
        <v>1</v>
      </c>
      <c r="B131" s="171">
        <v>1998</v>
      </c>
      <c r="C131" s="171">
        <v>150</v>
      </c>
      <c r="D131" s="171">
        <v>131.9</v>
      </c>
      <c r="E131" s="171"/>
      <c r="F131" s="171" t="s">
        <v>78</v>
      </c>
      <c r="G131" s="171"/>
      <c r="H131" s="168"/>
      <c r="I131" s="176">
        <v>99.3</v>
      </c>
      <c r="J131" s="168">
        <v>1</v>
      </c>
      <c r="K131" s="168">
        <v>1998</v>
      </c>
      <c r="L131" s="177">
        <v>17629</v>
      </c>
      <c r="M131" s="176">
        <v>285</v>
      </c>
      <c r="N131" s="176">
        <f t="shared" si="4"/>
        <v>444.59856495468284</v>
      </c>
      <c r="O131" s="177">
        <v>7614</v>
      </c>
      <c r="P131" s="176">
        <v>599.6</v>
      </c>
      <c r="Q131" s="176">
        <f t="shared" si="2"/>
        <v>935.37298086606268</v>
      </c>
      <c r="R131" s="177">
        <v>11958</v>
      </c>
      <c r="S131" s="176">
        <v>185.4</v>
      </c>
      <c r="T131" s="176">
        <f t="shared" si="3"/>
        <v>289.22306646525686</v>
      </c>
      <c r="U131" s="168"/>
      <c r="V131" s="171" t="s">
        <v>7</v>
      </c>
      <c r="W131" s="175">
        <f>IF('Tab3'!C18="",'Tab3'!C17,'Tab3'!C18)</f>
        <v>2424.5147755102039</v>
      </c>
      <c r="X131" s="175">
        <f>IF('Tab3'!D18="",'Tab3'!D17,'Tab3'!D18)</f>
        <v>2566.4587591836735</v>
      </c>
      <c r="Y131" s="175">
        <f>IF('Tab3'!E18="",'Tab3'!E17,'Tab3'!E18)</f>
        <v>2800.3848653061223</v>
      </c>
      <c r="Z131" s="168"/>
      <c r="AA131" s="168"/>
      <c r="AB131" s="168"/>
      <c r="AC131" s="168"/>
      <c r="AD131" s="168"/>
      <c r="AE131" s="168"/>
      <c r="AF131" s="168"/>
      <c r="AG131" s="168"/>
      <c r="AH131" s="168"/>
      <c r="AI131" s="168"/>
      <c r="AJ131" s="168"/>
    </row>
    <row r="132" spans="1:36" x14ac:dyDescent="0.2">
      <c r="A132" s="171">
        <v>2</v>
      </c>
      <c r="B132" s="171"/>
      <c r="C132" s="171">
        <f>289.8-C131</f>
        <v>139.80000000000001</v>
      </c>
      <c r="D132" s="171">
        <f>253.9-D131</f>
        <v>122</v>
      </c>
      <c r="E132" s="171"/>
      <c r="F132" s="171" t="s">
        <v>79</v>
      </c>
      <c r="G132" s="171" t="s">
        <v>80</v>
      </c>
      <c r="H132" s="168"/>
      <c r="I132" s="176">
        <v>99.7</v>
      </c>
      <c r="J132" s="168">
        <v>2</v>
      </c>
      <c r="K132" s="168"/>
      <c r="L132" s="177">
        <v>14484</v>
      </c>
      <c r="M132" s="176">
        <v>253.5</v>
      </c>
      <c r="N132" s="176">
        <f t="shared" si="4"/>
        <v>393.87212888666005</v>
      </c>
      <c r="O132" s="177">
        <v>6009</v>
      </c>
      <c r="P132" s="176">
        <v>576.9</v>
      </c>
      <c r="Q132" s="176">
        <f t="shared" si="2"/>
        <v>896.35041875626894</v>
      </c>
      <c r="R132" s="177">
        <v>15060</v>
      </c>
      <c r="S132" s="176">
        <v>204.20000000000002</v>
      </c>
      <c r="T132" s="176">
        <f t="shared" si="3"/>
        <v>317.27293380140429</v>
      </c>
      <c r="U132" s="168"/>
      <c r="V132" s="168" t="s">
        <v>113</v>
      </c>
      <c r="W132" s="175">
        <f>IF('Tab10'!C8="",'Tab10'!C7,'Tab10'!C8)</f>
        <v>4575</v>
      </c>
      <c r="X132" s="175">
        <f>IF('Tab10'!D8="",'Tab10'!D7,'Tab10'!D8)</f>
        <v>4666</v>
      </c>
      <c r="Y132" s="175">
        <f>IF('Tab10'!E8="",'Tab10'!E7,'Tab10'!E8)</f>
        <v>7686.2174959451686</v>
      </c>
      <c r="Z132" s="168"/>
      <c r="AA132" s="168"/>
      <c r="AB132" s="168"/>
      <c r="AC132" s="168"/>
      <c r="AD132" s="168"/>
      <c r="AE132" s="168"/>
      <c r="AF132" s="168"/>
      <c r="AG132" s="168"/>
      <c r="AH132" s="168"/>
      <c r="AI132" s="168"/>
      <c r="AJ132" s="168"/>
    </row>
    <row r="133" spans="1:36" x14ac:dyDescent="0.2">
      <c r="A133" s="171">
        <v>3</v>
      </c>
      <c r="B133" s="171"/>
      <c r="C133" s="171">
        <f>+E133-C131-C132</f>
        <v>128.09999999999997</v>
      </c>
      <c r="D133" s="171">
        <f>+G133-D131-D132</f>
        <v>112.1</v>
      </c>
      <c r="E133" s="171">
        <v>417.9</v>
      </c>
      <c r="F133" s="168"/>
      <c r="G133" s="171">
        <v>366</v>
      </c>
      <c r="H133" s="168"/>
      <c r="I133" s="180">
        <v>99.8</v>
      </c>
      <c r="J133" s="168">
        <v>3</v>
      </c>
      <c r="K133" s="168"/>
      <c r="L133" s="177">
        <v>15693</v>
      </c>
      <c r="M133" s="176">
        <v>257.89999999999998</v>
      </c>
      <c r="N133" s="176">
        <f t="shared" si="4"/>
        <v>400.30705661322651</v>
      </c>
      <c r="O133" s="177">
        <v>8328</v>
      </c>
      <c r="P133" s="176">
        <v>432.80000000000018</v>
      </c>
      <c r="Q133" s="176">
        <f t="shared" si="2"/>
        <v>671.78322645290621</v>
      </c>
      <c r="R133" s="177">
        <v>17098</v>
      </c>
      <c r="S133" s="176">
        <v>209.60000000000002</v>
      </c>
      <c r="T133" s="176">
        <f t="shared" si="3"/>
        <v>325.33679358717444</v>
      </c>
      <c r="U133" s="168"/>
      <c r="V133" s="171" t="s">
        <v>9</v>
      </c>
      <c r="W133" s="175">
        <f>IF('Tab3'!C22="",'Tab3'!C21,'Tab3'!C22)</f>
        <v>10160.966666666667</v>
      </c>
      <c r="X133" s="175">
        <f>IF('Tab3'!D22="",'Tab3'!D21,'Tab3'!D22)</f>
        <v>10950.025</v>
      </c>
      <c r="Y133" s="175">
        <f>IF('Tab3'!E22="",'Tab3'!E21,'Tab3'!E22)</f>
        <v>11726.093333333334</v>
      </c>
      <c r="Z133" s="168"/>
      <c r="AA133" s="168"/>
      <c r="AB133" s="168"/>
      <c r="AC133" s="168"/>
      <c r="AD133" s="168"/>
      <c r="AE133" s="168"/>
      <c r="AF133" s="168"/>
      <c r="AG133" s="168"/>
      <c r="AH133" s="168"/>
      <c r="AI133" s="168"/>
      <c r="AJ133" s="168"/>
    </row>
    <row r="134" spans="1:36" x14ac:dyDescent="0.2">
      <c r="A134" s="171">
        <v>4</v>
      </c>
      <c r="B134" s="171"/>
      <c r="C134" s="171">
        <f>+E134-E133</f>
        <v>141.80000000000007</v>
      </c>
      <c r="D134" s="171">
        <f>+G134-G133</f>
        <v>125.60000000000002</v>
      </c>
      <c r="E134" s="171">
        <v>559.70000000000005</v>
      </c>
      <c r="F134" s="168"/>
      <c r="G134" s="171">
        <v>491.6</v>
      </c>
      <c r="H134" s="168"/>
      <c r="I134" s="180">
        <v>100.7</v>
      </c>
      <c r="J134" s="168">
        <v>4</v>
      </c>
      <c r="K134" s="168"/>
      <c r="L134" s="177">
        <v>16502</v>
      </c>
      <c r="M134" s="176">
        <v>299.10000000000002</v>
      </c>
      <c r="N134" s="176">
        <f t="shared" si="4"/>
        <v>460.10757944389286</v>
      </c>
      <c r="O134" s="177">
        <v>7526</v>
      </c>
      <c r="P134" s="176">
        <v>738.59999999999945</v>
      </c>
      <c r="Q134" s="176">
        <f t="shared" si="2"/>
        <v>1136.193440913604</v>
      </c>
      <c r="R134" s="177">
        <v>14647</v>
      </c>
      <c r="S134" s="176">
        <v>205.79999999999995</v>
      </c>
      <c r="T134" s="176">
        <f t="shared" si="3"/>
        <v>316.58355014895727</v>
      </c>
      <c r="U134" s="168"/>
      <c r="V134" s="168"/>
      <c r="W134" s="168"/>
      <c r="X134" s="168"/>
      <c r="Y134" s="168"/>
      <c r="Z134" s="168"/>
      <c r="AA134" s="168"/>
      <c r="AB134" s="168"/>
      <c r="AC134" s="168"/>
      <c r="AD134" s="168"/>
      <c r="AE134" s="168"/>
      <c r="AF134" s="168"/>
      <c r="AG134" s="168"/>
      <c r="AH134" s="168"/>
      <c r="AI134" s="168"/>
      <c r="AJ134" s="168"/>
    </row>
    <row r="135" spans="1:36" x14ac:dyDescent="0.2">
      <c r="A135" s="171">
        <v>1</v>
      </c>
      <c r="B135" s="171">
        <v>1999</v>
      </c>
      <c r="C135" s="171">
        <f>+E135</f>
        <v>154.19999999999999</v>
      </c>
      <c r="D135" s="171">
        <f>+G135</f>
        <v>137.1</v>
      </c>
      <c r="E135" s="171">
        <v>154.19999999999999</v>
      </c>
      <c r="F135" s="168"/>
      <c r="G135" s="171">
        <v>137.1</v>
      </c>
      <c r="H135" s="168"/>
      <c r="I135" s="180">
        <v>101.4</v>
      </c>
      <c r="J135" s="168">
        <v>1</v>
      </c>
      <c r="K135" s="168">
        <v>1999</v>
      </c>
      <c r="L135" s="177">
        <v>18095</v>
      </c>
      <c r="M135" s="176">
        <v>328.50000000000006</v>
      </c>
      <c r="N135" s="176">
        <f t="shared" si="4"/>
        <v>501.84530325443802</v>
      </c>
      <c r="O135" s="177">
        <v>8863</v>
      </c>
      <c r="P135" s="176">
        <v>689.1</v>
      </c>
      <c r="Q135" s="176">
        <f t="shared" si="2"/>
        <v>1052.7293713017755</v>
      </c>
      <c r="R135" s="177">
        <v>11175</v>
      </c>
      <c r="S135" s="176">
        <v>162.80000000000001</v>
      </c>
      <c r="T135" s="176">
        <f t="shared" si="3"/>
        <v>248.70750493096651</v>
      </c>
      <c r="U135" s="168"/>
      <c r="V135" s="168"/>
      <c r="W135" s="168"/>
      <c r="X135" s="168"/>
      <c r="Y135" s="168"/>
      <c r="Z135" s="168"/>
      <c r="AA135" s="168"/>
      <c r="AB135" s="168"/>
      <c r="AC135" s="168"/>
      <c r="AD135" s="168"/>
      <c r="AE135" s="168"/>
      <c r="AF135" s="168"/>
      <c r="AG135" s="168"/>
      <c r="AH135" s="168"/>
      <c r="AI135" s="168"/>
      <c r="AJ135" s="168"/>
    </row>
    <row r="136" spans="1:36" x14ac:dyDescent="0.2">
      <c r="A136" s="171">
        <v>2</v>
      </c>
      <c r="B136" s="171"/>
      <c r="C136" s="171">
        <f>+E136-E135</f>
        <v>159.30000000000001</v>
      </c>
      <c r="D136" s="171">
        <f>+G136-G135</f>
        <v>140.70000000000002</v>
      </c>
      <c r="E136" s="171">
        <v>313.5</v>
      </c>
      <c r="F136" s="168"/>
      <c r="G136" s="171">
        <v>277.8</v>
      </c>
      <c r="H136" s="168"/>
      <c r="I136" s="180">
        <v>102.2</v>
      </c>
      <c r="J136" s="168">
        <v>2</v>
      </c>
      <c r="K136" s="168"/>
      <c r="L136" s="177">
        <v>12899</v>
      </c>
      <c r="M136" s="176">
        <v>332.7</v>
      </c>
      <c r="N136" s="176">
        <f t="shared" si="4"/>
        <v>504.28302592954998</v>
      </c>
      <c r="O136" s="177">
        <v>5920</v>
      </c>
      <c r="P136" s="176">
        <v>874.6</v>
      </c>
      <c r="Q136" s="176">
        <f t="shared" si="2"/>
        <v>1325.6565508806266</v>
      </c>
      <c r="R136" s="177">
        <v>12451</v>
      </c>
      <c r="S136" s="176">
        <v>199.09999999999997</v>
      </c>
      <c r="T136" s="176">
        <f t="shared" si="3"/>
        <v>301.7816364970646</v>
      </c>
      <c r="U136" s="168"/>
      <c r="V136" s="168"/>
      <c r="W136" s="168"/>
      <c r="X136" s="168"/>
      <c r="Y136" s="168"/>
      <c r="Z136" s="168"/>
      <c r="AA136" s="168"/>
      <c r="AB136" s="168"/>
      <c r="AC136" s="168"/>
      <c r="AD136" s="168"/>
      <c r="AE136" s="168"/>
      <c r="AF136" s="168"/>
      <c r="AG136" s="168"/>
      <c r="AH136" s="168"/>
      <c r="AI136" s="168"/>
      <c r="AJ136" s="168"/>
    </row>
    <row r="137" spans="1:36" x14ac:dyDescent="0.2">
      <c r="A137" s="171">
        <v>3</v>
      </c>
      <c r="B137" s="171"/>
      <c r="C137" s="171">
        <f>+E137-E136</f>
        <v>146.30000000000001</v>
      </c>
      <c r="D137" s="171">
        <f>+G137-G136</f>
        <v>128.69999999999999</v>
      </c>
      <c r="E137" s="171">
        <v>459.8</v>
      </c>
      <c r="F137" s="168"/>
      <c r="G137" s="171">
        <v>406.5</v>
      </c>
      <c r="H137" s="168"/>
      <c r="I137" s="180">
        <v>101.7</v>
      </c>
      <c r="J137" s="168">
        <v>3</v>
      </c>
      <c r="K137" s="168"/>
      <c r="L137" s="177">
        <v>23305</v>
      </c>
      <c r="M137" s="176">
        <v>445.5</v>
      </c>
      <c r="N137" s="176">
        <f t="shared" si="4"/>
        <v>678.57710176991156</v>
      </c>
      <c r="O137" s="177">
        <v>11181</v>
      </c>
      <c r="P137" s="176">
        <v>566.99999999999977</v>
      </c>
      <c r="Q137" s="176">
        <f t="shared" si="2"/>
        <v>863.64358407079624</v>
      </c>
      <c r="R137" s="177">
        <v>18817</v>
      </c>
      <c r="S137" s="176">
        <v>227.70000000000005</v>
      </c>
      <c r="T137" s="176">
        <f t="shared" si="3"/>
        <v>346.82829646017717</v>
      </c>
      <c r="U137" s="168"/>
      <c r="V137" s="168"/>
      <c r="W137" s="168"/>
      <c r="X137" s="168"/>
      <c r="Y137" s="168"/>
      <c r="Z137" s="168"/>
      <c r="AA137" s="168"/>
      <c r="AB137" s="168"/>
      <c r="AC137" s="168"/>
      <c r="AD137" s="168"/>
      <c r="AE137" s="168"/>
      <c r="AF137" s="168"/>
      <c r="AG137" s="168"/>
      <c r="AH137" s="168"/>
      <c r="AI137" s="168"/>
      <c r="AJ137" s="168"/>
    </row>
    <row r="138" spans="1:36" x14ac:dyDescent="0.2">
      <c r="A138" s="171">
        <v>4</v>
      </c>
      <c r="B138" s="171"/>
      <c r="C138" s="171">
        <f>+E138-E137</f>
        <v>141.90000000000003</v>
      </c>
      <c r="D138" s="171">
        <f>+G138-G137</f>
        <v>126.39999999999998</v>
      </c>
      <c r="E138" s="171">
        <v>601.70000000000005</v>
      </c>
      <c r="F138" s="168"/>
      <c r="G138" s="171">
        <v>532.9</v>
      </c>
      <c r="H138" s="168"/>
      <c r="I138" s="176">
        <v>103.5</v>
      </c>
      <c r="J138" s="168">
        <v>4</v>
      </c>
      <c r="K138" s="168"/>
      <c r="L138" s="177">
        <v>18359</v>
      </c>
      <c r="M138" s="176">
        <v>410.59999999999968</v>
      </c>
      <c r="N138" s="176">
        <f t="shared" si="4"/>
        <v>614.54125120772903</v>
      </c>
      <c r="O138" s="177">
        <v>9544</v>
      </c>
      <c r="P138" s="176">
        <v>935.5</v>
      </c>
      <c r="Q138" s="176">
        <f t="shared" si="2"/>
        <v>1400.1542632850244</v>
      </c>
      <c r="R138" s="177">
        <v>13692</v>
      </c>
      <c r="S138" s="176">
        <v>192.19999999999993</v>
      </c>
      <c r="T138" s="176">
        <f t="shared" si="3"/>
        <v>287.66397584541056</v>
      </c>
      <c r="U138" s="168"/>
      <c r="V138" s="168"/>
      <c r="W138" s="168"/>
      <c r="X138" s="168"/>
      <c r="Y138" s="168"/>
      <c r="Z138" s="168"/>
      <c r="AA138" s="168"/>
      <c r="AB138" s="168"/>
      <c r="AC138" s="168"/>
      <c r="AD138" s="168"/>
      <c r="AE138" s="168"/>
      <c r="AF138" s="168"/>
      <c r="AG138" s="168"/>
      <c r="AH138" s="168"/>
      <c r="AI138" s="168"/>
      <c r="AJ138" s="168"/>
    </row>
    <row r="139" spans="1:36" x14ac:dyDescent="0.2">
      <c r="A139" s="171">
        <v>1</v>
      </c>
      <c r="B139" s="171">
        <v>2000</v>
      </c>
      <c r="C139" s="171">
        <f>+E139</f>
        <v>169.1</v>
      </c>
      <c r="D139" s="171">
        <f>+G139</f>
        <v>150.9</v>
      </c>
      <c r="E139" s="171">
        <v>169.1</v>
      </c>
      <c r="F139" s="168"/>
      <c r="G139" s="171">
        <v>150.9</v>
      </c>
      <c r="H139" s="168"/>
      <c r="I139" s="176">
        <v>104.6</v>
      </c>
      <c r="J139" s="168">
        <v>1</v>
      </c>
      <c r="K139" s="168">
        <v>2000</v>
      </c>
      <c r="L139" s="177">
        <v>17570</v>
      </c>
      <c r="M139" s="176">
        <v>345.9</v>
      </c>
      <c r="N139" s="176">
        <f t="shared" si="4"/>
        <v>512.26103489483751</v>
      </c>
      <c r="O139" s="177">
        <v>9154</v>
      </c>
      <c r="P139" s="176">
        <v>819.9</v>
      </c>
      <c r="Q139" s="176">
        <f t="shared" si="2"/>
        <v>1214.2319239961762</v>
      </c>
      <c r="R139" s="177">
        <v>12421</v>
      </c>
      <c r="S139" s="176">
        <v>198</v>
      </c>
      <c r="T139" s="176">
        <f t="shared" si="3"/>
        <v>293.22834608030598</v>
      </c>
      <c r="U139" s="168"/>
      <c r="V139" s="168"/>
      <c r="W139" s="168"/>
      <c r="X139" s="168"/>
      <c r="Y139" s="168"/>
      <c r="Z139" s="168"/>
      <c r="AA139" s="168"/>
      <c r="AB139" s="168"/>
      <c r="AC139" s="168"/>
      <c r="AD139" s="168"/>
      <c r="AE139" s="168"/>
      <c r="AF139" s="168"/>
      <c r="AG139" s="168"/>
      <c r="AH139" s="168"/>
      <c r="AI139" s="168"/>
      <c r="AJ139" s="168"/>
    </row>
    <row r="140" spans="1:36" x14ac:dyDescent="0.2">
      <c r="A140" s="171">
        <v>2</v>
      </c>
      <c r="B140" s="171"/>
      <c r="C140" s="171">
        <f>+E140-E139</f>
        <v>151.50000000000003</v>
      </c>
      <c r="D140" s="171">
        <f>+G140-G139</f>
        <v>133.4</v>
      </c>
      <c r="E140" s="171">
        <v>320.60000000000002</v>
      </c>
      <c r="F140" s="168"/>
      <c r="G140" s="171">
        <v>284.3</v>
      </c>
      <c r="H140" s="168"/>
      <c r="I140" s="176">
        <v>105.1</v>
      </c>
      <c r="J140" s="168">
        <v>2</v>
      </c>
      <c r="K140" s="168"/>
      <c r="L140" s="177">
        <v>14069</v>
      </c>
      <c r="M140" s="176">
        <v>252.39999999999998</v>
      </c>
      <c r="N140" s="176">
        <f t="shared" si="4"/>
        <v>372.01382492863945</v>
      </c>
      <c r="O140" s="177">
        <v>10238</v>
      </c>
      <c r="P140" s="176">
        <v>674.19999999999993</v>
      </c>
      <c r="Q140" s="176">
        <f t="shared" si="2"/>
        <v>993.70729305423424</v>
      </c>
      <c r="R140" s="177">
        <v>13950</v>
      </c>
      <c r="S140" s="176">
        <v>184.5</v>
      </c>
      <c r="T140" s="176">
        <f t="shared" si="3"/>
        <v>271.93562083729785</v>
      </c>
      <c r="U140" s="168"/>
      <c r="V140" s="168"/>
      <c r="W140" s="168"/>
      <c r="X140" s="168"/>
      <c r="Y140" s="168"/>
      <c r="Z140" s="168"/>
      <c r="AA140" s="168"/>
      <c r="AB140" s="168"/>
      <c r="AC140" s="168"/>
      <c r="AD140" s="168"/>
      <c r="AE140" s="168"/>
      <c r="AF140" s="168"/>
      <c r="AG140" s="168"/>
      <c r="AH140" s="168"/>
      <c r="AI140" s="168"/>
      <c r="AJ140" s="168"/>
    </row>
    <row r="141" spans="1:36" x14ac:dyDescent="0.2">
      <c r="A141" s="171">
        <v>3</v>
      </c>
      <c r="B141" s="171"/>
      <c r="C141" s="171">
        <f>+E141-E140</f>
        <v>139</v>
      </c>
      <c r="D141" s="171">
        <f>+G141-G140</f>
        <v>123.5</v>
      </c>
      <c r="E141" s="171">
        <v>459.6</v>
      </c>
      <c r="F141" s="168"/>
      <c r="G141" s="171">
        <v>407.8</v>
      </c>
      <c r="H141" s="168"/>
      <c r="I141" s="176">
        <v>105.3</v>
      </c>
      <c r="J141" s="168">
        <v>3</v>
      </c>
      <c r="K141" s="168"/>
      <c r="L141" s="177">
        <v>16329</v>
      </c>
      <c r="M141" s="176">
        <v>313.5</v>
      </c>
      <c r="N141" s="176">
        <f t="shared" si="4"/>
        <v>461.19184472934478</v>
      </c>
      <c r="O141" s="177">
        <v>13877</v>
      </c>
      <c r="P141" s="176">
        <v>706.20000000000027</v>
      </c>
      <c r="Q141" s="176">
        <f t="shared" si="2"/>
        <v>1038.895313390314</v>
      </c>
      <c r="R141" s="177">
        <v>14850</v>
      </c>
      <c r="S141" s="176">
        <v>193.89999999999998</v>
      </c>
      <c r="T141" s="176">
        <f t="shared" si="3"/>
        <v>285.24752374169043</v>
      </c>
      <c r="U141" s="168"/>
      <c r="V141" s="168"/>
      <c r="W141" s="168"/>
      <c r="X141" s="168"/>
      <c r="Y141" s="168"/>
      <c r="Z141" s="168"/>
      <c r="AA141" s="168"/>
      <c r="AB141" s="168"/>
      <c r="AC141" s="168"/>
      <c r="AD141" s="168"/>
      <c r="AE141" s="168"/>
      <c r="AF141" s="168"/>
      <c r="AG141" s="168"/>
      <c r="AH141" s="168"/>
      <c r="AI141" s="168"/>
      <c r="AJ141" s="168"/>
    </row>
    <row r="142" spans="1:36" x14ac:dyDescent="0.2">
      <c r="A142" s="171">
        <v>4</v>
      </c>
      <c r="B142" s="171"/>
      <c r="C142" s="171">
        <f>+E142-E141</f>
        <v>135.10000000000002</v>
      </c>
      <c r="D142" s="171">
        <f>+G142-G141</f>
        <v>121.40000000000003</v>
      </c>
      <c r="E142" s="171">
        <v>594.70000000000005</v>
      </c>
      <c r="F142" s="168"/>
      <c r="G142" s="171">
        <v>529.20000000000005</v>
      </c>
      <c r="H142" s="168"/>
      <c r="I142" s="176">
        <v>106.8</v>
      </c>
      <c r="J142" s="168">
        <v>4</v>
      </c>
      <c r="K142" s="168"/>
      <c r="L142" s="177">
        <v>21735</v>
      </c>
      <c r="M142" s="176">
        <v>484.79999999999995</v>
      </c>
      <c r="N142" s="176">
        <f t="shared" si="4"/>
        <v>703.17561797752819</v>
      </c>
      <c r="O142" s="177">
        <v>9978</v>
      </c>
      <c r="P142" s="176">
        <v>739.19999999999982</v>
      </c>
      <c r="Q142" s="176">
        <f t="shared" si="2"/>
        <v>1072.1687640449438</v>
      </c>
      <c r="R142" s="177">
        <v>13212</v>
      </c>
      <c r="S142" s="176">
        <v>215</v>
      </c>
      <c r="T142" s="176">
        <f t="shared" si="3"/>
        <v>311.84562265917612</v>
      </c>
      <c r="U142" s="168"/>
      <c r="V142" s="168"/>
      <c r="W142" s="168"/>
      <c r="X142" s="168"/>
      <c r="Y142" s="168"/>
      <c r="Z142" s="168"/>
      <c r="AA142" s="168"/>
      <c r="AB142" s="168"/>
      <c r="AC142" s="168"/>
      <c r="AD142" s="168"/>
      <c r="AE142" s="168"/>
      <c r="AF142" s="168"/>
      <c r="AG142" s="168"/>
      <c r="AH142" s="168"/>
      <c r="AI142" s="168"/>
      <c r="AJ142" s="168"/>
    </row>
    <row r="143" spans="1:36" x14ac:dyDescent="0.2">
      <c r="A143" s="171">
        <v>1</v>
      </c>
      <c r="B143" s="171">
        <v>2001</v>
      </c>
      <c r="C143" s="171">
        <f>+E143</f>
        <v>158.5</v>
      </c>
      <c r="D143" s="171">
        <f>+G143</f>
        <v>143.1</v>
      </c>
      <c r="E143" s="171">
        <v>158.5</v>
      </c>
      <c r="F143" s="168"/>
      <c r="G143" s="171">
        <v>143.1</v>
      </c>
      <c r="H143" s="168"/>
      <c r="I143" s="176">
        <v>108.4</v>
      </c>
      <c r="J143" s="168">
        <v>1</v>
      </c>
      <c r="K143" s="168">
        <v>2001</v>
      </c>
      <c r="L143" s="177">
        <v>27280</v>
      </c>
      <c r="M143" s="176">
        <v>675.3</v>
      </c>
      <c r="N143" s="176">
        <f t="shared" si="4"/>
        <v>965.02799584870854</v>
      </c>
      <c r="O143" s="177">
        <v>7776</v>
      </c>
      <c r="P143" s="176">
        <v>877</v>
      </c>
      <c r="Q143" s="176">
        <f t="shared" si="2"/>
        <v>1253.264552583026</v>
      </c>
      <c r="R143" s="177">
        <v>10538</v>
      </c>
      <c r="S143" s="176">
        <v>164.1</v>
      </c>
      <c r="T143" s="176">
        <f t="shared" si="3"/>
        <v>234.50480396678969</v>
      </c>
      <c r="U143" s="168"/>
      <c r="V143" s="168"/>
      <c r="W143" s="168"/>
      <c r="X143" s="168"/>
      <c r="Y143" s="168"/>
      <c r="Z143" s="168"/>
      <c r="AA143" s="168"/>
      <c r="AB143" s="168"/>
      <c r="AC143" s="168"/>
      <c r="AD143" s="168"/>
      <c r="AE143" s="168"/>
      <c r="AF143" s="168"/>
      <c r="AG143" s="168"/>
      <c r="AH143" s="168"/>
      <c r="AI143" s="168"/>
      <c r="AJ143" s="168"/>
    </row>
    <row r="144" spans="1:36" x14ac:dyDescent="0.2">
      <c r="A144" s="171">
        <v>2</v>
      </c>
      <c r="B144" s="171"/>
      <c r="C144" s="171">
        <f>+E144-E143</f>
        <v>140.45999999999998</v>
      </c>
      <c r="D144" s="171">
        <f>+G144-G143</f>
        <v>125.70000000000002</v>
      </c>
      <c r="E144" s="171">
        <v>298.95999999999998</v>
      </c>
      <c r="F144" s="168"/>
      <c r="G144" s="171">
        <v>268.8</v>
      </c>
      <c r="H144" s="168"/>
      <c r="I144" s="176">
        <v>109.6</v>
      </c>
      <c r="J144" s="168">
        <v>2</v>
      </c>
      <c r="K144" s="168"/>
      <c r="L144" s="177">
        <v>17111</v>
      </c>
      <c r="M144" s="176">
        <v>452</v>
      </c>
      <c r="N144" s="176">
        <f t="shared" si="4"/>
        <v>638.85209854014613</v>
      </c>
      <c r="O144" s="177">
        <v>5711</v>
      </c>
      <c r="P144" s="176">
        <v>923</v>
      </c>
      <c r="Q144" s="176">
        <f t="shared" si="2"/>
        <v>1304.558599452555</v>
      </c>
      <c r="R144" s="177">
        <v>11841</v>
      </c>
      <c r="S144" s="176">
        <v>190.29999999999998</v>
      </c>
      <c r="T144" s="176">
        <f t="shared" si="3"/>
        <v>268.96804060218983</v>
      </c>
      <c r="U144" s="168"/>
      <c r="V144" s="168"/>
      <c r="W144" s="168"/>
      <c r="X144" s="168"/>
      <c r="Y144" s="168"/>
      <c r="Z144" s="168"/>
      <c r="AA144" s="168"/>
      <c r="AB144" s="168"/>
      <c r="AC144" s="168"/>
      <c r="AD144" s="168"/>
      <c r="AE144" s="168"/>
      <c r="AF144" s="168"/>
      <c r="AG144" s="168"/>
      <c r="AH144" s="168"/>
      <c r="AI144" s="168"/>
      <c r="AJ144" s="168"/>
    </row>
    <row r="145" spans="1:36" x14ac:dyDescent="0.2">
      <c r="A145" s="171">
        <v>3</v>
      </c>
      <c r="B145" s="168"/>
      <c r="C145" s="171">
        <f>+E145-E144</f>
        <v>134.24</v>
      </c>
      <c r="D145" s="171">
        <f>+G145-G144</f>
        <v>119.19999999999999</v>
      </c>
      <c r="E145" s="171">
        <v>433.2</v>
      </c>
      <c r="F145" s="168"/>
      <c r="G145" s="171">
        <v>388</v>
      </c>
      <c r="H145" s="168"/>
      <c r="I145" s="176">
        <v>108.1</v>
      </c>
      <c r="J145" s="168">
        <v>3</v>
      </c>
      <c r="K145" s="168"/>
      <c r="L145" s="177">
        <v>16407</v>
      </c>
      <c r="M145" s="176">
        <v>400.40000000000009</v>
      </c>
      <c r="N145" s="176">
        <f t="shared" si="4"/>
        <v>573.77394079555995</v>
      </c>
      <c r="O145" s="177">
        <v>15359</v>
      </c>
      <c r="P145" s="176">
        <v>1172.1999999999998</v>
      </c>
      <c r="Q145" s="176">
        <f t="shared" si="2"/>
        <v>1679.7647687326551</v>
      </c>
      <c r="R145" s="177">
        <v>13534</v>
      </c>
      <c r="S145" s="176">
        <v>158.5</v>
      </c>
      <c r="T145" s="176">
        <f t="shared" si="3"/>
        <v>227.13079324699356</v>
      </c>
      <c r="U145" s="168"/>
      <c r="V145" s="168"/>
      <c r="W145" s="168"/>
      <c r="X145" s="168"/>
      <c r="Y145" s="168"/>
      <c r="Z145" s="168"/>
      <c r="AA145" s="168"/>
      <c r="AB145" s="168"/>
      <c r="AC145" s="168"/>
      <c r="AD145" s="168"/>
      <c r="AE145" s="168"/>
      <c r="AF145" s="168"/>
      <c r="AG145" s="168"/>
      <c r="AH145" s="168"/>
      <c r="AI145" s="168"/>
      <c r="AJ145" s="168"/>
    </row>
    <row r="146" spans="1:36" x14ac:dyDescent="0.2">
      <c r="A146" s="171">
        <v>4</v>
      </c>
      <c r="B146" s="168"/>
      <c r="C146" s="171">
        <f>+E146-E145</f>
        <v>137.49520000000001</v>
      </c>
      <c r="D146" s="171">
        <f>+G146-G145</f>
        <v>124.07220000000007</v>
      </c>
      <c r="E146" s="179">
        <v>570.6952</v>
      </c>
      <c r="F146" s="184"/>
      <c r="G146" s="179">
        <v>512.07220000000007</v>
      </c>
      <c r="H146" s="168"/>
      <c r="I146" s="176">
        <v>108.7</v>
      </c>
      <c r="J146" s="168">
        <v>4</v>
      </c>
      <c r="K146" s="168"/>
      <c r="L146" s="177">
        <v>16945</v>
      </c>
      <c r="M146" s="176">
        <v>509.39999999999986</v>
      </c>
      <c r="N146" s="176">
        <f t="shared" si="4"/>
        <v>725.94186292548284</v>
      </c>
      <c r="O146" s="177">
        <v>9601</v>
      </c>
      <c r="P146" s="176">
        <v>803.30000000000018</v>
      </c>
      <c r="Q146" s="176">
        <f t="shared" si="2"/>
        <v>1144.7764006439747</v>
      </c>
      <c r="R146" s="177">
        <v>12341</v>
      </c>
      <c r="S146" s="176">
        <v>258.5</v>
      </c>
      <c r="T146" s="176">
        <f t="shared" si="3"/>
        <v>368.38628104875806</v>
      </c>
      <c r="U146" s="168"/>
      <c r="V146" s="168"/>
      <c r="W146" s="168"/>
      <c r="X146" s="168"/>
      <c r="Y146" s="168"/>
      <c r="Z146" s="168"/>
      <c r="AA146" s="168"/>
      <c r="AB146" s="168"/>
      <c r="AC146" s="168"/>
      <c r="AD146" s="168"/>
      <c r="AE146" s="168"/>
      <c r="AF146" s="168"/>
      <c r="AG146" s="168"/>
      <c r="AH146" s="168"/>
      <c r="AI146" s="168"/>
      <c r="AJ146" s="168"/>
    </row>
    <row r="147" spans="1:36" x14ac:dyDescent="0.2">
      <c r="A147" s="171">
        <v>1</v>
      </c>
      <c r="B147" s="171">
        <v>2002</v>
      </c>
      <c r="C147" s="171">
        <f>+E147</f>
        <v>155.81399999999999</v>
      </c>
      <c r="D147" s="171">
        <f>+G147</f>
        <v>141.72399999999999</v>
      </c>
      <c r="E147" s="179">
        <v>155.81399999999999</v>
      </c>
      <c r="F147" s="184"/>
      <c r="G147" s="179">
        <v>141.72399999999999</v>
      </c>
      <c r="H147" s="168"/>
      <c r="I147" s="176">
        <v>109.3</v>
      </c>
      <c r="J147" s="168">
        <v>1</v>
      </c>
      <c r="K147" s="168">
        <v>2002</v>
      </c>
      <c r="L147" s="177">
        <v>17523</v>
      </c>
      <c r="M147" s="176">
        <v>466.5</v>
      </c>
      <c r="N147" s="176">
        <f t="shared" si="4"/>
        <v>661.15598124428186</v>
      </c>
      <c r="O147" s="177">
        <v>6856</v>
      </c>
      <c r="P147" s="176">
        <v>820.40000000000009</v>
      </c>
      <c r="Q147" s="176">
        <f t="shared" si="2"/>
        <v>1162.7274748398906</v>
      </c>
      <c r="R147" s="177">
        <v>9371</v>
      </c>
      <c r="S147" s="176">
        <v>197.9</v>
      </c>
      <c r="T147" s="176">
        <f t="shared" si="3"/>
        <v>280.47753202195798</v>
      </c>
      <c r="U147" s="168"/>
      <c r="V147" s="168"/>
      <c r="W147" s="168"/>
      <c r="X147" s="168"/>
      <c r="Y147" s="168"/>
      <c r="Z147" s="168"/>
      <c r="AA147" s="168"/>
      <c r="AB147" s="168"/>
      <c r="AC147" s="168"/>
      <c r="AD147" s="168"/>
      <c r="AE147" s="168"/>
      <c r="AF147" s="168"/>
      <c r="AG147" s="168"/>
      <c r="AH147" s="168"/>
      <c r="AI147" s="168"/>
      <c r="AJ147" s="168"/>
    </row>
    <row r="148" spans="1:36" x14ac:dyDescent="0.2">
      <c r="A148" s="171">
        <v>2</v>
      </c>
      <c r="B148" s="171"/>
      <c r="C148" s="171">
        <f>+E148-E147</f>
        <v>146.54300000000003</v>
      </c>
      <c r="D148" s="171">
        <f>+G148-G147</f>
        <v>133.19</v>
      </c>
      <c r="E148" s="171">
        <v>302.35700000000003</v>
      </c>
      <c r="F148" s="168"/>
      <c r="G148" s="171">
        <v>274.91399999999999</v>
      </c>
      <c r="H148" s="168"/>
      <c r="I148" s="176">
        <v>110</v>
      </c>
      <c r="J148" s="168">
        <v>2</v>
      </c>
      <c r="K148" s="168"/>
      <c r="L148" s="177">
        <v>17469</v>
      </c>
      <c r="M148" s="176">
        <v>408.5</v>
      </c>
      <c r="N148" s="176">
        <f t="shared" si="4"/>
        <v>575.27012500000012</v>
      </c>
      <c r="O148" s="177">
        <v>9323</v>
      </c>
      <c r="P148" s="176">
        <v>689.09999999999991</v>
      </c>
      <c r="Q148" s="176">
        <f t="shared" si="2"/>
        <v>970.42507499999999</v>
      </c>
      <c r="R148" s="177">
        <v>14749</v>
      </c>
      <c r="S148" s="176">
        <v>233.49999999999997</v>
      </c>
      <c r="T148" s="176">
        <f t="shared" si="3"/>
        <v>328.82637500000004</v>
      </c>
      <c r="U148" s="168"/>
      <c r="V148" s="168"/>
      <c r="W148" s="168"/>
      <c r="X148" s="168"/>
      <c r="Y148" s="168"/>
      <c r="Z148" s="168"/>
      <c r="AA148" s="168"/>
      <c r="AB148" s="168"/>
      <c r="AC148" s="168"/>
      <c r="AD148" s="168"/>
      <c r="AE148" s="168"/>
      <c r="AF148" s="168"/>
      <c r="AG148" s="168"/>
      <c r="AH148" s="168"/>
      <c r="AI148" s="168"/>
      <c r="AJ148" s="168"/>
    </row>
    <row r="149" spans="1:36" x14ac:dyDescent="0.2">
      <c r="A149" s="171">
        <v>3</v>
      </c>
      <c r="B149" s="168"/>
      <c r="C149" s="171">
        <f>+E149-E148</f>
        <v>146.23099999999999</v>
      </c>
      <c r="D149" s="171">
        <f>+G149-G148</f>
        <v>127.14100000000002</v>
      </c>
      <c r="E149" s="171">
        <v>448.58800000000002</v>
      </c>
      <c r="F149" s="168"/>
      <c r="G149" s="171">
        <v>402.05500000000001</v>
      </c>
      <c r="H149" s="168"/>
      <c r="I149" s="176">
        <v>109.6</v>
      </c>
      <c r="J149" s="168">
        <v>3</v>
      </c>
      <c r="K149" s="168"/>
      <c r="L149" s="177">
        <v>19641</v>
      </c>
      <c r="M149" s="176">
        <v>503</v>
      </c>
      <c r="N149" s="176">
        <f t="shared" si="4"/>
        <v>710.93496806569351</v>
      </c>
      <c r="O149" s="177">
        <v>17422</v>
      </c>
      <c r="P149" s="176">
        <v>895.90000000000009</v>
      </c>
      <c r="Q149" s="176">
        <f t="shared" si="2"/>
        <v>1266.2557413321172</v>
      </c>
      <c r="R149" s="177">
        <v>14722</v>
      </c>
      <c r="S149" s="176">
        <v>184.5</v>
      </c>
      <c r="T149" s="176">
        <f t="shared" si="3"/>
        <v>260.77038093065698</v>
      </c>
      <c r="U149" s="168"/>
      <c r="V149" s="168"/>
      <c r="W149" s="168"/>
      <c r="X149" s="168"/>
      <c r="Y149" s="168"/>
      <c r="Z149" s="168"/>
      <c r="AA149" s="168"/>
      <c r="AB149" s="168"/>
      <c r="AC149" s="168"/>
      <c r="AD149" s="168"/>
      <c r="AE149" s="168"/>
      <c r="AF149" s="168"/>
      <c r="AG149" s="168"/>
      <c r="AH149" s="168"/>
      <c r="AI149" s="168"/>
      <c r="AJ149" s="168"/>
    </row>
    <row r="150" spans="1:36" x14ac:dyDescent="0.2">
      <c r="A150" s="171">
        <v>4</v>
      </c>
      <c r="B150" s="168"/>
      <c r="C150" s="171">
        <f>+E150-E149</f>
        <v>137.96699999999993</v>
      </c>
      <c r="D150" s="171">
        <f>+G150-G149</f>
        <v>124.64100000000002</v>
      </c>
      <c r="E150" s="179">
        <v>586.55499999999995</v>
      </c>
      <c r="F150" s="184"/>
      <c r="G150" s="179">
        <v>526.69600000000003</v>
      </c>
      <c r="H150" s="168"/>
      <c r="I150" s="176">
        <v>111</v>
      </c>
      <c r="J150" s="168">
        <v>4</v>
      </c>
      <c r="K150" s="168"/>
      <c r="L150" s="177">
        <v>17442</v>
      </c>
      <c r="M150" s="176">
        <v>464.20000000000005</v>
      </c>
      <c r="N150" s="176">
        <f t="shared" si="4"/>
        <v>647.82037387387402</v>
      </c>
      <c r="O150" s="177">
        <v>8123</v>
      </c>
      <c r="P150" s="176">
        <v>938.5</v>
      </c>
      <c r="Q150" s="176">
        <f t="shared" si="2"/>
        <v>1309.7359346846849</v>
      </c>
      <c r="R150" s="177">
        <v>14689</v>
      </c>
      <c r="S150" s="176">
        <v>194.00000000000011</v>
      </c>
      <c r="T150" s="176">
        <f t="shared" si="3"/>
        <v>270.73923423423446</v>
      </c>
      <c r="U150" s="168"/>
      <c r="V150" s="168"/>
      <c r="W150" s="168"/>
      <c r="X150" s="168"/>
      <c r="Y150" s="168"/>
      <c r="Z150" s="168"/>
      <c r="AA150" s="168"/>
      <c r="AB150" s="168"/>
      <c r="AC150" s="168"/>
      <c r="AD150" s="168"/>
      <c r="AE150" s="168"/>
      <c r="AF150" s="168"/>
      <c r="AG150" s="168"/>
      <c r="AH150" s="168"/>
      <c r="AI150" s="168"/>
      <c r="AJ150" s="168"/>
    </row>
    <row r="151" spans="1:36" x14ac:dyDescent="0.2">
      <c r="A151" s="171">
        <v>1</v>
      </c>
      <c r="B151" s="171">
        <v>2003</v>
      </c>
      <c r="C151" s="179">
        <f>+E151</f>
        <v>165.679</v>
      </c>
      <c r="D151" s="171">
        <f>+G151</f>
        <v>150.81100000000001</v>
      </c>
      <c r="E151" s="179">
        <v>165.679</v>
      </c>
      <c r="F151" s="184"/>
      <c r="G151" s="179">
        <v>150.81100000000001</v>
      </c>
      <c r="H151" s="168"/>
      <c r="I151" s="176">
        <v>114.6</v>
      </c>
      <c r="J151" s="168">
        <v>1</v>
      </c>
      <c r="K151" s="168">
        <v>2003</v>
      </c>
      <c r="L151" s="177">
        <v>22781</v>
      </c>
      <c r="M151" s="176">
        <v>626.79999999999995</v>
      </c>
      <c r="N151" s="176">
        <f t="shared" si="4"/>
        <v>847.26021815008733</v>
      </c>
      <c r="O151" s="177">
        <v>6823</v>
      </c>
      <c r="P151" s="176">
        <v>1087.2</v>
      </c>
      <c r="Q151" s="176">
        <f t="shared" si="2"/>
        <v>1469.5936649214664</v>
      </c>
      <c r="R151" s="177">
        <v>10626</v>
      </c>
      <c r="S151" s="176">
        <v>183</v>
      </c>
      <c r="T151" s="176">
        <f t="shared" si="3"/>
        <v>247.3653795811519</v>
      </c>
      <c r="U151" s="168"/>
      <c r="V151" s="168"/>
      <c r="W151" s="168"/>
      <c r="X151" s="168"/>
      <c r="Y151" s="168"/>
      <c r="Z151" s="168"/>
      <c r="AA151" s="168"/>
      <c r="AB151" s="168"/>
      <c r="AC151" s="168"/>
      <c r="AD151" s="168"/>
      <c r="AE151" s="168"/>
      <c r="AF151" s="168"/>
      <c r="AG151" s="168"/>
      <c r="AH151" s="168"/>
      <c r="AI151" s="168"/>
      <c r="AJ151" s="168"/>
    </row>
    <row r="152" spans="1:36" x14ac:dyDescent="0.2">
      <c r="A152" s="171">
        <v>2</v>
      </c>
      <c r="B152" s="171"/>
      <c r="C152" s="179">
        <f>+E152-E151</f>
        <v>135.02099999999999</v>
      </c>
      <c r="D152" s="171">
        <f>+G152-G151</f>
        <v>121.10099999999997</v>
      </c>
      <c r="E152" s="171">
        <v>300.7</v>
      </c>
      <c r="F152" s="168"/>
      <c r="G152" s="171">
        <v>271.91199999999998</v>
      </c>
      <c r="H152" s="168"/>
      <c r="I152" s="176">
        <v>112.3</v>
      </c>
      <c r="J152" s="168">
        <v>2</v>
      </c>
      <c r="K152" s="168"/>
      <c r="L152" s="177">
        <v>15417</v>
      </c>
      <c r="M152" s="176">
        <v>406.10000000000014</v>
      </c>
      <c r="N152" s="176">
        <f t="shared" si="4"/>
        <v>560.17752226179903</v>
      </c>
      <c r="O152" s="177">
        <v>5618</v>
      </c>
      <c r="P152" s="176">
        <v>817.8</v>
      </c>
      <c r="Q152" s="176">
        <f t="shared" si="2"/>
        <v>1128.0797284060554</v>
      </c>
      <c r="R152" s="177">
        <v>12719</v>
      </c>
      <c r="S152" s="176">
        <v>203.2</v>
      </c>
      <c r="T152" s="176">
        <f t="shared" si="3"/>
        <v>280.29567230632239</v>
      </c>
      <c r="U152" s="168"/>
      <c r="V152" s="168"/>
      <c r="W152" s="168"/>
      <c r="X152" s="168"/>
      <c r="Y152" s="168"/>
      <c r="Z152" s="168"/>
      <c r="AA152" s="168"/>
      <c r="AB152" s="168"/>
      <c r="AC152" s="168"/>
      <c r="AD152" s="168"/>
      <c r="AE152" s="168"/>
      <c r="AF152" s="168"/>
      <c r="AG152" s="168"/>
      <c r="AH152" s="168"/>
      <c r="AI152" s="168"/>
      <c r="AJ152" s="168"/>
    </row>
    <row r="153" spans="1:36" x14ac:dyDescent="0.2">
      <c r="A153" s="171">
        <v>3</v>
      </c>
      <c r="B153" s="171"/>
      <c r="C153" s="179">
        <f>+E153-E152</f>
        <v>134.11099999999999</v>
      </c>
      <c r="D153" s="171">
        <f>+G153-G152</f>
        <v>119.49100000000004</v>
      </c>
      <c r="E153" s="171">
        <v>434.81099999999998</v>
      </c>
      <c r="F153" s="168"/>
      <c r="G153" s="171">
        <v>391.40300000000002</v>
      </c>
      <c r="H153" s="168"/>
      <c r="I153" s="176">
        <v>111.9</v>
      </c>
      <c r="J153" s="168">
        <v>3</v>
      </c>
      <c r="K153" s="168"/>
      <c r="L153" s="177">
        <v>18848</v>
      </c>
      <c r="M153" s="176">
        <v>430.5</v>
      </c>
      <c r="N153" s="176">
        <f t="shared" si="4"/>
        <v>595.95780831099205</v>
      </c>
      <c r="O153" s="177">
        <v>16056</v>
      </c>
      <c r="P153" s="176">
        <v>860.19999999999982</v>
      </c>
      <c r="Q153" s="176">
        <f t="shared" si="2"/>
        <v>1190.8081456657728</v>
      </c>
      <c r="R153" s="177">
        <v>13690</v>
      </c>
      <c r="S153" s="176">
        <v>188.8</v>
      </c>
      <c r="T153" s="176">
        <f t="shared" si="3"/>
        <v>261.36314566577306</v>
      </c>
      <c r="U153" s="168"/>
      <c r="V153" s="168"/>
      <c r="W153" s="168"/>
      <c r="X153" s="168"/>
      <c r="Y153" s="168"/>
      <c r="Z153" s="168"/>
      <c r="AA153" s="168"/>
      <c r="AB153" s="168"/>
      <c r="AC153" s="168"/>
      <c r="AD153" s="168"/>
      <c r="AE153" s="168"/>
      <c r="AF153" s="168"/>
      <c r="AG153" s="168"/>
      <c r="AH153" s="168"/>
      <c r="AI153" s="168"/>
      <c r="AJ153" s="168"/>
    </row>
    <row r="154" spans="1:36" x14ac:dyDescent="0.2">
      <c r="A154" s="171">
        <v>4</v>
      </c>
      <c r="B154" s="171"/>
      <c r="C154" s="179">
        <f>+E154-E153</f>
        <v>142.01299999999998</v>
      </c>
      <c r="D154" s="171">
        <f>+G154-G153</f>
        <v>125.95899999999995</v>
      </c>
      <c r="E154" s="171">
        <v>576.82399999999996</v>
      </c>
      <c r="F154" s="168"/>
      <c r="G154" s="171">
        <v>517.36199999999997</v>
      </c>
      <c r="H154" s="168"/>
      <c r="I154" s="176">
        <v>112.6</v>
      </c>
      <c r="J154" s="168">
        <v>4</v>
      </c>
      <c r="K154" s="168"/>
      <c r="L154" s="177">
        <v>16096</v>
      </c>
      <c r="M154" s="176">
        <v>471.89999999999986</v>
      </c>
      <c r="N154" s="176">
        <f t="shared" si="4"/>
        <v>649.20825266429836</v>
      </c>
      <c r="O154" s="177">
        <v>7652</v>
      </c>
      <c r="P154" s="176">
        <v>762.30000000000018</v>
      </c>
      <c r="Q154" s="176">
        <f t="shared" si="2"/>
        <v>1048.7210235346363</v>
      </c>
      <c r="R154" s="177">
        <v>11607</v>
      </c>
      <c r="S154" s="176">
        <v>220.90000000000009</v>
      </c>
      <c r="T154" s="176">
        <f t="shared" si="3"/>
        <v>303.89934946714055</v>
      </c>
      <c r="U154" s="168"/>
      <c r="V154" s="168"/>
      <c r="W154" s="168"/>
      <c r="X154" s="168"/>
      <c r="Y154" s="168"/>
      <c r="Z154" s="168"/>
      <c r="AA154" s="168"/>
      <c r="AB154" s="168"/>
      <c r="AC154" s="168"/>
      <c r="AD154" s="168"/>
      <c r="AE154" s="168"/>
      <c r="AF154" s="168"/>
      <c r="AG154" s="168"/>
      <c r="AH154" s="168"/>
      <c r="AI154" s="168"/>
      <c r="AJ154" s="168"/>
    </row>
    <row r="155" spans="1:36" x14ac:dyDescent="0.2">
      <c r="A155" s="171">
        <v>1</v>
      </c>
      <c r="B155" s="171">
        <v>2004</v>
      </c>
      <c r="C155" s="179">
        <f>+E155</f>
        <v>168.309</v>
      </c>
      <c r="D155" s="171">
        <f>+G155</f>
        <v>153.04300000000001</v>
      </c>
      <c r="E155" s="171">
        <v>168.309</v>
      </c>
      <c r="F155" s="168"/>
      <c r="G155" s="171">
        <v>153.04300000000001</v>
      </c>
      <c r="H155" s="168"/>
      <c r="I155" s="176">
        <v>112.6</v>
      </c>
      <c r="J155" s="168">
        <v>1</v>
      </c>
      <c r="K155" s="168">
        <v>2004</v>
      </c>
      <c r="L155" s="177">
        <v>17805</v>
      </c>
      <c r="M155" s="176">
        <v>517.69999999999993</v>
      </c>
      <c r="N155" s="176">
        <f t="shared" si="4"/>
        <v>712.21680950266432</v>
      </c>
      <c r="O155" s="177">
        <v>7033</v>
      </c>
      <c r="P155" s="176">
        <v>735.2</v>
      </c>
      <c r="Q155" s="176">
        <f t="shared" si="2"/>
        <v>1011.4386678507996</v>
      </c>
      <c r="R155" s="177">
        <v>8913</v>
      </c>
      <c r="S155" s="176">
        <v>178.89999999999998</v>
      </c>
      <c r="T155" s="176">
        <f t="shared" si="3"/>
        <v>246.11857682060392</v>
      </c>
      <c r="U155" s="168"/>
      <c r="V155" s="168"/>
      <c r="W155" s="168"/>
      <c r="X155" s="168"/>
      <c r="Y155" s="168"/>
      <c r="Z155" s="168"/>
      <c r="AA155" s="168"/>
      <c r="AB155" s="168"/>
      <c r="AC155" s="168"/>
      <c r="AD155" s="168"/>
      <c r="AE155" s="168"/>
      <c r="AF155" s="168"/>
      <c r="AG155" s="168"/>
      <c r="AH155" s="168"/>
      <c r="AI155" s="168"/>
      <c r="AJ155" s="168"/>
    </row>
    <row r="156" spans="1:36" x14ac:dyDescent="0.2">
      <c r="A156" s="171">
        <v>2</v>
      </c>
      <c r="B156" s="171"/>
      <c r="C156" s="179">
        <f>+E156-E155</f>
        <v>140.26700000000002</v>
      </c>
      <c r="D156" s="171">
        <f>+G156-G155</f>
        <v>125.56799999999998</v>
      </c>
      <c r="E156" s="171">
        <v>308.57600000000002</v>
      </c>
      <c r="F156" s="168"/>
      <c r="G156" s="171">
        <v>278.61099999999999</v>
      </c>
      <c r="H156" s="168"/>
      <c r="I156" s="176">
        <v>113.4</v>
      </c>
      <c r="J156" s="168">
        <v>2</v>
      </c>
      <c r="K156" s="168"/>
      <c r="L156" s="177">
        <v>13855</v>
      </c>
      <c r="M156" s="176">
        <v>344.69999999999993</v>
      </c>
      <c r="N156" s="176">
        <f t="shared" si="4"/>
        <v>470.869623015873</v>
      </c>
      <c r="O156" s="177">
        <v>6436</v>
      </c>
      <c r="P156" s="176">
        <v>708.3</v>
      </c>
      <c r="Q156" s="176">
        <f t="shared" si="2"/>
        <v>967.55716269841275</v>
      </c>
      <c r="R156" s="177">
        <v>10802</v>
      </c>
      <c r="S156" s="176">
        <v>228.40000000000003</v>
      </c>
      <c r="T156" s="176">
        <f t="shared" si="3"/>
        <v>312.00064373897715</v>
      </c>
      <c r="U156" s="168"/>
      <c r="V156" s="168"/>
      <c r="W156" s="168"/>
      <c r="X156" s="168"/>
      <c r="Y156" s="168"/>
      <c r="Z156" s="168"/>
      <c r="AA156" s="168"/>
      <c r="AB156" s="168"/>
      <c r="AC156" s="168"/>
      <c r="AD156" s="168"/>
      <c r="AE156" s="168"/>
      <c r="AF156" s="168"/>
      <c r="AG156" s="168"/>
      <c r="AH156" s="168"/>
      <c r="AI156" s="168"/>
      <c r="AJ156" s="168"/>
    </row>
    <row r="157" spans="1:36" x14ac:dyDescent="0.2">
      <c r="A157" s="171">
        <v>3</v>
      </c>
      <c r="B157" s="171"/>
      <c r="C157" s="179">
        <f>+E157-E156</f>
        <v>137.76999999999998</v>
      </c>
      <c r="D157" s="171">
        <f>+G157-G156</f>
        <v>123.12100000000004</v>
      </c>
      <c r="E157" s="171">
        <v>446.346</v>
      </c>
      <c r="F157" s="168"/>
      <c r="G157" s="171">
        <v>401.73200000000003</v>
      </c>
      <c r="H157" s="168"/>
      <c r="I157" s="176">
        <v>113</v>
      </c>
      <c r="J157" s="168">
        <v>3</v>
      </c>
      <c r="K157" s="168"/>
      <c r="L157" s="177">
        <v>17630</v>
      </c>
      <c r="M157" s="176">
        <v>454.09999999999991</v>
      </c>
      <c r="N157" s="176">
        <f t="shared" si="4"/>
        <v>622.5088119469026</v>
      </c>
      <c r="O157" s="177">
        <v>11805</v>
      </c>
      <c r="P157" s="176">
        <v>652.69999999999982</v>
      </c>
      <c r="Q157" s="176">
        <f t="shared" si="2"/>
        <v>894.76217035398224</v>
      </c>
      <c r="R157" s="177">
        <v>11365</v>
      </c>
      <c r="S157" s="176">
        <v>160.7999999999999</v>
      </c>
      <c r="T157" s="176">
        <f t="shared" si="3"/>
        <v>220.43474336283177</v>
      </c>
      <c r="U157" s="168"/>
      <c r="V157" s="168"/>
      <c r="W157" s="168"/>
      <c r="X157" s="168"/>
      <c r="Y157" s="168"/>
      <c r="Z157" s="168"/>
      <c r="AA157" s="168"/>
      <c r="AB157" s="168"/>
      <c r="AC157" s="168"/>
      <c r="AD157" s="168"/>
      <c r="AE157" s="168"/>
      <c r="AF157" s="168"/>
      <c r="AG157" s="168"/>
      <c r="AH157" s="168"/>
      <c r="AI157" s="168"/>
      <c r="AJ157" s="168"/>
    </row>
    <row r="158" spans="1:36" x14ac:dyDescent="0.2">
      <c r="A158" s="171">
        <v>4</v>
      </c>
      <c r="B158" s="171"/>
      <c r="C158" s="179">
        <f>+E158-E157</f>
        <v>137.68499999999995</v>
      </c>
      <c r="D158" s="171">
        <f>+G158-G157</f>
        <v>124.50600000000003</v>
      </c>
      <c r="E158" s="171">
        <v>584.03099999999995</v>
      </c>
      <c r="F158" s="168"/>
      <c r="G158" s="171">
        <v>526.23800000000006</v>
      </c>
      <c r="H158" s="168"/>
      <c r="I158" s="176">
        <v>114</v>
      </c>
      <c r="J158" s="168">
        <v>4</v>
      </c>
      <c r="K158" s="168"/>
      <c r="L158" s="177">
        <v>16674</v>
      </c>
      <c r="M158" s="176">
        <v>428.20000000000027</v>
      </c>
      <c r="N158" s="176">
        <f t="shared" si="4"/>
        <v>581.85431140350931</v>
      </c>
      <c r="O158" s="177">
        <v>10088</v>
      </c>
      <c r="P158" s="176">
        <v>709.40000000000055</v>
      </c>
      <c r="Q158" s="176">
        <f t="shared" si="2"/>
        <v>963.95947807017637</v>
      </c>
      <c r="R158" s="177">
        <v>9276</v>
      </c>
      <c r="S158" s="176">
        <v>162.90000000000009</v>
      </c>
      <c r="T158" s="176">
        <f t="shared" si="3"/>
        <v>221.35466447368438</v>
      </c>
      <c r="U158" s="168"/>
      <c r="V158" s="168"/>
      <c r="W158" s="168"/>
      <c r="X158" s="168"/>
      <c r="Y158" s="168"/>
      <c r="Z158" s="168"/>
      <c r="AA158" s="168"/>
      <c r="AB158" s="168"/>
      <c r="AC158" s="168"/>
      <c r="AD158" s="168"/>
      <c r="AE158" s="168"/>
      <c r="AF158" s="168"/>
      <c r="AG158" s="168"/>
      <c r="AH158" s="168"/>
      <c r="AI158" s="168"/>
      <c r="AJ158" s="168"/>
    </row>
    <row r="159" spans="1:36" x14ac:dyDescent="0.2">
      <c r="A159" s="171">
        <v>1</v>
      </c>
      <c r="B159" s="171">
        <v>2005</v>
      </c>
      <c r="C159" s="179">
        <f>+E159</f>
        <v>147.31100000000001</v>
      </c>
      <c r="D159" s="171">
        <f>+G159</f>
        <v>133.756</v>
      </c>
      <c r="E159" s="171">
        <v>147.31100000000001</v>
      </c>
      <c r="F159" s="168"/>
      <c r="G159" s="171">
        <v>133.756</v>
      </c>
      <c r="H159" s="168"/>
      <c r="I159" s="176">
        <v>113.7</v>
      </c>
      <c r="J159" s="168">
        <v>1</v>
      </c>
      <c r="K159" s="168">
        <v>2005</v>
      </c>
      <c r="L159" s="177">
        <v>15151</v>
      </c>
      <c r="M159" s="176">
        <v>418</v>
      </c>
      <c r="N159" s="176">
        <f t="shared" si="4"/>
        <v>569.49283201407218</v>
      </c>
      <c r="O159" s="177">
        <v>7287</v>
      </c>
      <c r="P159" s="176">
        <v>715.2</v>
      </c>
      <c r="Q159" s="176">
        <f t="shared" si="2"/>
        <v>974.40496042216375</v>
      </c>
      <c r="R159" s="177">
        <v>7498</v>
      </c>
      <c r="S159" s="176">
        <v>159.69999999999999</v>
      </c>
      <c r="T159" s="176">
        <f t="shared" si="3"/>
        <v>217.57895998240988</v>
      </c>
      <c r="U159" s="168"/>
      <c r="V159" s="168"/>
      <c r="W159" s="168"/>
      <c r="X159" s="168"/>
      <c r="Y159" s="168"/>
      <c r="Z159" s="168"/>
      <c r="AA159" s="168"/>
      <c r="AB159" s="168"/>
      <c r="AC159" s="168"/>
      <c r="AD159" s="168"/>
      <c r="AE159" s="168"/>
      <c r="AF159" s="168"/>
      <c r="AG159" s="168"/>
      <c r="AH159" s="168"/>
      <c r="AI159" s="168"/>
      <c r="AJ159" s="168"/>
    </row>
    <row r="160" spans="1:36" x14ac:dyDescent="0.2">
      <c r="A160" s="171">
        <v>2</v>
      </c>
      <c r="B160" s="171"/>
      <c r="C160" s="179">
        <f>+E160-E159</f>
        <v>143.51699999999997</v>
      </c>
      <c r="D160" s="171">
        <f>+G160-G159</f>
        <v>128.79</v>
      </c>
      <c r="E160" s="171">
        <v>290.82799999999997</v>
      </c>
      <c r="F160" s="168"/>
      <c r="G160" s="171">
        <v>262.54599999999999</v>
      </c>
      <c r="H160" s="168"/>
      <c r="I160" s="176">
        <v>115.2</v>
      </c>
      <c r="J160" s="168">
        <v>2</v>
      </c>
      <c r="K160" s="168"/>
      <c r="L160" s="177">
        <v>14855</v>
      </c>
      <c r="M160" s="176">
        <v>323.20000000000005</v>
      </c>
      <c r="N160" s="176">
        <f t="shared" si="4"/>
        <v>434.60159722222232</v>
      </c>
      <c r="O160" s="177">
        <v>6172</v>
      </c>
      <c r="P160" s="176">
        <v>745.5</v>
      </c>
      <c r="Q160" s="176">
        <f t="shared" si="2"/>
        <v>1002.4612955729167</v>
      </c>
      <c r="R160" s="177">
        <v>11610</v>
      </c>
      <c r="S160" s="176">
        <v>152.50000000000006</v>
      </c>
      <c r="T160" s="176">
        <f t="shared" si="3"/>
        <v>205.064181857639</v>
      </c>
      <c r="U160" s="168"/>
      <c r="V160" s="168"/>
      <c r="W160" s="168"/>
      <c r="X160" s="168"/>
      <c r="Y160" s="168"/>
      <c r="Z160" s="168"/>
      <c r="AA160" s="168"/>
      <c r="AB160" s="168"/>
      <c r="AC160" s="168"/>
      <c r="AD160" s="168"/>
      <c r="AE160" s="168"/>
      <c r="AF160" s="168"/>
      <c r="AG160" s="168"/>
      <c r="AH160" s="168"/>
      <c r="AI160" s="168"/>
      <c r="AJ160" s="168"/>
    </row>
    <row r="161" spans="1:36" x14ac:dyDescent="0.2">
      <c r="A161" s="171">
        <v>3</v>
      </c>
      <c r="B161" s="171"/>
      <c r="C161" s="179">
        <f>+E161-E160</f>
        <v>134.78300000000002</v>
      </c>
      <c r="D161" s="171">
        <f>+G161-G160</f>
        <v>120.57100000000003</v>
      </c>
      <c r="E161" s="171">
        <v>425.61099999999999</v>
      </c>
      <c r="F161" s="168"/>
      <c r="G161" s="171">
        <v>383.11700000000002</v>
      </c>
      <c r="H161" s="168"/>
      <c r="I161" s="176">
        <v>115.1</v>
      </c>
      <c r="J161" s="168">
        <v>3</v>
      </c>
      <c r="K161" s="168"/>
      <c r="L161" s="177">
        <v>13014</v>
      </c>
      <c r="M161" s="176">
        <v>448.29999999999995</v>
      </c>
      <c r="N161" s="176">
        <f t="shared" si="4"/>
        <v>603.34519765421373</v>
      </c>
      <c r="O161" s="177">
        <v>6734</v>
      </c>
      <c r="P161" s="176">
        <v>832.10000000000014</v>
      </c>
      <c r="Q161" s="176">
        <f t="shared" si="2"/>
        <v>1119.8829778453523</v>
      </c>
      <c r="R161" s="177">
        <v>8742</v>
      </c>
      <c r="S161" s="176">
        <v>152.99999999999994</v>
      </c>
      <c r="T161" s="176">
        <f t="shared" si="3"/>
        <v>205.91526933101645</v>
      </c>
      <c r="U161" s="168"/>
      <c r="V161" s="168"/>
      <c r="W161" s="168"/>
      <c r="X161" s="168"/>
      <c r="Y161" s="168"/>
      <c r="Z161" s="168"/>
      <c r="AA161" s="168"/>
      <c r="AB161" s="168"/>
      <c r="AC161" s="168"/>
      <c r="AD161" s="168"/>
      <c r="AE161" s="168"/>
      <c r="AF161" s="168"/>
      <c r="AG161" s="168"/>
      <c r="AH161" s="168"/>
      <c r="AI161" s="168"/>
      <c r="AJ161" s="168"/>
    </row>
    <row r="162" spans="1:36" x14ac:dyDescent="0.2">
      <c r="A162" s="171">
        <v>4</v>
      </c>
      <c r="B162" s="171"/>
      <c r="C162" s="179">
        <f>+E162-E161</f>
        <v>137.37</v>
      </c>
      <c r="D162" s="171">
        <f>+G162-G161</f>
        <v>124.38200000000001</v>
      </c>
      <c r="E162" s="171">
        <v>562.98099999999999</v>
      </c>
      <c r="F162" s="168"/>
      <c r="G162" s="171">
        <v>507.49900000000002</v>
      </c>
      <c r="H162" s="168"/>
      <c r="I162" s="176">
        <v>116</v>
      </c>
      <c r="J162" s="168">
        <v>4</v>
      </c>
      <c r="K162" s="168"/>
      <c r="L162" s="177">
        <v>22745</v>
      </c>
      <c r="M162" s="176">
        <v>478.79999999999995</v>
      </c>
      <c r="N162" s="176">
        <f t="shared" si="4"/>
        <v>639.39406034482761</v>
      </c>
      <c r="O162" s="177">
        <v>8144</v>
      </c>
      <c r="P162" s="176">
        <v>795.79999999999973</v>
      </c>
      <c r="Q162" s="176">
        <f t="shared" si="2"/>
        <v>1062.7188663793102</v>
      </c>
      <c r="R162" s="177">
        <v>11407</v>
      </c>
      <c r="S162" s="176">
        <v>142.00000000000006</v>
      </c>
      <c r="T162" s="176">
        <f t="shared" si="3"/>
        <v>189.62814655172426</v>
      </c>
      <c r="U162" s="168"/>
      <c r="V162" s="168"/>
      <c r="W162" s="168"/>
      <c r="X162" s="168"/>
      <c r="Y162" s="168"/>
      <c r="Z162" s="168"/>
      <c r="AA162" s="168"/>
      <c r="AB162" s="168"/>
      <c r="AC162" s="168"/>
      <c r="AD162" s="168"/>
      <c r="AE162" s="168"/>
      <c r="AF162" s="168"/>
      <c r="AG162" s="168"/>
      <c r="AH162" s="168"/>
      <c r="AI162" s="168"/>
      <c r="AJ162" s="168"/>
    </row>
    <row r="163" spans="1:36" x14ac:dyDescent="0.2">
      <c r="A163" s="171">
        <v>1</v>
      </c>
      <c r="B163" s="171">
        <v>2006</v>
      </c>
      <c r="C163" s="179">
        <f>+E163</f>
        <v>155.21299999999999</v>
      </c>
      <c r="D163" s="171">
        <f>+G163</f>
        <v>139.72800000000001</v>
      </c>
      <c r="E163" s="171">
        <v>155.21299999999999</v>
      </c>
      <c r="F163" s="168"/>
      <c r="G163" s="171">
        <v>139.72800000000001</v>
      </c>
      <c r="H163" s="168"/>
      <c r="I163" s="176">
        <v>116.6</v>
      </c>
      <c r="J163" s="168">
        <v>1</v>
      </c>
      <c r="K163" s="168">
        <v>2006</v>
      </c>
      <c r="L163" s="177">
        <v>18196</v>
      </c>
      <c r="M163" s="176">
        <v>585</v>
      </c>
      <c r="N163" s="176">
        <f t="shared" si="4"/>
        <v>777.19457547169839</v>
      </c>
      <c r="O163" s="177">
        <v>6106</v>
      </c>
      <c r="P163" s="176">
        <v>947.2</v>
      </c>
      <c r="Q163" s="176">
        <f t="shared" si="2"/>
        <v>1258.3909433962269</v>
      </c>
      <c r="R163" s="177">
        <v>7106</v>
      </c>
      <c r="S163" s="176">
        <v>150.6</v>
      </c>
      <c r="T163" s="176">
        <f t="shared" si="3"/>
        <v>200.07778301886796</v>
      </c>
      <c r="U163" s="168"/>
      <c r="V163" s="168"/>
      <c r="W163" s="168"/>
      <c r="X163" s="168"/>
      <c r="Y163" s="168"/>
      <c r="Z163" s="168"/>
      <c r="AA163" s="168"/>
      <c r="AB163" s="168"/>
      <c r="AC163" s="168"/>
      <c r="AD163" s="168"/>
      <c r="AE163" s="168"/>
      <c r="AF163" s="168"/>
      <c r="AG163" s="168"/>
      <c r="AH163" s="168"/>
      <c r="AI163" s="168"/>
      <c r="AJ163" s="168"/>
    </row>
    <row r="164" spans="1:36" x14ac:dyDescent="0.2">
      <c r="A164" s="171">
        <v>2</v>
      </c>
      <c r="B164" s="171"/>
      <c r="C164" s="179">
        <f>+E164-E163</f>
        <v>147.44399999999999</v>
      </c>
      <c r="D164" s="171">
        <f>+G164-G163</f>
        <v>129.572</v>
      </c>
      <c r="E164" s="171">
        <v>302.65699999999998</v>
      </c>
      <c r="F164" s="168"/>
      <c r="G164" s="171">
        <v>269.3</v>
      </c>
      <c r="H164" s="168"/>
      <c r="I164" s="176">
        <v>117.9</v>
      </c>
      <c r="J164" s="168">
        <v>2</v>
      </c>
      <c r="K164" s="168"/>
      <c r="L164" s="177">
        <v>13943</v>
      </c>
      <c r="M164" s="176">
        <v>433.79999999999995</v>
      </c>
      <c r="N164" s="176">
        <f t="shared" si="4"/>
        <v>569.96500000000003</v>
      </c>
      <c r="O164" s="177">
        <v>5246</v>
      </c>
      <c r="P164" s="176">
        <v>811.2</v>
      </c>
      <c r="Q164" s="176">
        <f t="shared" si="2"/>
        <v>1065.8266666666668</v>
      </c>
      <c r="R164" s="177">
        <v>9193</v>
      </c>
      <c r="S164" s="176">
        <v>176.1</v>
      </c>
      <c r="T164" s="176">
        <f t="shared" si="3"/>
        <v>231.37583333333336</v>
      </c>
      <c r="U164" s="168"/>
      <c r="V164" s="168"/>
      <c r="W164" s="168"/>
      <c r="X164" s="168"/>
      <c r="Y164" s="168"/>
      <c r="Z164" s="168"/>
      <c r="AA164" s="168"/>
      <c r="AB164" s="168"/>
      <c r="AC164" s="168"/>
      <c r="AD164" s="168"/>
      <c r="AE164" s="168"/>
      <c r="AF164" s="168"/>
      <c r="AG164" s="168"/>
      <c r="AH164" s="168"/>
      <c r="AI164" s="168"/>
      <c r="AJ164" s="168"/>
    </row>
    <row r="165" spans="1:36" x14ac:dyDescent="0.2">
      <c r="A165" s="171">
        <v>3</v>
      </c>
      <c r="B165" s="171"/>
      <c r="C165" s="179">
        <f>+E165-E164</f>
        <v>143.45100000000002</v>
      </c>
      <c r="D165" s="171">
        <f>+G165-G164</f>
        <v>126.00599999999997</v>
      </c>
      <c r="E165" s="171">
        <v>446.108</v>
      </c>
      <c r="F165" s="168"/>
      <c r="G165" s="171">
        <v>395.30599999999998</v>
      </c>
      <c r="H165" s="168"/>
      <c r="I165" s="180">
        <v>117.3</v>
      </c>
      <c r="J165" s="168">
        <v>3</v>
      </c>
      <c r="K165" s="168"/>
      <c r="L165" s="177">
        <v>13690</v>
      </c>
      <c r="M165" s="176">
        <v>496.59999999999991</v>
      </c>
      <c r="N165" s="176">
        <f t="shared" si="4"/>
        <v>655.81470161977836</v>
      </c>
      <c r="O165" s="177">
        <v>9450</v>
      </c>
      <c r="P165" s="176">
        <v>855.90000000000009</v>
      </c>
      <c r="Q165" s="176">
        <f t="shared" si="2"/>
        <v>1130.3097122762151</v>
      </c>
      <c r="R165" s="177">
        <v>10840</v>
      </c>
      <c r="S165" s="176">
        <v>167.10000000000002</v>
      </c>
      <c r="T165" s="176">
        <f t="shared" si="3"/>
        <v>220.67385549872131</v>
      </c>
      <c r="U165" s="168"/>
      <c r="V165" s="168"/>
      <c r="W165" s="168"/>
      <c r="X165" s="168"/>
      <c r="Y165" s="168"/>
      <c r="Z165" s="168"/>
      <c r="AA165" s="168"/>
      <c r="AB165" s="168"/>
      <c r="AC165" s="168"/>
      <c r="AD165" s="168"/>
      <c r="AE165" s="168"/>
      <c r="AF165" s="168"/>
      <c r="AG165" s="168"/>
      <c r="AH165" s="168"/>
      <c r="AI165" s="168"/>
      <c r="AJ165" s="168"/>
    </row>
    <row r="166" spans="1:36" x14ac:dyDescent="0.2">
      <c r="A166" s="171">
        <v>4</v>
      </c>
      <c r="B166" s="171"/>
      <c r="C166" s="179">
        <f>+E166-E165</f>
        <v>148.56090999999998</v>
      </c>
      <c r="D166" s="171">
        <f>+G166-G165</f>
        <v>131.19532799999996</v>
      </c>
      <c r="E166" s="171">
        <v>594.66890999999998</v>
      </c>
      <c r="F166" s="168"/>
      <c r="G166" s="171">
        <v>526.50132799999994</v>
      </c>
      <c r="H166" s="168"/>
      <c r="I166" s="180">
        <v>119</v>
      </c>
      <c r="J166" s="168">
        <v>4</v>
      </c>
      <c r="K166" s="168"/>
      <c r="L166" s="177">
        <v>16682</v>
      </c>
      <c r="M166" s="176">
        <v>525.60000000000014</v>
      </c>
      <c r="N166" s="176">
        <f t="shared" si="4"/>
        <v>684.19648739495824</v>
      </c>
      <c r="O166" s="177">
        <v>10233</v>
      </c>
      <c r="P166" s="176">
        <v>826</v>
      </c>
      <c r="Q166" s="176">
        <f t="shared" si="2"/>
        <v>1075.2402941176472</v>
      </c>
      <c r="R166" s="177">
        <v>9520</v>
      </c>
      <c r="S166" s="176">
        <v>144.09999999999997</v>
      </c>
      <c r="T166" s="176">
        <f t="shared" si="3"/>
        <v>187.58126680672268</v>
      </c>
      <c r="U166" s="168"/>
      <c r="V166" s="168"/>
      <c r="W166" s="168"/>
      <c r="X166" s="168"/>
      <c r="Y166" s="168"/>
      <c r="Z166" s="168"/>
      <c r="AA166" s="168"/>
      <c r="AB166" s="168"/>
      <c r="AC166" s="168"/>
      <c r="AD166" s="168"/>
      <c r="AE166" s="168"/>
      <c r="AF166" s="168"/>
      <c r="AG166" s="168"/>
      <c r="AH166" s="168"/>
      <c r="AI166" s="168"/>
      <c r="AJ166" s="168"/>
    </row>
    <row r="167" spans="1:36" x14ac:dyDescent="0.2">
      <c r="A167" s="171">
        <v>1</v>
      </c>
      <c r="B167" s="171">
        <v>2007</v>
      </c>
      <c r="C167" s="179">
        <f>+E167</f>
        <v>158.09976</v>
      </c>
      <c r="D167" s="171">
        <f>+G167</f>
        <v>141.08400800000001</v>
      </c>
      <c r="E167" s="171">
        <v>158.09976</v>
      </c>
      <c r="F167" s="168"/>
      <c r="G167" s="171">
        <v>141.08400800000001</v>
      </c>
      <c r="H167" s="168"/>
      <c r="I167" s="180">
        <v>117.5</v>
      </c>
      <c r="J167" s="168">
        <v>1</v>
      </c>
      <c r="K167" s="168">
        <v>2007</v>
      </c>
      <c r="L167" s="177">
        <v>18623</v>
      </c>
      <c r="M167" s="176">
        <v>649.6</v>
      </c>
      <c r="N167" s="176">
        <f t="shared" si="4"/>
        <v>856.4077617021278</v>
      </c>
      <c r="O167" s="177">
        <v>7737</v>
      </c>
      <c r="P167" s="176">
        <v>1092.1999999999998</v>
      </c>
      <c r="Q167" s="176">
        <f t="shared" si="2"/>
        <v>1439.91465106383</v>
      </c>
      <c r="R167" s="177">
        <v>8112</v>
      </c>
      <c r="S167" s="176">
        <v>167.4</v>
      </c>
      <c r="T167" s="176">
        <f t="shared" si="3"/>
        <v>220.69374893617027</v>
      </c>
      <c r="U167" s="168"/>
      <c r="V167" s="168"/>
      <c r="W167" s="168"/>
      <c r="X167" s="168"/>
      <c r="Y167" s="168"/>
      <c r="Z167" s="168"/>
      <c r="AA167" s="168"/>
      <c r="AB167" s="168"/>
      <c r="AC167" s="168"/>
      <c r="AD167" s="168"/>
      <c r="AE167" s="168"/>
      <c r="AF167" s="168"/>
      <c r="AG167" s="168"/>
      <c r="AH167" s="168"/>
      <c r="AI167" s="168"/>
      <c r="AJ167" s="168"/>
    </row>
    <row r="168" spans="1:36" x14ac:dyDescent="0.2">
      <c r="A168" s="171">
        <v>2</v>
      </c>
      <c r="B168" s="171"/>
      <c r="C168" s="179">
        <f>+E168-E167</f>
        <v>161.61276000000004</v>
      </c>
      <c r="D168" s="171">
        <f>+G168-G167</f>
        <v>142.897008</v>
      </c>
      <c r="E168" s="171">
        <v>319.71252000000004</v>
      </c>
      <c r="F168" s="168"/>
      <c r="G168" s="171">
        <v>283.98101600000001</v>
      </c>
      <c r="H168" s="168"/>
      <c r="I168" s="180">
        <v>118.3</v>
      </c>
      <c r="J168" s="168">
        <v>2</v>
      </c>
      <c r="K168" s="168"/>
      <c r="L168" s="177">
        <v>15831</v>
      </c>
      <c r="M168" s="176">
        <v>514.19999999999993</v>
      </c>
      <c r="N168" s="176">
        <f t="shared" si="4"/>
        <v>673.31729923922239</v>
      </c>
      <c r="O168" s="177">
        <v>5067</v>
      </c>
      <c r="P168" s="176">
        <v>1041.6999999999998</v>
      </c>
      <c r="Q168" s="176">
        <f t="shared" ref="Q168:Q189" si="5">P168/I168*$I$69</f>
        <v>1364.0502345731193</v>
      </c>
      <c r="R168" s="177">
        <v>10608</v>
      </c>
      <c r="S168" s="176">
        <v>160.99999999999997</v>
      </c>
      <c r="T168" s="176">
        <f t="shared" ref="T168:T189" si="6">S168/I168*$I$69</f>
        <v>210.8208579881657</v>
      </c>
      <c r="U168" s="168"/>
      <c r="V168" s="168"/>
      <c r="W168" s="168"/>
      <c r="X168" s="168"/>
      <c r="Y168" s="168"/>
      <c r="Z168" s="168"/>
      <c r="AA168" s="168"/>
      <c r="AB168" s="168"/>
      <c r="AC168" s="168"/>
      <c r="AD168" s="168"/>
      <c r="AE168" s="168"/>
      <c r="AF168" s="168"/>
      <c r="AG168" s="168"/>
      <c r="AH168" s="168"/>
      <c r="AI168" s="168"/>
      <c r="AJ168" s="168"/>
    </row>
    <row r="169" spans="1:36" x14ac:dyDescent="0.2">
      <c r="A169" s="171">
        <v>3</v>
      </c>
      <c r="B169" s="171"/>
      <c r="C169" s="179">
        <f>+E169-E168</f>
        <v>135.82058024999998</v>
      </c>
      <c r="D169" s="171">
        <f>+G169-G168</f>
        <v>119.75308425000003</v>
      </c>
      <c r="E169" s="171">
        <v>455.53310025000002</v>
      </c>
      <c r="F169" s="168"/>
      <c r="G169" s="171">
        <v>403.73410025000004</v>
      </c>
      <c r="H169" s="168"/>
      <c r="I169" s="180">
        <v>117.8</v>
      </c>
      <c r="J169" s="168">
        <v>3</v>
      </c>
      <c r="K169" s="168"/>
      <c r="L169" s="177">
        <v>18428</v>
      </c>
      <c r="M169" s="176">
        <v>654.20000000000027</v>
      </c>
      <c r="N169" s="176">
        <f t="shared" si="4"/>
        <v>860.27577674023826</v>
      </c>
      <c r="O169" s="177">
        <v>6417</v>
      </c>
      <c r="P169" s="176">
        <v>679.60000000000036</v>
      </c>
      <c r="Q169" s="176">
        <f t="shared" si="5"/>
        <v>893.67688455008556</v>
      </c>
      <c r="R169" s="177">
        <v>10319</v>
      </c>
      <c r="S169" s="176">
        <v>152.89999999999998</v>
      </c>
      <c r="T169" s="176">
        <f t="shared" si="6"/>
        <v>201.06414898132428</v>
      </c>
      <c r="U169" s="168"/>
      <c r="V169" s="168"/>
      <c r="W169" s="168"/>
      <c r="X169" s="168"/>
      <c r="Y169" s="168"/>
      <c r="Z169" s="168"/>
      <c r="AA169" s="168"/>
      <c r="AB169" s="168"/>
      <c r="AC169" s="168"/>
      <c r="AD169" s="168"/>
      <c r="AE169" s="168"/>
      <c r="AF169" s="168"/>
      <c r="AG169" s="168"/>
      <c r="AH169" s="168"/>
      <c r="AI169" s="168"/>
      <c r="AJ169" s="168"/>
    </row>
    <row r="170" spans="1:36" x14ac:dyDescent="0.2">
      <c r="A170" s="171">
        <v>4</v>
      </c>
      <c r="B170" s="171"/>
      <c r="C170" s="179">
        <f>+E170-E169</f>
        <v>149.79139924999998</v>
      </c>
      <c r="D170" s="171">
        <f>+G170-G169</f>
        <v>133.49839924999998</v>
      </c>
      <c r="E170" s="171">
        <v>605.3244995</v>
      </c>
      <c r="F170" s="168"/>
      <c r="G170" s="171">
        <v>537.23249950000002</v>
      </c>
      <c r="H170" s="168"/>
      <c r="I170" s="180">
        <v>120.8</v>
      </c>
      <c r="J170" s="168">
        <v>4</v>
      </c>
      <c r="K170" s="168"/>
      <c r="L170" s="177">
        <v>15870</v>
      </c>
      <c r="M170" s="176">
        <v>567.19999999999959</v>
      </c>
      <c r="N170" s="176">
        <f t="shared" si="4"/>
        <v>727.34713576158913</v>
      </c>
      <c r="O170" s="177">
        <v>5114</v>
      </c>
      <c r="P170" s="176">
        <v>911.69999999999982</v>
      </c>
      <c r="Q170" s="176">
        <f t="shared" si="5"/>
        <v>1169.1156270695365</v>
      </c>
      <c r="R170" s="177">
        <v>8645</v>
      </c>
      <c r="S170" s="176">
        <v>142.80000000000007</v>
      </c>
      <c r="T170" s="176">
        <f t="shared" si="6"/>
        <v>183.1191307947021</v>
      </c>
      <c r="U170" s="168"/>
      <c r="V170" s="168"/>
      <c r="W170" s="168"/>
      <c r="X170" s="168"/>
      <c r="Y170" s="168"/>
      <c r="Z170" s="168"/>
      <c r="AA170" s="168"/>
      <c r="AB170" s="168"/>
      <c r="AC170" s="168"/>
      <c r="AD170" s="168"/>
      <c r="AE170" s="168"/>
      <c r="AF170" s="168"/>
      <c r="AG170" s="168"/>
      <c r="AH170" s="168"/>
      <c r="AI170" s="168"/>
      <c r="AJ170" s="168"/>
    </row>
    <row r="171" spans="1:36" x14ac:dyDescent="0.2">
      <c r="A171" s="171">
        <v>1</v>
      </c>
      <c r="B171" s="171">
        <v>2008</v>
      </c>
      <c r="C171" s="179">
        <f>+E171</f>
        <v>164.64169099999998</v>
      </c>
      <c r="D171" s="171">
        <f>+G171</f>
        <v>148.61369099999999</v>
      </c>
      <c r="E171" s="171">
        <v>164.64169099999998</v>
      </c>
      <c r="F171" s="168"/>
      <c r="G171" s="171">
        <v>148.61369099999999</v>
      </c>
      <c r="H171" s="168"/>
      <c r="I171" s="180">
        <v>121.9</v>
      </c>
      <c r="J171" s="168">
        <v>1</v>
      </c>
      <c r="K171" s="168">
        <v>2008</v>
      </c>
      <c r="L171" s="177">
        <v>17004</v>
      </c>
      <c r="M171" s="176">
        <v>591.9</v>
      </c>
      <c r="N171" s="176">
        <f t="shared" si="4"/>
        <v>752.17185602953248</v>
      </c>
      <c r="O171" s="177">
        <v>6274</v>
      </c>
      <c r="P171" s="176">
        <v>963.6</v>
      </c>
      <c r="Q171" s="176">
        <f t="shared" si="5"/>
        <v>1224.5190073831011</v>
      </c>
      <c r="R171" s="177">
        <v>7939</v>
      </c>
      <c r="S171" s="176">
        <v>160.1</v>
      </c>
      <c r="T171" s="176">
        <f t="shared" si="6"/>
        <v>203.45111361771947</v>
      </c>
      <c r="U171" s="168"/>
      <c r="V171" s="168"/>
      <c r="W171" s="168"/>
      <c r="X171" s="168"/>
      <c r="Y171" s="168"/>
      <c r="Z171" s="168"/>
      <c r="AA171" s="168"/>
      <c r="AB171" s="168"/>
      <c r="AC171" s="168"/>
      <c r="AD171" s="168"/>
      <c r="AE171" s="168"/>
      <c r="AF171" s="168"/>
      <c r="AG171" s="168"/>
      <c r="AH171" s="168"/>
      <c r="AI171" s="168"/>
      <c r="AJ171" s="168"/>
    </row>
    <row r="172" spans="1:36" x14ac:dyDescent="0.2">
      <c r="A172" s="171">
        <v>2</v>
      </c>
      <c r="B172" s="171"/>
      <c r="C172" s="179">
        <f>+E172-E171</f>
        <v>197.28657850000002</v>
      </c>
      <c r="D172" s="171">
        <f>+G172-G171</f>
        <v>175.71357850000001</v>
      </c>
      <c r="E172" s="171">
        <v>361.9282695</v>
      </c>
      <c r="F172" s="168"/>
      <c r="G172" s="171">
        <v>324.3272695</v>
      </c>
      <c r="H172" s="168"/>
      <c r="I172" s="180">
        <v>122</v>
      </c>
      <c r="J172" s="168">
        <v>2</v>
      </c>
      <c r="K172" s="168"/>
      <c r="L172" s="177">
        <v>14987</v>
      </c>
      <c r="M172" s="176">
        <v>548.4</v>
      </c>
      <c r="N172" s="176">
        <f t="shared" ref="N172:N181" si="7">M172/I172*$I$69</f>
        <v>696.32190983606574</v>
      </c>
      <c r="O172" s="177">
        <v>5831</v>
      </c>
      <c r="P172" s="176">
        <v>1153.8000000000002</v>
      </c>
      <c r="Q172" s="176">
        <f t="shared" si="5"/>
        <v>1465.0186352459023</v>
      </c>
      <c r="R172" s="177">
        <v>10207</v>
      </c>
      <c r="S172" s="176">
        <v>188.4</v>
      </c>
      <c r="T172" s="176">
        <f t="shared" si="6"/>
        <v>239.21781147540989</v>
      </c>
      <c r="U172" s="168"/>
      <c r="V172" s="168"/>
      <c r="W172" s="168"/>
      <c r="X172" s="168"/>
      <c r="Y172" s="168"/>
      <c r="Z172" s="168"/>
      <c r="AA172" s="168"/>
      <c r="AB172" s="168"/>
      <c r="AC172" s="168"/>
      <c r="AD172" s="168"/>
      <c r="AE172" s="168"/>
      <c r="AF172" s="168"/>
      <c r="AG172" s="168"/>
      <c r="AH172" s="168"/>
      <c r="AI172" s="168"/>
      <c r="AJ172" s="168"/>
    </row>
    <row r="173" spans="1:36" x14ac:dyDescent="0.2">
      <c r="A173" s="171">
        <v>3</v>
      </c>
      <c r="B173" s="171"/>
      <c r="C173" s="179">
        <f>+E173-E172</f>
        <v>159.71767174999997</v>
      </c>
      <c r="D173" s="171">
        <f>+G173-G172</f>
        <v>141.40667174999999</v>
      </c>
      <c r="E173" s="171">
        <v>521.64594124999996</v>
      </c>
      <c r="F173" s="168"/>
      <c r="G173" s="171">
        <v>465.73394124999999</v>
      </c>
      <c r="H173" s="168"/>
      <c r="I173" s="180">
        <v>123.1</v>
      </c>
      <c r="J173" s="168">
        <v>3</v>
      </c>
      <c r="K173" s="168"/>
      <c r="L173" s="177">
        <v>19290</v>
      </c>
      <c r="M173" s="176">
        <v>722.70000000000027</v>
      </c>
      <c r="N173" s="176">
        <f t="shared" si="7"/>
        <v>909.43663891145468</v>
      </c>
      <c r="O173" s="177">
        <v>12252</v>
      </c>
      <c r="P173" s="176">
        <v>1486.4999999999995</v>
      </c>
      <c r="Q173" s="176">
        <f t="shared" si="5"/>
        <v>1870.5930036555644</v>
      </c>
      <c r="R173" s="177">
        <v>11007</v>
      </c>
      <c r="S173" s="176">
        <v>186.29999999999995</v>
      </c>
      <c r="T173" s="176">
        <f t="shared" si="6"/>
        <v>234.43758935824533</v>
      </c>
      <c r="U173" s="168"/>
      <c r="V173" s="168"/>
      <c r="W173" s="168"/>
      <c r="X173" s="168"/>
      <c r="Y173" s="168"/>
      <c r="Z173" s="168"/>
      <c r="AA173" s="168"/>
      <c r="AB173" s="168"/>
      <c r="AC173" s="168"/>
      <c r="AD173" s="168"/>
      <c r="AE173" s="168"/>
      <c r="AF173" s="168"/>
      <c r="AG173" s="168"/>
      <c r="AH173" s="168"/>
      <c r="AI173" s="168"/>
      <c r="AJ173" s="168"/>
    </row>
    <row r="174" spans="1:36" x14ac:dyDescent="0.2">
      <c r="A174" s="171">
        <v>4</v>
      </c>
      <c r="B174" s="171"/>
      <c r="C174" s="179">
        <f>+E174-E173</f>
        <v>170.05706974999998</v>
      </c>
      <c r="D174" s="171">
        <f>+G174-G173</f>
        <v>152.54014889999991</v>
      </c>
      <c r="E174" s="171">
        <v>691.70301099999995</v>
      </c>
      <c r="F174" s="168"/>
      <c r="G174" s="171">
        <v>618.27409014999989</v>
      </c>
      <c r="H174" s="168"/>
      <c r="I174" s="176">
        <v>124.7</v>
      </c>
      <c r="J174" s="168">
        <v>4</v>
      </c>
      <c r="K174" s="168"/>
      <c r="L174" s="177">
        <v>16976</v>
      </c>
      <c r="M174" s="176">
        <v>703.10000000000014</v>
      </c>
      <c r="N174" s="176">
        <f t="shared" si="7"/>
        <v>873.41991379310377</v>
      </c>
      <c r="O174" s="177">
        <v>7247</v>
      </c>
      <c r="P174" s="176">
        <v>1160</v>
      </c>
      <c r="Q174" s="176">
        <f t="shared" si="5"/>
        <v>1441.0000000000002</v>
      </c>
      <c r="R174" s="177">
        <v>10145</v>
      </c>
      <c r="S174" s="176">
        <v>269.60000000000014</v>
      </c>
      <c r="T174" s="176">
        <f t="shared" si="6"/>
        <v>334.90827586206922</v>
      </c>
      <c r="U174" s="168"/>
      <c r="V174" s="168"/>
      <c r="W174" s="168"/>
      <c r="X174" s="168"/>
      <c r="Y174" s="168"/>
      <c r="Z174" s="168"/>
      <c r="AA174" s="168"/>
      <c r="AB174" s="168"/>
      <c r="AC174" s="168"/>
      <c r="AD174" s="168"/>
      <c r="AE174" s="168"/>
      <c r="AF174" s="168"/>
      <c r="AG174" s="168"/>
      <c r="AH174" s="168"/>
      <c r="AI174" s="168"/>
      <c r="AJ174" s="168"/>
    </row>
    <row r="175" spans="1:36" x14ac:dyDescent="0.2">
      <c r="A175" s="171">
        <v>1</v>
      </c>
      <c r="B175" s="171">
        <v>2009</v>
      </c>
      <c r="C175" s="179">
        <f>+E175</f>
        <v>191.37959499999999</v>
      </c>
      <c r="D175" s="171">
        <f>+G175</f>
        <v>172.55938714999999</v>
      </c>
      <c r="E175" s="171">
        <v>191.37959499999999</v>
      </c>
      <c r="F175" s="168"/>
      <c r="G175" s="171">
        <v>172.55938714999999</v>
      </c>
      <c r="H175" s="168"/>
      <c r="I175" s="176">
        <v>125</v>
      </c>
      <c r="J175" s="168">
        <v>1</v>
      </c>
      <c r="K175" s="168">
        <v>2009</v>
      </c>
      <c r="L175" s="177">
        <v>18865</v>
      </c>
      <c r="M175" s="176">
        <v>739.59999999999991</v>
      </c>
      <c r="N175" s="176">
        <f t="shared" si="7"/>
        <v>916.5566960000001</v>
      </c>
      <c r="O175" s="177">
        <v>6194</v>
      </c>
      <c r="P175" s="176">
        <v>1049.9000000000001</v>
      </c>
      <c r="Q175" s="176">
        <f t="shared" si="5"/>
        <v>1301.0990740000002</v>
      </c>
      <c r="R175" s="177">
        <v>8619</v>
      </c>
      <c r="S175" s="176">
        <v>213.2</v>
      </c>
      <c r="T175" s="176">
        <f t="shared" si="6"/>
        <v>264.21023200000002</v>
      </c>
      <c r="U175" s="168"/>
      <c r="V175" s="168"/>
      <c r="W175" s="168"/>
      <c r="X175" s="168"/>
      <c r="Y175" s="168"/>
      <c r="Z175" s="168"/>
      <c r="AA175" s="168"/>
      <c r="AB175" s="168"/>
      <c r="AC175" s="168"/>
      <c r="AD175" s="168"/>
      <c r="AE175" s="168"/>
      <c r="AF175" s="168"/>
      <c r="AG175" s="168"/>
      <c r="AH175" s="168"/>
      <c r="AI175" s="168"/>
      <c r="AJ175" s="168"/>
    </row>
    <row r="176" spans="1:36" x14ac:dyDescent="0.2">
      <c r="A176" s="171">
        <v>2</v>
      </c>
      <c r="B176" s="171"/>
      <c r="C176" s="179">
        <f>+E176-E175</f>
        <v>178.90604250000001</v>
      </c>
      <c r="D176" s="171">
        <f>+G176-G175</f>
        <v>160.765232725</v>
      </c>
      <c r="E176" s="171">
        <v>370.28563750000001</v>
      </c>
      <c r="F176" s="168"/>
      <c r="G176" s="171">
        <v>333.324619875</v>
      </c>
      <c r="H176" s="168"/>
      <c r="I176" s="176">
        <v>125.7</v>
      </c>
      <c r="J176" s="168">
        <v>2</v>
      </c>
      <c r="K176" s="168"/>
      <c r="L176" s="177">
        <v>14610</v>
      </c>
      <c r="M176" s="176">
        <v>603.80000000000018</v>
      </c>
      <c r="N176" s="176">
        <f t="shared" si="7"/>
        <v>744.09823786793982</v>
      </c>
      <c r="O176" s="177">
        <v>5486</v>
      </c>
      <c r="P176" s="176">
        <v>1077.9000000000001</v>
      </c>
      <c r="Q176" s="176">
        <f t="shared" si="5"/>
        <v>1328.3595405727926</v>
      </c>
      <c r="R176" s="177">
        <v>11296</v>
      </c>
      <c r="S176" s="176">
        <v>235.3</v>
      </c>
      <c r="T176" s="176">
        <f t="shared" si="6"/>
        <v>289.97402346857604</v>
      </c>
      <c r="U176" s="168"/>
      <c r="V176" s="168"/>
      <c r="W176" s="168"/>
      <c r="X176" s="168"/>
      <c r="Y176" s="168"/>
      <c r="Z176" s="168"/>
      <c r="AA176" s="168"/>
      <c r="AB176" s="168"/>
      <c r="AC176" s="168"/>
      <c r="AD176" s="168"/>
      <c r="AE176" s="168"/>
      <c r="AF176" s="168"/>
      <c r="AG176" s="168"/>
      <c r="AH176" s="168"/>
      <c r="AI176" s="168"/>
      <c r="AJ176" s="168"/>
    </row>
    <row r="177" spans="1:36" x14ac:dyDescent="0.2">
      <c r="A177" s="171">
        <v>3</v>
      </c>
      <c r="B177" s="171"/>
      <c r="C177" s="179">
        <f>+E177-E176</f>
        <v>160.23377500000004</v>
      </c>
      <c r="D177" s="171">
        <f>+G177-G176</f>
        <v>142.31202375000004</v>
      </c>
      <c r="E177" s="171">
        <v>530.51941250000004</v>
      </c>
      <c r="F177" s="168"/>
      <c r="G177" s="171">
        <v>475.63664362500003</v>
      </c>
      <c r="H177" s="168"/>
      <c r="I177" s="176">
        <v>125.4</v>
      </c>
      <c r="J177" s="168">
        <v>3</v>
      </c>
      <c r="K177" s="168"/>
      <c r="L177" s="177">
        <v>19220</v>
      </c>
      <c r="M177" s="176">
        <v>795.69999999999982</v>
      </c>
      <c r="N177" s="176">
        <f t="shared" si="7"/>
        <v>982.93379385964897</v>
      </c>
      <c r="O177" s="177">
        <v>13278</v>
      </c>
      <c r="P177" s="176">
        <v>1278.0999999999999</v>
      </c>
      <c r="Q177" s="176">
        <f t="shared" si="5"/>
        <v>1578.8458991228069</v>
      </c>
      <c r="R177" s="177">
        <v>11383</v>
      </c>
      <c r="S177" s="176">
        <v>231.79999999999995</v>
      </c>
      <c r="T177" s="176">
        <f t="shared" si="6"/>
        <v>286.34416666666664</v>
      </c>
      <c r="U177" s="168"/>
      <c r="V177" s="168"/>
      <c r="W177" s="168"/>
      <c r="X177" s="168"/>
      <c r="Y177" s="168"/>
      <c r="Z177" s="168"/>
      <c r="AA177" s="168"/>
      <c r="AB177" s="168"/>
      <c r="AC177" s="168"/>
      <c r="AD177" s="168"/>
      <c r="AE177" s="168"/>
      <c r="AF177" s="168"/>
      <c r="AG177" s="168"/>
      <c r="AH177" s="168"/>
      <c r="AI177" s="168"/>
      <c r="AJ177" s="168"/>
    </row>
    <row r="178" spans="1:36" x14ac:dyDescent="0.2">
      <c r="A178" s="171">
        <v>4</v>
      </c>
      <c r="B178" s="171"/>
      <c r="C178" s="179">
        <f>+E178-E177</f>
        <v>179.8571388695641</v>
      </c>
      <c r="D178" s="171">
        <f>+G178-G177</f>
        <v>163.53199924456408</v>
      </c>
      <c r="E178" s="171">
        <v>710.37655136956414</v>
      </c>
      <c r="F178" s="168"/>
      <c r="G178" s="171">
        <v>639.16864286956411</v>
      </c>
      <c r="H178" s="168"/>
      <c r="I178" s="176">
        <v>126.6</v>
      </c>
      <c r="J178" s="168">
        <v>4</v>
      </c>
      <c r="K178" s="168"/>
      <c r="L178" s="177">
        <v>16838</v>
      </c>
      <c r="M178" s="176">
        <v>759.30000000000018</v>
      </c>
      <c r="N178" s="176">
        <f t="shared" si="7"/>
        <v>929.07792061611417</v>
      </c>
      <c r="O178" s="177">
        <v>6227</v>
      </c>
      <c r="P178" s="176">
        <v>1192.2000000000003</v>
      </c>
      <c r="Q178" s="176">
        <f t="shared" si="5"/>
        <v>1458.7734715639817</v>
      </c>
      <c r="R178" s="177">
        <v>10409</v>
      </c>
      <c r="S178" s="176">
        <v>276.40000000000009</v>
      </c>
      <c r="T178" s="176">
        <f t="shared" si="6"/>
        <v>338.20247235387063</v>
      </c>
      <c r="U178" s="168"/>
      <c r="V178" s="168"/>
      <c r="W178" s="168"/>
      <c r="X178" s="168"/>
      <c r="Y178" s="168"/>
      <c r="Z178" s="168"/>
      <c r="AA178" s="168"/>
      <c r="AB178" s="168"/>
      <c r="AC178" s="168"/>
      <c r="AD178" s="168"/>
      <c r="AE178" s="168"/>
      <c r="AF178" s="168"/>
      <c r="AG178" s="168"/>
      <c r="AH178" s="168"/>
      <c r="AI178" s="168"/>
      <c r="AJ178" s="168"/>
    </row>
    <row r="179" spans="1:36" x14ac:dyDescent="0.2">
      <c r="A179" s="171">
        <v>1</v>
      </c>
      <c r="B179" s="171">
        <v>2010</v>
      </c>
      <c r="C179" s="179">
        <f>+E179</f>
        <v>204.63648875000001</v>
      </c>
      <c r="D179" s="171">
        <f>+G179</f>
        <v>186.506571025</v>
      </c>
      <c r="E179" s="171">
        <v>204.63648875000001</v>
      </c>
      <c r="F179" s="168"/>
      <c r="G179" s="171">
        <v>186.506571025</v>
      </c>
      <c r="H179" s="168"/>
      <c r="I179" s="176">
        <v>128.69999999999999</v>
      </c>
      <c r="J179" s="168">
        <v>1</v>
      </c>
      <c r="K179" s="168">
        <v>2010</v>
      </c>
      <c r="L179" s="177">
        <v>40484.70904761905</v>
      </c>
      <c r="M179" s="176">
        <v>1693.2251146266974</v>
      </c>
      <c r="N179" s="176">
        <f t="shared" si="7"/>
        <v>2038.020741600895</v>
      </c>
      <c r="O179" s="177">
        <v>6690</v>
      </c>
      <c r="P179" s="176">
        <v>1648.5</v>
      </c>
      <c r="Q179" s="176">
        <f t="shared" si="5"/>
        <v>1984.1881410256417</v>
      </c>
      <c r="R179" s="177">
        <v>7227</v>
      </c>
      <c r="S179" s="176">
        <v>243.10000000000002</v>
      </c>
      <c r="T179" s="176">
        <f t="shared" si="6"/>
        <v>292.60305555555567</v>
      </c>
      <c r="U179" s="168"/>
      <c r="V179" s="168"/>
      <c r="W179" s="168"/>
      <c r="X179" s="168"/>
      <c r="Y179" s="168"/>
      <c r="Z179" s="168"/>
      <c r="AA179" s="168"/>
      <c r="AB179" s="168"/>
      <c r="AC179" s="168"/>
      <c r="AD179" s="168"/>
      <c r="AE179" s="168"/>
      <c r="AF179" s="168"/>
      <c r="AG179" s="168"/>
      <c r="AH179" s="168"/>
      <c r="AI179" s="168"/>
      <c r="AJ179" s="168"/>
    </row>
    <row r="180" spans="1:36" x14ac:dyDescent="0.2">
      <c r="A180" s="171">
        <v>2</v>
      </c>
      <c r="B180" s="171"/>
      <c r="C180" s="179">
        <f>+E180-E179</f>
        <v>188.95691625000001</v>
      </c>
      <c r="D180" s="171">
        <f>+G180-G179</f>
        <v>170.46253197500002</v>
      </c>
      <c r="E180" s="171">
        <v>393.59340500000002</v>
      </c>
      <c r="F180" s="168"/>
      <c r="G180" s="171">
        <v>356.96910300000002</v>
      </c>
      <c r="H180" s="168"/>
      <c r="I180" s="176">
        <v>128.9</v>
      </c>
      <c r="J180" s="168">
        <v>2</v>
      </c>
      <c r="K180" s="168"/>
      <c r="L180" s="177">
        <v>20633.79583333333</v>
      </c>
      <c r="M180" s="176">
        <v>864.97098885712671</v>
      </c>
      <c r="N180" s="176">
        <f t="shared" si="7"/>
        <v>1039.4918033854567</v>
      </c>
      <c r="O180" s="177">
        <v>5716</v>
      </c>
      <c r="P180" s="176">
        <v>1381.6999999999998</v>
      </c>
      <c r="Q180" s="176">
        <f t="shared" si="5"/>
        <v>1660.4786093871217</v>
      </c>
      <c r="R180" s="177">
        <v>10696</v>
      </c>
      <c r="S180" s="176">
        <v>201.60000000000002</v>
      </c>
      <c r="T180" s="176">
        <f t="shared" si="6"/>
        <v>242.2758107059737</v>
      </c>
      <c r="U180" s="168"/>
      <c r="V180" s="168"/>
      <c r="W180" s="168"/>
      <c r="X180" s="168"/>
      <c r="Y180" s="168"/>
      <c r="Z180" s="168"/>
      <c r="AA180" s="168"/>
      <c r="AB180" s="168"/>
      <c r="AC180" s="168"/>
      <c r="AD180" s="168"/>
      <c r="AE180" s="168"/>
      <c r="AF180" s="168"/>
      <c r="AG180" s="168"/>
      <c r="AH180" s="168"/>
      <c r="AI180" s="168"/>
      <c r="AJ180" s="168"/>
    </row>
    <row r="181" spans="1:36" x14ac:dyDescent="0.2">
      <c r="A181" s="171">
        <v>3</v>
      </c>
      <c r="B181" s="171"/>
      <c r="C181" s="179">
        <f>+E181-E180</f>
        <v>172.07737875000004</v>
      </c>
      <c r="D181" s="171">
        <f>+G181-G180</f>
        <v>154.15607493749997</v>
      </c>
      <c r="E181" s="171">
        <v>565.67078375000006</v>
      </c>
      <c r="F181" s="168"/>
      <c r="G181" s="171">
        <v>511.12517793749998</v>
      </c>
      <c r="H181" s="168"/>
      <c r="I181" s="176">
        <v>127.8</v>
      </c>
      <c r="J181" s="168">
        <v>3</v>
      </c>
      <c r="K181" s="168"/>
      <c r="L181" s="177">
        <v>19149.335833333338</v>
      </c>
      <c r="M181" s="176">
        <v>861.71516601647909</v>
      </c>
      <c r="N181" s="176">
        <f t="shared" si="7"/>
        <v>1044.4925045359762</v>
      </c>
      <c r="O181" s="177">
        <v>9089</v>
      </c>
      <c r="P181" s="176">
        <v>1286.1999999999998</v>
      </c>
      <c r="Q181" s="176">
        <f t="shared" si="5"/>
        <v>1559.0142918622851</v>
      </c>
      <c r="R181" s="177">
        <v>11532</v>
      </c>
      <c r="S181" s="176">
        <v>200.69999999999993</v>
      </c>
      <c r="T181" s="176">
        <f t="shared" si="6"/>
        <v>243.2702288732394</v>
      </c>
      <c r="U181" s="168"/>
      <c r="V181" s="168"/>
      <c r="W181" s="168"/>
      <c r="X181" s="168"/>
      <c r="Y181" s="168"/>
      <c r="Z181" s="168"/>
      <c r="AA181" s="168"/>
      <c r="AB181" s="168"/>
      <c r="AC181" s="168"/>
      <c r="AD181" s="168"/>
      <c r="AE181" s="168"/>
      <c r="AF181" s="168"/>
      <c r="AG181" s="168"/>
      <c r="AH181" s="168"/>
      <c r="AI181" s="168"/>
      <c r="AJ181" s="168"/>
    </row>
    <row r="182" spans="1:36" x14ac:dyDescent="0.2">
      <c r="A182" s="171">
        <v>4</v>
      </c>
      <c r="B182" s="171"/>
      <c r="C182" s="179">
        <f>+E182-E181</f>
        <v>192.96143124999992</v>
      </c>
      <c r="D182" s="171">
        <f>+G182-G181</f>
        <v>174.39946771249993</v>
      </c>
      <c r="E182" s="171">
        <v>758.63221499999997</v>
      </c>
      <c r="F182" s="168"/>
      <c r="G182" s="171">
        <v>685.52464564999991</v>
      </c>
      <c r="H182" s="168"/>
      <c r="I182" s="176">
        <v>129</v>
      </c>
      <c r="J182" s="168">
        <v>4</v>
      </c>
      <c r="K182" s="168"/>
      <c r="L182" s="177">
        <v>22322.361666666664</v>
      </c>
      <c r="M182" s="176">
        <v>889.84894905372039</v>
      </c>
      <c r="N182" s="176">
        <f t="shared" ref="N182" si="8">M182/I182*$I$69</f>
        <v>1068.5602796553428</v>
      </c>
      <c r="O182" s="177">
        <v>5858</v>
      </c>
      <c r="P182" s="176">
        <v>1310.8000000000011</v>
      </c>
      <c r="Q182" s="176">
        <f t="shared" si="5"/>
        <v>1574.0523333333349</v>
      </c>
      <c r="R182" s="177">
        <v>9548</v>
      </c>
      <c r="S182" s="176">
        <v>205</v>
      </c>
      <c r="T182" s="176">
        <f t="shared" si="6"/>
        <v>246.17083333333338</v>
      </c>
      <c r="U182" s="168"/>
      <c r="V182" s="168"/>
      <c r="W182" s="168"/>
      <c r="X182" s="168"/>
      <c r="Y182" s="168"/>
      <c r="Z182" s="168"/>
      <c r="AA182" s="168"/>
      <c r="AB182" s="168"/>
      <c r="AC182" s="168"/>
      <c r="AD182" s="168"/>
      <c r="AE182" s="168"/>
      <c r="AF182" s="168"/>
      <c r="AG182" s="168"/>
      <c r="AH182" s="168"/>
      <c r="AI182" s="168"/>
      <c r="AJ182" s="168"/>
    </row>
    <row r="183" spans="1:36" x14ac:dyDescent="0.2">
      <c r="A183" s="171">
        <v>1</v>
      </c>
      <c r="B183" s="171">
        <v>2011</v>
      </c>
      <c r="C183" s="179">
        <f>+E183</f>
        <v>204.00503875000001</v>
      </c>
      <c r="D183" s="171">
        <f>+G183</f>
        <v>184.8599929625</v>
      </c>
      <c r="E183" s="171">
        <v>204.00503875000001</v>
      </c>
      <c r="F183" s="168"/>
      <c r="G183" s="171">
        <v>184.8599929625</v>
      </c>
      <c r="H183" s="168"/>
      <c r="I183" s="176">
        <v>130.19999999999999</v>
      </c>
      <c r="J183" s="168">
        <v>1</v>
      </c>
      <c r="K183" s="168">
        <v>2011</v>
      </c>
      <c r="L183" s="177">
        <v>26141.662648809524</v>
      </c>
      <c r="M183" s="176">
        <v>1061.4209517567813</v>
      </c>
      <c r="N183" s="176">
        <f t="shared" ref="N183:N186" si="9">M183/I183*$I$69</f>
        <v>1262.8422894336686</v>
      </c>
      <c r="O183" s="177">
        <v>5959</v>
      </c>
      <c r="P183" s="176">
        <v>1698.7</v>
      </c>
      <c r="Q183" s="176">
        <f t="shared" si="5"/>
        <v>2021.0550710445473</v>
      </c>
      <c r="R183" s="177">
        <v>6732</v>
      </c>
      <c r="S183" s="176">
        <v>156.5</v>
      </c>
      <c r="T183" s="176">
        <f t="shared" si="6"/>
        <v>186.19833909370206</v>
      </c>
      <c r="U183" s="168"/>
      <c r="V183" s="168"/>
      <c r="W183" s="168"/>
      <c r="X183" s="168"/>
      <c r="Y183" s="168"/>
      <c r="Z183" s="168"/>
      <c r="AA183" s="168"/>
      <c r="AB183" s="168"/>
      <c r="AC183" s="168"/>
      <c r="AD183" s="168"/>
      <c r="AE183" s="168"/>
      <c r="AF183" s="168"/>
      <c r="AG183" s="168"/>
      <c r="AH183" s="168"/>
      <c r="AI183" s="168"/>
      <c r="AJ183" s="168"/>
    </row>
    <row r="184" spans="1:36" x14ac:dyDescent="0.2">
      <c r="A184" s="171">
        <v>2</v>
      </c>
      <c r="B184" s="171"/>
      <c r="C184" s="179">
        <f>+E184-E183</f>
        <v>188.74104374999999</v>
      </c>
      <c r="D184" s="171">
        <f>+G184-G183</f>
        <v>171.33320521249996</v>
      </c>
      <c r="E184" s="168">
        <v>392.7460825</v>
      </c>
      <c r="F184" s="168"/>
      <c r="G184" s="168">
        <v>356.19319817499996</v>
      </c>
      <c r="H184" s="168"/>
      <c r="I184" s="176">
        <v>131</v>
      </c>
      <c r="J184" s="168">
        <v>2</v>
      </c>
      <c r="K184" s="168"/>
      <c r="L184" s="185">
        <v>18851.951101190472</v>
      </c>
      <c r="M184" s="186">
        <v>776.58308820124375</v>
      </c>
      <c r="N184" s="176">
        <f t="shared" si="9"/>
        <v>918.30950179797094</v>
      </c>
      <c r="O184" s="177">
        <v>7524</v>
      </c>
      <c r="P184" s="176">
        <v>1533.4000000000003</v>
      </c>
      <c r="Q184" s="176">
        <f t="shared" si="5"/>
        <v>1813.2455000000007</v>
      </c>
      <c r="R184" s="177">
        <v>10017</v>
      </c>
      <c r="S184" s="176">
        <v>197.79999999999995</v>
      </c>
      <c r="T184" s="176">
        <f t="shared" si="6"/>
        <v>233.89849999999998</v>
      </c>
      <c r="U184" s="168"/>
      <c r="V184" s="168"/>
      <c r="W184" s="168"/>
      <c r="X184" s="168"/>
      <c r="Y184" s="168"/>
      <c r="Z184" s="168"/>
      <c r="AA184" s="168"/>
      <c r="AB184" s="168"/>
      <c r="AC184" s="168"/>
      <c r="AD184" s="168"/>
      <c r="AE184" s="168"/>
      <c r="AF184" s="168"/>
      <c r="AG184" s="168"/>
      <c r="AH184" s="168"/>
      <c r="AI184" s="168"/>
      <c r="AJ184" s="168"/>
    </row>
    <row r="185" spans="1:36" x14ac:dyDescent="0.2">
      <c r="A185" s="171">
        <v>3</v>
      </c>
      <c r="B185" s="168"/>
      <c r="C185" s="179">
        <f>+E185-E184</f>
        <v>169.93391749999995</v>
      </c>
      <c r="D185" s="171">
        <f>+G185-G184</f>
        <v>151.69380182500004</v>
      </c>
      <c r="E185" s="168">
        <v>562.67999999999995</v>
      </c>
      <c r="F185" s="168"/>
      <c r="G185" s="168">
        <v>507.887</v>
      </c>
      <c r="H185" s="168"/>
      <c r="I185" s="176">
        <v>129.4</v>
      </c>
      <c r="J185" s="168">
        <v>3</v>
      </c>
      <c r="K185" s="168"/>
      <c r="L185" s="185">
        <v>24107.386250000007</v>
      </c>
      <c r="M185" s="186">
        <v>914.64669811090494</v>
      </c>
      <c r="N185" s="176">
        <f t="shared" si="9"/>
        <v>1094.9430710016616</v>
      </c>
      <c r="O185" s="177">
        <v>10171</v>
      </c>
      <c r="P185" s="176">
        <v>1285.3999999999996</v>
      </c>
      <c r="Q185" s="176">
        <f t="shared" si="5"/>
        <v>1538.7797565687788</v>
      </c>
      <c r="R185" s="177">
        <v>10339</v>
      </c>
      <c r="S185" s="176">
        <v>167.29999999999995</v>
      </c>
      <c r="T185" s="176">
        <f t="shared" si="6"/>
        <v>200.27839837712514</v>
      </c>
      <c r="U185" s="168"/>
      <c r="V185" s="168"/>
      <c r="W185" s="168"/>
      <c r="X185" s="168"/>
      <c r="Y185" s="168"/>
      <c r="Z185" s="168"/>
      <c r="AA185" s="168"/>
      <c r="AB185" s="168"/>
      <c r="AC185" s="168"/>
      <c r="AD185" s="168"/>
      <c r="AE185" s="168"/>
      <c r="AF185" s="168"/>
      <c r="AG185" s="168"/>
      <c r="AH185" s="168"/>
      <c r="AI185" s="168"/>
      <c r="AJ185" s="168"/>
    </row>
    <row r="186" spans="1:36" x14ac:dyDescent="0.2">
      <c r="A186" s="168">
        <v>4</v>
      </c>
      <c r="B186" s="168"/>
      <c r="C186" s="179">
        <f>+E186-E185</f>
        <v>202.17554500000006</v>
      </c>
      <c r="D186" s="171">
        <f>+G186-G185</f>
        <v>178.91908595000001</v>
      </c>
      <c r="E186" s="168">
        <v>764.85554500000001</v>
      </c>
      <c r="F186" s="168"/>
      <c r="G186" s="168">
        <v>686.80608595000001</v>
      </c>
      <c r="H186" s="168"/>
      <c r="I186" s="168">
        <v>130.5</v>
      </c>
      <c r="J186" s="168">
        <v>4</v>
      </c>
      <c r="K186" s="168"/>
      <c r="L186" s="185">
        <v>18022.572976190484</v>
      </c>
      <c r="M186" s="176">
        <v>777.38419736292576</v>
      </c>
      <c r="N186" s="176">
        <f t="shared" si="9"/>
        <v>922.77887013791155</v>
      </c>
      <c r="O186" s="185">
        <v>8775.7956028314002</v>
      </c>
      <c r="P186" s="176">
        <v>1286.8626975018997</v>
      </c>
      <c r="Q186" s="176">
        <f t="shared" si="5"/>
        <v>1527.5454660021117</v>
      </c>
      <c r="R186" s="185">
        <v>9645.4866500746648</v>
      </c>
      <c r="S186" s="176">
        <v>181.103452008619</v>
      </c>
      <c r="T186" s="176">
        <f t="shared" si="6"/>
        <v>214.97534859789391</v>
      </c>
      <c r="U186" s="168"/>
      <c r="V186" s="168"/>
      <c r="W186" s="168"/>
      <c r="X186" s="168"/>
      <c r="Y186" s="168"/>
      <c r="Z186" s="168"/>
      <c r="AA186" s="168"/>
      <c r="AB186" s="168"/>
      <c r="AC186" s="168"/>
      <c r="AD186" s="168"/>
      <c r="AE186" s="168"/>
      <c r="AF186" s="168"/>
      <c r="AG186" s="168"/>
      <c r="AH186" s="168"/>
      <c r="AI186" s="168"/>
      <c r="AJ186" s="168"/>
    </row>
    <row r="187" spans="1:36" x14ac:dyDescent="0.2">
      <c r="A187" s="168">
        <v>1</v>
      </c>
      <c r="B187" s="168">
        <v>2012</v>
      </c>
      <c r="C187" s="179">
        <f>+E187</f>
        <v>195.82938625</v>
      </c>
      <c r="D187" s="171">
        <f>+G187</f>
        <v>177.0717714875</v>
      </c>
      <c r="E187" s="168">
        <v>195.82938625</v>
      </c>
      <c r="F187" s="168"/>
      <c r="G187" s="168">
        <v>177.0717714875</v>
      </c>
      <c r="H187" s="168"/>
      <c r="I187" s="168">
        <v>131.69999999999999</v>
      </c>
      <c r="J187" s="168">
        <v>1</v>
      </c>
      <c r="K187" s="168">
        <v>2012</v>
      </c>
      <c r="L187" s="185">
        <v>18517.39324404762</v>
      </c>
      <c r="M187" s="176">
        <v>869.15461769403078</v>
      </c>
      <c r="N187" s="176">
        <f t="shared" ref="N187:N193" si="10">M187/I187*$I$69</f>
        <v>1022.3125963586797</v>
      </c>
      <c r="O187" s="177">
        <v>6822.44890070785</v>
      </c>
      <c r="P187" s="176">
        <v>1150.314057295883</v>
      </c>
      <c r="Q187" s="176">
        <f t="shared" si="5"/>
        <v>1353.0165135198333</v>
      </c>
      <c r="R187" s="177">
        <v>7564.3716625186662</v>
      </c>
      <c r="S187" s="176">
        <v>175.73767321176348</v>
      </c>
      <c r="T187" s="176">
        <f t="shared" si="6"/>
        <v>206.70526661390477</v>
      </c>
      <c r="U187" s="168"/>
      <c r="V187" s="168"/>
      <c r="W187" s="168"/>
      <c r="X187" s="168"/>
      <c r="Y187" s="168"/>
      <c r="Z187" s="168"/>
      <c r="AA187" s="168"/>
      <c r="AB187" s="168"/>
      <c r="AC187" s="168"/>
      <c r="AD187" s="168"/>
      <c r="AE187" s="168"/>
      <c r="AF187" s="168"/>
      <c r="AG187" s="168"/>
      <c r="AH187" s="168"/>
      <c r="AI187" s="168"/>
      <c r="AJ187" s="168"/>
    </row>
    <row r="188" spans="1:36" x14ac:dyDescent="0.2">
      <c r="A188" s="168">
        <v>2</v>
      </c>
      <c r="B188" s="168"/>
      <c r="C188" s="179">
        <f>+E188-E187</f>
        <v>182.75061374999999</v>
      </c>
      <c r="D188" s="171">
        <f>+G188-G187</f>
        <v>165.12822851249999</v>
      </c>
      <c r="E188" s="187">
        <v>378.58</v>
      </c>
      <c r="F188" s="168"/>
      <c r="G188" s="187">
        <v>342.2</v>
      </c>
      <c r="H188" s="168"/>
      <c r="I188" s="168">
        <v>131.69999999999999</v>
      </c>
      <c r="J188" s="168">
        <v>2</v>
      </c>
      <c r="K188" s="168"/>
      <c r="L188" s="185">
        <v>14087.60675595238</v>
      </c>
      <c r="M188" s="176">
        <v>635.43152402028181</v>
      </c>
      <c r="N188" s="176">
        <f t="shared" si="10"/>
        <v>747.40401524048468</v>
      </c>
      <c r="O188" s="177">
        <v>4838.55109929215</v>
      </c>
      <c r="P188" s="176">
        <v>1037.7970664905204</v>
      </c>
      <c r="Q188" s="176">
        <f t="shared" si="5"/>
        <v>1220.6723544220222</v>
      </c>
      <c r="R188" s="177">
        <v>10002.628337481334</v>
      </c>
      <c r="S188" s="176">
        <v>184.20744441885319</v>
      </c>
      <c r="T188" s="176">
        <f t="shared" si="6"/>
        <v>216.66753755742982</v>
      </c>
      <c r="U188" s="168"/>
      <c r="V188" s="168"/>
      <c r="W188" s="168"/>
      <c r="X188" s="168"/>
      <c r="Y188" s="168"/>
      <c r="Z188" s="168"/>
      <c r="AA188" s="168"/>
      <c r="AB188" s="168"/>
      <c r="AC188" s="168"/>
      <c r="AD188" s="168"/>
      <c r="AE188" s="168"/>
      <c r="AF188" s="168"/>
      <c r="AG188" s="168"/>
      <c r="AH188" s="168"/>
      <c r="AI188" s="168"/>
      <c r="AJ188" s="168"/>
    </row>
    <row r="189" spans="1:36" x14ac:dyDescent="0.2">
      <c r="A189" s="171">
        <v>3</v>
      </c>
      <c r="B189" s="168"/>
      <c r="C189" s="179">
        <f>+E189-E188</f>
        <v>165.72960875000007</v>
      </c>
      <c r="D189" s="171">
        <f>+G189-G188</f>
        <v>148.24155396250001</v>
      </c>
      <c r="E189" s="168">
        <v>544.30960875000005</v>
      </c>
      <c r="F189" s="168"/>
      <c r="G189" s="168">
        <v>490.4415539625</v>
      </c>
      <c r="H189" s="168"/>
      <c r="I189" s="168">
        <v>130</v>
      </c>
      <c r="J189" s="168">
        <v>3</v>
      </c>
      <c r="K189" s="168"/>
      <c r="L189" s="188">
        <v>20999.460714285713</v>
      </c>
      <c r="M189" s="189">
        <v>864.77367174435972</v>
      </c>
      <c r="N189" s="176">
        <f t="shared" si="10"/>
        <v>1030.4609811979956</v>
      </c>
      <c r="O189" s="188">
        <v>6828.0536397386386</v>
      </c>
      <c r="P189" s="189">
        <v>1132.0609213635664</v>
      </c>
      <c r="Q189" s="176">
        <f t="shared" si="5"/>
        <v>1348.9594398163592</v>
      </c>
      <c r="R189" s="188">
        <v>10877.781177428844</v>
      </c>
      <c r="S189" s="189">
        <v>190.02859425457928</v>
      </c>
      <c r="T189" s="176">
        <f t="shared" si="6"/>
        <v>226.43734203454804</v>
      </c>
      <c r="U189" s="168"/>
      <c r="V189" s="168"/>
      <c r="W189" s="168"/>
      <c r="X189" s="168"/>
      <c r="Y189" s="168"/>
      <c r="Z189" s="168"/>
      <c r="AA189" s="168"/>
      <c r="AB189" s="168"/>
      <c r="AC189" s="168"/>
      <c r="AD189" s="168"/>
      <c r="AE189" s="168"/>
      <c r="AF189" s="168"/>
      <c r="AG189" s="168"/>
      <c r="AH189" s="168"/>
      <c r="AI189" s="168"/>
      <c r="AJ189" s="168"/>
    </row>
    <row r="190" spans="1:36" x14ac:dyDescent="0.2">
      <c r="A190" s="171">
        <v>4</v>
      </c>
      <c r="B190" s="168"/>
      <c r="C190" s="179">
        <f>+E190-E189</f>
        <v>166.80539124999996</v>
      </c>
      <c r="D190" s="171">
        <f>+G190-G189</f>
        <v>151.72844603749996</v>
      </c>
      <c r="E190" s="168">
        <v>711.11500000000001</v>
      </c>
      <c r="F190" s="168"/>
      <c r="G190" s="168">
        <v>642.16999999999996</v>
      </c>
      <c r="H190" s="168"/>
      <c r="I190" s="168">
        <v>132</v>
      </c>
      <c r="J190" s="168">
        <v>4</v>
      </c>
      <c r="K190" s="168"/>
      <c r="L190" s="188">
        <v>17946.539285714287</v>
      </c>
      <c r="M190" s="189">
        <v>826.79347775776318</v>
      </c>
      <c r="N190" s="176">
        <f t="shared" si="10"/>
        <v>970.27659587697508</v>
      </c>
      <c r="O190" s="188">
        <v>5621.9463602613596</v>
      </c>
      <c r="P190" s="189">
        <v>1071.0118577206574</v>
      </c>
      <c r="Q190" s="176">
        <f t="shared" ref="Q190:Q235" si="11">P190/I190*$I$69</f>
        <v>1256.8770405292632</v>
      </c>
      <c r="R190" s="188">
        <v>8525.2188225711561</v>
      </c>
      <c r="S190" s="189">
        <v>190.41732478586363</v>
      </c>
      <c r="T190" s="176">
        <f t="shared" ref="T190:T235" si="12">S190/I190*$I$69</f>
        <v>223.4626646914104</v>
      </c>
      <c r="U190" s="168"/>
      <c r="V190" s="168"/>
      <c r="W190" s="168"/>
      <c r="X190" s="168"/>
      <c r="Y190" s="168"/>
      <c r="Z190" s="168"/>
      <c r="AA190" s="168"/>
      <c r="AB190" s="168"/>
      <c r="AC190" s="168"/>
      <c r="AD190" s="168"/>
      <c r="AE190" s="168"/>
      <c r="AF190" s="168"/>
      <c r="AG190" s="168"/>
      <c r="AH190" s="168"/>
      <c r="AI190" s="168"/>
      <c r="AJ190" s="168"/>
    </row>
    <row r="191" spans="1:36" x14ac:dyDescent="0.2">
      <c r="A191" s="168">
        <v>1</v>
      </c>
      <c r="B191" s="168">
        <v>2013</v>
      </c>
      <c r="C191" s="179">
        <f>+E191</f>
        <v>199.180995</v>
      </c>
      <c r="D191" s="171">
        <f>+G191</f>
        <v>183.65288545000001</v>
      </c>
      <c r="E191" s="168">
        <v>199.180995</v>
      </c>
      <c r="F191" s="168"/>
      <c r="G191" s="168">
        <v>183.65288545000001</v>
      </c>
      <c r="H191" s="168"/>
      <c r="I191" s="168">
        <v>133</v>
      </c>
      <c r="J191" s="168">
        <v>1</v>
      </c>
      <c r="K191" s="168">
        <f>B191</f>
        <v>2013</v>
      </c>
      <c r="L191" s="188">
        <v>21974.571815476189</v>
      </c>
      <c r="M191" s="189">
        <v>1023.0812127444322</v>
      </c>
      <c r="N191" s="176">
        <f t="shared" si="10"/>
        <v>1191.6011500993093</v>
      </c>
      <c r="O191" s="188">
        <v>5520.4451678348678</v>
      </c>
      <c r="P191" s="189">
        <v>1148.1840804128565</v>
      </c>
      <c r="Q191" s="176">
        <f t="shared" si="11"/>
        <v>1337.3107175680798</v>
      </c>
      <c r="R191" s="188">
        <v>5958.3970505452735</v>
      </c>
      <c r="S191" s="189">
        <v>167.84779905693762</v>
      </c>
      <c r="T191" s="176">
        <f t="shared" si="12"/>
        <v>195.49536039407946</v>
      </c>
      <c r="U191" s="168"/>
      <c r="V191" s="168"/>
      <c r="W191" s="168"/>
      <c r="X191" s="168"/>
      <c r="Y191" s="168"/>
      <c r="Z191" s="168"/>
      <c r="AA191" s="168"/>
      <c r="AB191" s="168"/>
      <c r="AC191" s="168"/>
      <c r="AD191" s="168"/>
      <c r="AE191" s="168"/>
      <c r="AF191" s="168"/>
      <c r="AG191" s="168"/>
      <c r="AH191" s="168"/>
      <c r="AI191" s="168"/>
      <c r="AJ191" s="168"/>
    </row>
    <row r="192" spans="1:36" x14ac:dyDescent="0.2">
      <c r="A192" s="168">
        <v>2</v>
      </c>
      <c r="B192" s="168"/>
      <c r="C192" s="179">
        <f>+E192-E191</f>
        <v>205.01500500000003</v>
      </c>
      <c r="D192" s="171">
        <f>+G192-G191</f>
        <v>185.63411454999996</v>
      </c>
      <c r="E192" s="168">
        <v>404.19600000000003</v>
      </c>
      <c r="F192" s="168"/>
      <c r="G192" s="168">
        <v>369.28699999999998</v>
      </c>
      <c r="H192" s="168"/>
      <c r="I192" s="168">
        <v>134.30000000000001</v>
      </c>
      <c r="J192" s="168">
        <v>2</v>
      </c>
      <c r="K192" s="168"/>
      <c r="L192" s="188">
        <v>23960.428184523811</v>
      </c>
      <c r="M192" s="189">
        <v>1011.581560458749</v>
      </c>
      <c r="N192" s="176">
        <f t="shared" si="10"/>
        <v>1166.8024614799976</v>
      </c>
      <c r="O192" s="188">
        <v>6388.5548321651322</v>
      </c>
      <c r="P192" s="189">
        <v>1133.7065185307133</v>
      </c>
      <c r="Q192" s="176">
        <f t="shared" si="11"/>
        <v>1307.6667350654986</v>
      </c>
      <c r="R192" s="188">
        <v>10154.602949454726</v>
      </c>
      <c r="S192" s="189">
        <v>176.1673175310234</v>
      </c>
      <c r="T192" s="176">
        <f t="shared" si="12"/>
        <v>203.19909709930758</v>
      </c>
      <c r="U192" s="168"/>
      <c r="V192" s="168"/>
      <c r="W192" s="168"/>
      <c r="X192" s="168"/>
      <c r="Y192" s="168"/>
      <c r="Z192" s="168"/>
      <c r="AA192" s="168"/>
      <c r="AB192" s="168"/>
      <c r="AC192" s="168"/>
      <c r="AD192" s="168"/>
      <c r="AE192" s="168"/>
      <c r="AF192" s="168"/>
      <c r="AG192" s="168"/>
      <c r="AH192" s="168"/>
      <c r="AI192" s="168"/>
      <c r="AJ192" s="168"/>
    </row>
    <row r="193" spans="1:36" x14ac:dyDescent="0.2">
      <c r="A193" s="168">
        <v>3</v>
      </c>
      <c r="B193" s="168"/>
      <c r="C193" s="179">
        <f>+E193-E192</f>
        <v>172.04383408071794</v>
      </c>
      <c r="D193" s="171">
        <f>+G193-G192</f>
        <v>153.21019910313902</v>
      </c>
      <c r="E193" s="168">
        <v>576.23983408071797</v>
      </c>
      <c r="F193" s="168"/>
      <c r="G193" s="168">
        <v>522.497199103139</v>
      </c>
      <c r="H193" s="168"/>
      <c r="I193" s="168">
        <v>134.19999999999999</v>
      </c>
      <c r="J193" s="168">
        <v>3</v>
      </c>
      <c r="K193" s="168"/>
      <c r="L193" s="188">
        <v>18388.581422924897</v>
      </c>
      <c r="M193" s="189">
        <v>735.52528494140915</v>
      </c>
      <c r="N193" s="176">
        <f t="shared" si="10"/>
        <v>849.01924796618005</v>
      </c>
      <c r="O193" s="188">
        <v>11492.955434782609</v>
      </c>
      <c r="P193" s="189">
        <v>1323.3889549928699</v>
      </c>
      <c r="Q193" s="176">
        <f t="shared" si="11"/>
        <v>1527.5922097284504</v>
      </c>
      <c r="R193" s="188">
        <v>11786.02326086957</v>
      </c>
      <c r="S193" s="189">
        <v>172.41802435151402</v>
      </c>
      <c r="T193" s="176">
        <f t="shared" si="12"/>
        <v>199.02269081395056</v>
      </c>
      <c r="U193" s="168"/>
      <c r="V193" s="168"/>
      <c r="W193" s="168"/>
      <c r="X193" s="168"/>
      <c r="Y193" s="168"/>
      <c r="Z193" s="168"/>
      <c r="AA193" s="168"/>
      <c r="AB193" s="168"/>
      <c r="AC193" s="168"/>
      <c r="AD193" s="168"/>
      <c r="AE193" s="168"/>
      <c r="AF193" s="168"/>
      <c r="AG193" s="168"/>
      <c r="AH193" s="168"/>
      <c r="AI193" s="168"/>
      <c r="AJ193" s="168"/>
    </row>
    <row r="194" spans="1:36" x14ac:dyDescent="0.2">
      <c r="A194" s="171">
        <v>4</v>
      </c>
      <c r="B194" s="168"/>
      <c r="C194" s="179">
        <f>+E194-E193</f>
        <v>204.099832585949</v>
      </c>
      <c r="D194" s="171">
        <f>+G194-G193</f>
        <v>188.07946756352794</v>
      </c>
      <c r="E194" s="168">
        <v>780.33966666666697</v>
      </c>
      <c r="F194" s="168"/>
      <c r="G194" s="168">
        <v>710.57666666666694</v>
      </c>
      <c r="H194" s="168"/>
      <c r="I194" s="168">
        <v>135.30000000000001</v>
      </c>
      <c r="J194" s="168">
        <v>4</v>
      </c>
      <c r="K194" s="168"/>
      <c r="L194" s="188">
        <v>18420.418577075106</v>
      </c>
      <c r="M194" s="188">
        <v>895.71090498583999</v>
      </c>
      <c r="N194" s="176">
        <f>M194/I194*$I$69</f>
        <v>1025.5161641839914</v>
      </c>
      <c r="O194" s="188">
        <v>7745.0445652173912</v>
      </c>
      <c r="P194" s="188">
        <v>1212.6630411771803</v>
      </c>
      <c r="Q194" s="176">
        <f t="shared" si="11"/>
        <v>1388.4005916567189</v>
      </c>
      <c r="R194" s="188">
        <v>11621.97673913043</v>
      </c>
      <c r="S194" s="188">
        <v>180.100371437175</v>
      </c>
      <c r="T194" s="176">
        <f t="shared" si="12"/>
        <v>206.20028298894448</v>
      </c>
      <c r="U194" s="168"/>
      <c r="V194" s="168"/>
      <c r="W194" s="168"/>
      <c r="X194" s="168"/>
      <c r="Y194" s="168"/>
      <c r="Z194" s="168"/>
      <c r="AA194" s="168"/>
      <c r="AB194" s="168"/>
      <c r="AC194" s="168"/>
      <c r="AD194" s="168"/>
      <c r="AE194" s="168"/>
      <c r="AF194" s="168"/>
      <c r="AG194" s="168"/>
      <c r="AH194" s="168"/>
      <c r="AI194" s="168"/>
      <c r="AJ194" s="168"/>
    </row>
    <row r="195" spans="1:36" x14ac:dyDescent="0.2">
      <c r="A195" s="171">
        <v>1</v>
      </c>
      <c r="B195" s="168">
        <v>2014</v>
      </c>
      <c r="C195" s="179">
        <f>E195</f>
        <v>196.17699999999999</v>
      </c>
      <c r="D195" s="171">
        <f>G195</f>
        <v>179.55199999999999</v>
      </c>
      <c r="E195" s="168">
        <v>196.17699999999999</v>
      </c>
      <c r="F195" s="168"/>
      <c r="G195" s="168">
        <v>179.55199999999999</v>
      </c>
      <c r="H195" s="168"/>
      <c r="I195" s="168">
        <v>135.80000000000001</v>
      </c>
      <c r="J195" s="168">
        <f>A195</f>
        <v>1</v>
      </c>
      <c r="K195" s="168">
        <f>B195</f>
        <v>2014</v>
      </c>
      <c r="L195" s="188">
        <v>19713</v>
      </c>
      <c r="M195" s="188">
        <v>886.67647724495987</v>
      </c>
      <c r="N195" s="176">
        <f>M195/I195*$I$69</f>
        <v>1011.4347304773464</v>
      </c>
      <c r="O195" s="188">
        <v>7032</v>
      </c>
      <c r="P195" s="188">
        <v>1484.9150299297401</v>
      </c>
      <c r="Q195" s="176">
        <f t="shared" ref="Q195" si="13">P195/I195*$I$69</f>
        <v>1693.8473858530283</v>
      </c>
      <c r="R195" s="188">
        <v>8004</v>
      </c>
      <c r="S195" s="188">
        <v>165.16263465729782</v>
      </c>
      <c r="T195" s="176">
        <f t="shared" ref="T195" si="14">S195/I195*$I$69</f>
        <v>188.40155249024568</v>
      </c>
      <c r="U195" s="168"/>
      <c r="V195" s="168"/>
      <c r="W195" s="168"/>
      <c r="X195" s="168"/>
      <c r="Y195" s="168"/>
      <c r="Z195" s="168"/>
      <c r="AA195" s="168"/>
      <c r="AB195" s="168"/>
      <c r="AC195" s="168"/>
      <c r="AD195" s="168"/>
      <c r="AE195" s="168"/>
      <c r="AF195" s="168"/>
      <c r="AG195" s="168"/>
      <c r="AH195" s="168"/>
      <c r="AI195" s="168"/>
      <c r="AJ195" s="168"/>
    </row>
    <row r="196" spans="1:36" x14ac:dyDescent="0.2">
      <c r="A196" s="168">
        <v>2</v>
      </c>
      <c r="B196" s="168"/>
      <c r="C196" s="179">
        <f>+E196-E195</f>
        <v>197.965</v>
      </c>
      <c r="D196" s="171">
        <f>+G196-G195</f>
        <v>179.76700000000002</v>
      </c>
      <c r="E196" s="168">
        <v>394.142</v>
      </c>
      <c r="F196" s="168"/>
      <c r="G196" s="168">
        <v>359.31900000000002</v>
      </c>
      <c r="H196" s="168"/>
      <c r="I196" s="168">
        <v>136.69999999999999</v>
      </c>
      <c r="J196" s="168">
        <v>2</v>
      </c>
      <c r="K196" s="168"/>
      <c r="L196" s="188">
        <v>16691</v>
      </c>
      <c r="M196" s="188">
        <v>732.96206934555016</v>
      </c>
      <c r="N196" s="176">
        <f t="shared" ref="N196:N235" si="15">M196/I196*$I$69</f>
        <v>830.58757686280785</v>
      </c>
      <c r="O196" s="188">
        <v>6228</v>
      </c>
      <c r="P196" s="188">
        <v>1158.7677611998799</v>
      </c>
      <c r="Q196" s="176">
        <f t="shared" si="11"/>
        <v>1313.1076588739609</v>
      </c>
      <c r="R196" s="188">
        <v>11579</v>
      </c>
      <c r="S196" s="188">
        <v>167.32102845142202</v>
      </c>
      <c r="T196" s="176">
        <f t="shared" si="12"/>
        <v>189.60703887958056</v>
      </c>
      <c r="U196" s="168"/>
      <c r="V196" s="168"/>
      <c r="W196" s="168"/>
      <c r="X196" s="168"/>
      <c r="Y196" s="168"/>
      <c r="Z196" s="168"/>
      <c r="AA196" s="168"/>
      <c r="AB196" s="168"/>
      <c r="AC196" s="168"/>
      <c r="AD196" s="168"/>
      <c r="AE196" s="168"/>
      <c r="AF196" s="168"/>
      <c r="AG196" s="168"/>
      <c r="AH196" s="168"/>
      <c r="AI196" s="168"/>
      <c r="AJ196" s="168"/>
    </row>
    <row r="197" spans="1:36" x14ac:dyDescent="0.2">
      <c r="A197" s="168">
        <v>3</v>
      </c>
      <c r="B197" s="168"/>
      <c r="C197" s="179">
        <f>+E197-E196</f>
        <v>192.10452006852</v>
      </c>
      <c r="D197" s="171">
        <f>+G197-G196</f>
        <v>173.47352006851992</v>
      </c>
      <c r="E197" s="168">
        <v>586.24652006852</v>
      </c>
      <c r="F197" s="168"/>
      <c r="G197" s="168">
        <v>532.79252006851993</v>
      </c>
      <c r="H197" s="168"/>
      <c r="I197" s="168">
        <v>137</v>
      </c>
      <c r="J197" s="168">
        <v>3</v>
      </c>
      <c r="K197" s="168"/>
      <c r="L197" s="188">
        <v>21817</v>
      </c>
      <c r="M197" s="188">
        <v>1080.59231996894</v>
      </c>
      <c r="N197" s="176">
        <f t="shared" si="15"/>
        <v>1221.8383562451722</v>
      </c>
      <c r="O197" s="188">
        <v>20407</v>
      </c>
      <c r="P197" s="188">
        <v>1259.8740491119995</v>
      </c>
      <c r="Q197" s="176">
        <f t="shared" si="11"/>
        <v>1424.5543011884461</v>
      </c>
      <c r="R197" s="188">
        <v>11684</v>
      </c>
      <c r="S197" s="188">
        <v>177.03184293206914</v>
      </c>
      <c r="T197" s="176">
        <f t="shared" si="12"/>
        <v>200.17197232846354</v>
      </c>
      <c r="U197" s="168"/>
      <c r="V197" s="168"/>
      <c r="W197" s="168"/>
      <c r="X197" s="168"/>
      <c r="Y197" s="168"/>
      <c r="Z197" s="168"/>
      <c r="AA197" s="168"/>
      <c r="AB197" s="168"/>
      <c r="AC197" s="168"/>
      <c r="AD197" s="168"/>
      <c r="AE197" s="168"/>
      <c r="AF197" s="168"/>
      <c r="AG197" s="168"/>
      <c r="AH197" s="168"/>
      <c r="AI197" s="168"/>
      <c r="AJ197" s="168"/>
    </row>
    <row r="198" spans="1:36" x14ac:dyDescent="0.2">
      <c r="A198" s="168">
        <v>4</v>
      </c>
      <c r="B198" s="168"/>
      <c r="C198" s="179">
        <f>+E198-E197</f>
        <v>196.808833167682</v>
      </c>
      <c r="D198" s="171">
        <f>+G198-G197</f>
        <v>184.73883316768206</v>
      </c>
      <c r="E198" s="168">
        <v>783.055353236202</v>
      </c>
      <c r="F198" s="168"/>
      <c r="G198" s="168">
        <v>717.53135323620199</v>
      </c>
      <c r="H198" s="168"/>
      <c r="I198" s="168">
        <v>137.9</v>
      </c>
      <c r="J198" s="168">
        <v>4</v>
      </c>
      <c r="K198" s="168"/>
      <c r="L198" s="188">
        <v>20183</v>
      </c>
      <c r="M198" s="188">
        <v>869.67426416194962</v>
      </c>
      <c r="N198" s="176">
        <f t="shared" si="15"/>
        <v>976.93303898235843</v>
      </c>
      <c r="O198" s="188">
        <v>12863</v>
      </c>
      <c r="P198" s="188">
        <v>1106.850761909501</v>
      </c>
      <c r="Q198" s="176">
        <f t="shared" si="11"/>
        <v>1243.3610181326762</v>
      </c>
      <c r="R198" s="188">
        <v>9690</v>
      </c>
      <c r="S198" s="188">
        <v>175.42101671448501</v>
      </c>
      <c r="T198" s="176">
        <f t="shared" si="12"/>
        <v>197.05606342783966</v>
      </c>
      <c r="U198" s="168"/>
      <c r="V198" s="168"/>
      <c r="W198" s="168"/>
      <c r="X198" s="168"/>
      <c r="Y198" s="168"/>
      <c r="Z198" s="168"/>
      <c r="AA198" s="168"/>
      <c r="AB198" s="168"/>
      <c r="AC198" s="168"/>
      <c r="AD198" s="168"/>
      <c r="AE198" s="168"/>
      <c r="AF198" s="168"/>
      <c r="AG198" s="168"/>
      <c r="AH198" s="168"/>
      <c r="AI198" s="168"/>
      <c r="AJ198" s="168"/>
    </row>
    <row r="199" spans="1:36" x14ac:dyDescent="0.2">
      <c r="A199" s="168">
        <v>1</v>
      </c>
      <c r="B199" s="168">
        <v>2015</v>
      </c>
      <c r="C199" s="179">
        <f>E199</f>
        <v>219.418599054541</v>
      </c>
      <c r="D199" s="171">
        <f>G199</f>
        <v>202.59159905454101</v>
      </c>
      <c r="E199" s="168">
        <v>219.418599054541</v>
      </c>
      <c r="F199" s="168"/>
      <c r="G199" s="168">
        <v>202.59159905454101</v>
      </c>
      <c r="H199" s="168"/>
      <c r="I199" s="168">
        <v>138.4</v>
      </c>
      <c r="J199" s="168">
        <v>1</v>
      </c>
      <c r="K199" s="168">
        <v>2015</v>
      </c>
      <c r="L199" s="188">
        <v>19630</v>
      </c>
      <c r="M199" s="188">
        <v>957.60520650282388</v>
      </c>
      <c r="N199" s="176">
        <f t="shared" si="15"/>
        <v>1071.8224604504062</v>
      </c>
      <c r="O199" s="188">
        <v>9848</v>
      </c>
      <c r="P199" s="188">
        <v>1279.8360091262539</v>
      </c>
      <c r="Q199" s="176">
        <f t="shared" si="11"/>
        <v>1432.4869695355867</v>
      </c>
      <c r="R199" s="188">
        <v>7135</v>
      </c>
      <c r="S199" s="188">
        <v>155.36971992416409</v>
      </c>
      <c r="T199" s="176">
        <f t="shared" si="12"/>
        <v>173.90126364994546</v>
      </c>
      <c r="U199" s="168"/>
      <c r="V199" s="168"/>
      <c r="W199" s="168"/>
      <c r="X199" s="168"/>
      <c r="Y199" s="168"/>
      <c r="Z199" s="168"/>
      <c r="AA199" s="168"/>
      <c r="AB199" s="168"/>
      <c r="AC199" s="168"/>
      <c r="AD199" s="168"/>
      <c r="AE199" s="168"/>
      <c r="AF199" s="168"/>
      <c r="AG199" s="168"/>
      <c r="AH199" s="168"/>
      <c r="AI199" s="168"/>
      <c r="AJ199" s="168"/>
    </row>
    <row r="200" spans="1:36" x14ac:dyDescent="0.2">
      <c r="A200" s="168">
        <v>2</v>
      </c>
      <c r="B200" s="168"/>
      <c r="C200" s="179">
        <f>+E200-E199</f>
        <v>188.69592411436798</v>
      </c>
      <c r="D200" s="171">
        <f>+G200-G199</f>
        <v>171.45081948058601</v>
      </c>
      <c r="E200" s="168">
        <v>408.11452316890899</v>
      </c>
      <c r="F200" s="168"/>
      <c r="G200" s="168">
        <v>374.04241853512701</v>
      </c>
      <c r="H200" s="168"/>
      <c r="I200" s="168">
        <v>139.6</v>
      </c>
      <c r="J200" s="168">
        <v>2</v>
      </c>
      <c r="K200" s="168"/>
      <c r="L200" s="188">
        <v>15703.949675889351</v>
      </c>
      <c r="M200" s="188">
        <v>739.71582874915612</v>
      </c>
      <c r="N200" s="176">
        <f t="shared" si="15"/>
        <v>820.82757694813699</v>
      </c>
      <c r="O200" s="188">
        <v>5422.7168724637304</v>
      </c>
      <c r="P200" s="188">
        <v>1206.7408437095464</v>
      </c>
      <c r="Q200" s="176">
        <f t="shared" si="11"/>
        <v>1339.0630891614371</v>
      </c>
      <c r="R200" s="188">
        <v>9988.3050621118018</v>
      </c>
      <c r="S200" s="188">
        <v>168.85276765034422</v>
      </c>
      <c r="T200" s="176">
        <f t="shared" si="12"/>
        <v>187.36790906014113</v>
      </c>
      <c r="U200" s="168"/>
      <c r="V200" s="168"/>
      <c r="W200" s="168"/>
      <c r="X200" s="168"/>
      <c r="Y200" s="168"/>
      <c r="Z200" s="168"/>
      <c r="AA200" s="168"/>
      <c r="AB200" s="168"/>
      <c r="AC200" s="168"/>
      <c r="AD200" s="168"/>
      <c r="AE200" s="168"/>
      <c r="AF200" s="168"/>
      <c r="AG200" s="168"/>
      <c r="AH200" s="168"/>
      <c r="AI200" s="168"/>
      <c r="AJ200" s="168"/>
    </row>
    <row r="201" spans="1:36" x14ac:dyDescent="0.2">
      <c r="A201" s="168">
        <v>3</v>
      </c>
      <c r="B201" s="168"/>
      <c r="C201" s="179">
        <f>+E201-E200</f>
        <v>180.38826158445403</v>
      </c>
      <c r="D201" s="171">
        <f>+G201-G200</f>
        <v>162.29720926756397</v>
      </c>
      <c r="E201" s="168">
        <v>588.50278475336302</v>
      </c>
      <c r="F201" s="168"/>
      <c r="G201" s="168">
        <v>536.33962780269098</v>
      </c>
      <c r="H201" s="168"/>
      <c r="I201" s="168">
        <v>139.69999999999999</v>
      </c>
      <c r="J201" s="168">
        <v>3</v>
      </c>
      <c r="K201" s="168"/>
      <c r="L201" s="188">
        <v>22728.974837944646</v>
      </c>
      <c r="M201" s="188">
        <v>979.87465749478997</v>
      </c>
      <c r="N201" s="176">
        <f t="shared" si="15"/>
        <v>1086.5421152890067</v>
      </c>
      <c r="O201" s="188">
        <v>8619.8584362319707</v>
      </c>
      <c r="P201" s="188">
        <v>1341.1049733657396</v>
      </c>
      <c r="Q201" s="176">
        <f t="shared" si="11"/>
        <v>1487.0953375923648</v>
      </c>
      <c r="R201" s="188">
        <v>10649.652531055901</v>
      </c>
      <c r="S201" s="188">
        <v>131.16322330640469</v>
      </c>
      <c r="T201" s="176">
        <f t="shared" si="12"/>
        <v>145.44142458365704</v>
      </c>
      <c r="U201" s="168"/>
      <c r="V201" s="168"/>
      <c r="W201" s="168"/>
      <c r="X201" s="168"/>
      <c r="Y201" s="168"/>
      <c r="Z201" s="168"/>
      <c r="AA201" s="168"/>
      <c r="AB201" s="168"/>
      <c r="AC201" s="168"/>
      <c r="AD201" s="168"/>
      <c r="AE201" s="168"/>
      <c r="AF201" s="168"/>
      <c r="AG201" s="168"/>
      <c r="AH201" s="168"/>
      <c r="AI201" s="168"/>
      <c r="AJ201" s="168"/>
    </row>
    <row r="202" spans="1:36" x14ac:dyDescent="0.2">
      <c r="A202" s="168">
        <v>4</v>
      </c>
      <c r="B202" s="168"/>
      <c r="C202" s="179">
        <f>+E202-E201</f>
        <v>195.22963867497901</v>
      </c>
      <c r="D202" s="171">
        <f>+G202-G201</f>
        <v>179.89113138755602</v>
      </c>
      <c r="E202" s="168">
        <v>783.73242342834203</v>
      </c>
      <c r="F202" s="168"/>
      <c r="G202" s="168">
        <v>716.230759190247</v>
      </c>
      <c r="H202" s="168"/>
      <c r="I202" s="168">
        <v>141.69999999999999</v>
      </c>
      <c r="J202" s="168">
        <v>4</v>
      </c>
      <c r="K202" s="168"/>
      <c r="L202" s="188">
        <v>17661.404213438705</v>
      </c>
      <c r="M202" s="188">
        <v>882.4718984768997</v>
      </c>
      <c r="N202" s="176">
        <f t="shared" si="15"/>
        <v>964.72488082787845</v>
      </c>
      <c r="O202" s="188">
        <v>7193.856491304301</v>
      </c>
      <c r="P202" s="188">
        <v>1425.3376484527203</v>
      </c>
      <c r="Q202" s="176">
        <f t="shared" si="11"/>
        <v>1558.1897796590672</v>
      </c>
      <c r="R202" s="188">
        <v>9159.825978260902</v>
      </c>
      <c r="S202" s="188">
        <v>158.55842389179503</v>
      </c>
      <c r="T202" s="176">
        <f t="shared" si="12"/>
        <v>173.33725510951479</v>
      </c>
      <c r="U202" s="168"/>
      <c r="V202" s="168"/>
      <c r="W202" s="168"/>
      <c r="X202" s="168"/>
      <c r="Y202" s="168"/>
      <c r="Z202" s="168"/>
      <c r="AA202" s="168"/>
      <c r="AB202" s="168"/>
      <c r="AC202" s="168"/>
      <c r="AD202" s="168"/>
      <c r="AE202" s="168"/>
      <c r="AF202" s="168"/>
      <c r="AG202" s="168"/>
      <c r="AH202" s="168"/>
      <c r="AI202" s="168"/>
      <c r="AJ202" s="168"/>
    </row>
    <row r="203" spans="1:36" x14ac:dyDescent="0.2">
      <c r="A203" s="168">
        <v>1</v>
      </c>
      <c r="B203" s="168">
        <v>2016</v>
      </c>
      <c r="C203" s="179">
        <f>E203</f>
        <v>217.297581707322</v>
      </c>
      <c r="D203" s="171">
        <f>G203</f>
        <v>201.19677375494101</v>
      </c>
      <c r="E203" s="168">
        <v>217.297581707322</v>
      </c>
      <c r="F203" s="168"/>
      <c r="G203" s="168">
        <v>201.19677375494101</v>
      </c>
      <c r="H203" s="168"/>
      <c r="I203" s="168">
        <v>142.69999999999999</v>
      </c>
      <c r="J203" s="168">
        <v>1</v>
      </c>
      <c r="K203" s="168">
        <v>2016</v>
      </c>
      <c r="L203" s="188">
        <v>20668.165818181998</v>
      </c>
      <c r="M203" s="188">
        <v>1021.6300324660001</v>
      </c>
      <c r="N203" s="176">
        <f t="shared" si="15"/>
        <v>1109.0270094900277</v>
      </c>
      <c r="O203" s="188">
        <v>6682.5362000000005</v>
      </c>
      <c r="P203" s="188">
        <v>1267.176908724</v>
      </c>
      <c r="Q203" s="176">
        <f t="shared" si="11"/>
        <v>1375.5795864622501</v>
      </c>
      <c r="R203" s="188">
        <v>6340.7358571430004</v>
      </c>
      <c r="S203" s="188">
        <v>128.592957756</v>
      </c>
      <c r="T203" s="176">
        <f t="shared" si="12"/>
        <v>139.59364823817504</v>
      </c>
      <c r="U203" s="168"/>
      <c r="V203" s="168"/>
      <c r="W203" s="168"/>
      <c r="X203" s="168"/>
      <c r="Y203" s="168"/>
      <c r="Z203" s="168"/>
      <c r="AA203" s="168"/>
      <c r="AB203" s="168"/>
      <c r="AC203" s="168"/>
      <c r="AD203" s="168"/>
      <c r="AE203" s="168"/>
      <c r="AF203" s="168"/>
      <c r="AG203" s="168"/>
      <c r="AH203" s="168"/>
      <c r="AI203" s="168"/>
      <c r="AJ203" s="168"/>
    </row>
    <row r="204" spans="1:36" x14ac:dyDescent="0.2">
      <c r="A204" s="168">
        <v>2</v>
      </c>
      <c r="B204" s="168"/>
      <c r="C204" s="179">
        <f>+E204-E203</f>
        <v>210.94903078835901</v>
      </c>
      <c r="D204" s="171">
        <f>+G204-G203</f>
        <v>192.89311593057502</v>
      </c>
      <c r="E204" s="168">
        <v>428.24661249568101</v>
      </c>
      <c r="F204" s="168"/>
      <c r="G204" s="168">
        <v>394.08988968551603</v>
      </c>
      <c r="H204" s="168"/>
      <c r="I204" s="168">
        <v>144.30000000000001</v>
      </c>
      <c r="J204" s="168">
        <v>2</v>
      </c>
      <c r="K204" s="168"/>
      <c r="L204" s="188">
        <v>19039.287573122998</v>
      </c>
      <c r="M204" s="188">
        <v>795.20392340999979</v>
      </c>
      <c r="N204" s="176">
        <f t="shared" si="15"/>
        <v>853.6594023952498</v>
      </c>
      <c r="O204" s="188">
        <v>5385.3991579709982</v>
      </c>
      <c r="P204" s="188">
        <v>991.5183596400002</v>
      </c>
      <c r="Q204" s="176">
        <f t="shared" si="11"/>
        <v>1064.4049223557404</v>
      </c>
      <c r="R204" s="188">
        <v>10107.700518632999</v>
      </c>
      <c r="S204" s="188">
        <v>152.61472035099999</v>
      </c>
      <c r="T204" s="176">
        <f t="shared" si="12"/>
        <v>163.83343584734951</v>
      </c>
      <c r="U204" s="168"/>
      <c r="V204" s="168"/>
      <c r="W204" s="168"/>
      <c r="X204" s="168"/>
      <c r="Y204" s="168"/>
      <c r="Z204" s="168"/>
      <c r="AA204" s="168"/>
      <c r="AB204" s="168"/>
      <c r="AC204" s="168"/>
      <c r="AD204" s="168"/>
      <c r="AE204" s="168"/>
      <c r="AF204" s="168"/>
      <c r="AG204" s="168"/>
      <c r="AH204" s="168"/>
      <c r="AI204" s="168"/>
      <c r="AJ204" s="168"/>
    </row>
    <row r="205" spans="1:36" x14ac:dyDescent="0.2">
      <c r="A205" s="168">
        <v>3</v>
      </c>
      <c r="B205" s="168"/>
      <c r="C205" s="179">
        <f>+E205-E204</f>
        <v>193.64755294266695</v>
      </c>
      <c r="D205" s="171">
        <f>+G205-G204</f>
        <v>175.641874720337</v>
      </c>
      <c r="E205" s="168">
        <v>621.89416543834795</v>
      </c>
      <c r="F205" s="168"/>
      <c r="G205" s="168">
        <v>569.73176440585303</v>
      </c>
      <c r="H205" s="168"/>
      <c r="I205" s="168">
        <v>145.30000000000001</v>
      </c>
      <c r="J205" s="168">
        <v>3</v>
      </c>
      <c r="K205" s="168"/>
      <c r="L205" s="188">
        <v>25325.005330874006</v>
      </c>
      <c r="M205" s="188">
        <v>1404.3111468839998</v>
      </c>
      <c r="N205" s="176">
        <f t="shared" si="15"/>
        <v>1497.1667514517083</v>
      </c>
      <c r="O205" s="188">
        <v>9666.7747891530034</v>
      </c>
      <c r="P205" s="188">
        <v>1492.4533452979995</v>
      </c>
      <c r="Q205" s="176">
        <f t="shared" si="11"/>
        <v>1591.1370721730893</v>
      </c>
      <c r="R205" s="188">
        <v>10325.156290487997</v>
      </c>
      <c r="S205" s="188">
        <v>149.15188867200001</v>
      </c>
      <c r="T205" s="176">
        <f t="shared" si="12"/>
        <v>159.01408254960663</v>
      </c>
      <c r="U205" s="168"/>
      <c r="V205" s="168"/>
      <c r="W205" s="168"/>
      <c r="X205" s="168"/>
      <c r="Y205" s="168"/>
      <c r="Z205" s="168"/>
      <c r="AA205" s="168"/>
      <c r="AB205" s="168"/>
      <c r="AC205" s="168"/>
      <c r="AD205" s="168"/>
      <c r="AE205" s="168"/>
      <c r="AF205" s="168"/>
      <c r="AG205" s="168"/>
      <c r="AH205" s="168"/>
      <c r="AI205" s="168"/>
      <c r="AJ205" s="168"/>
    </row>
    <row r="206" spans="1:36" x14ac:dyDescent="0.2">
      <c r="A206" s="168">
        <v>4</v>
      </c>
      <c r="B206" s="168"/>
      <c r="C206" s="179">
        <f>+E206-E205</f>
        <v>194.66297676649504</v>
      </c>
      <c r="D206" s="171">
        <f>+G206-G205</f>
        <v>178.45454935802093</v>
      </c>
      <c r="E206" s="168">
        <v>816.55714220484299</v>
      </c>
      <c r="F206" s="168"/>
      <c r="G206" s="168">
        <v>748.18631376387395</v>
      </c>
      <c r="H206" s="168"/>
      <c r="I206" s="168">
        <v>146.69999999999999</v>
      </c>
      <c r="J206" s="168">
        <v>4</v>
      </c>
      <c r="K206" s="168"/>
      <c r="L206" s="188">
        <v>18369.446222722992</v>
      </c>
      <c r="M206" s="188">
        <v>962.00640138500057</v>
      </c>
      <c r="N206" s="176">
        <f t="shared" si="15"/>
        <v>1015.8282660023655</v>
      </c>
      <c r="O206" s="188">
        <v>6575.4640743699983</v>
      </c>
      <c r="P206" s="188">
        <v>1222.1149542560006</v>
      </c>
      <c r="Q206" s="176">
        <f t="shared" si="11"/>
        <v>1290.4892452379786</v>
      </c>
      <c r="R206" s="188">
        <v>7957.0224983410008</v>
      </c>
      <c r="S206" s="188">
        <v>147.86469469900001</v>
      </c>
      <c r="T206" s="176">
        <f t="shared" si="12"/>
        <v>156.13735646956613</v>
      </c>
      <c r="U206" s="168"/>
      <c r="V206" s="168"/>
      <c r="W206" s="168"/>
      <c r="X206" s="168"/>
      <c r="Y206" s="168"/>
      <c r="Z206" s="168"/>
      <c r="AA206" s="168"/>
      <c r="AB206" s="168"/>
      <c r="AC206" s="168"/>
      <c r="AD206" s="168"/>
      <c r="AE206" s="168"/>
      <c r="AF206" s="168"/>
      <c r="AG206" s="168"/>
      <c r="AH206" s="168"/>
      <c r="AI206" s="168"/>
      <c r="AJ206" s="168"/>
    </row>
    <row r="207" spans="1:36" x14ac:dyDescent="0.2">
      <c r="A207" s="168">
        <v>1</v>
      </c>
      <c r="B207" s="168">
        <v>2017</v>
      </c>
      <c r="C207" s="179">
        <f>E207</f>
        <v>227.02914608932699</v>
      </c>
      <c r="D207" s="171">
        <f>G207</f>
        <v>210.737716871462</v>
      </c>
      <c r="E207" s="168">
        <v>227.02914608932699</v>
      </c>
      <c r="F207" s="168"/>
      <c r="G207" s="168">
        <v>210.737716871462</v>
      </c>
      <c r="H207" s="168"/>
      <c r="I207" s="168">
        <v>146.4</v>
      </c>
      <c r="J207" s="168">
        <v>1</v>
      </c>
      <c r="K207" s="168">
        <v>2017</v>
      </c>
      <c r="L207" s="188">
        <v>20188.970584052</v>
      </c>
      <c r="M207" s="188">
        <v>1029.1484993670001</v>
      </c>
      <c r="N207" s="176">
        <f t="shared" si="15"/>
        <v>1088.9536964869781</v>
      </c>
      <c r="O207" s="188">
        <v>7124.2571060979999</v>
      </c>
      <c r="P207" s="188">
        <v>1296.4468783369998</v>
      </c>
      <c r="Q207" s="176">
        <f t="shared" si="11"/>
        <v>1371.78514211741</v>
      </c>
      <c r="R207" s="188">
        <v>6121.3819215860003</v>
      </c>
      <c r="S207" s="188">
        <v>141.149656131</v>
      </c>
      <c r="T207" s="176">
        <f t="shared" si="12"/>
        <v>149.35205161962352</v>
      </c>
      <c r="U207" s="168"/>
      <c r="V207" s="168"/>
      <c r="W207" s="168"/>
      <c r="X207" s="168"/>
      <c r="Y207" s="168"/>
      <c r="Z207" s="168"/>
      <c r="AA207" s="168"/>
      <c r="AB207" s="168"/>
      <c r="AC207" s="168"/>
      <c r="AD207" s="168"/>
      <c r="AE207" s="168"/>
      <c r="AF207" s="168"/>
      <c r="AG207" s="168"/>
      <c r="AH207" s="168"/>
      <c r="AI207" s="168"/>
      <c r="AJ207" s="168"/>
    </row>
    <row r="208" spans="1:36" x14ac:dyDescent="0.2">
      <c r="A208" s="168">
        <v>2</v>
      </c>
      <c r="B208" s="168"/>
      <c r="C208" s="179">
        <f>+E208-E207</f>
        <v>200.76722202181199</v>
      </c>
      <c r="D208" s="171">
        <f>+G208-G207</f>
        <v>183.70797761744905</v>
      </c>
      <c r="E208" s="168">
        <v>427.79636811113897</v>
      </c>
      <c r="F208" s="168"/>
      <c r="G208" s="168">
        <v>394.44569448891104</v>
      </c>
      <c r="H208" s="168"/>
      <c r="I208" s="168">
        <v>147.4</v>
      </c>
      <c r="J208" s="168">
        <v>2</v>
      </c>
      <c r="K208" s="168"/>
      <c r="L208" s="188">
        <v>16357.538075795001</v>
      </c>
      <c r="M208" s="188">
        <v>768.50776898899994</v>
      </c>
      <c r="N208" s="176">
        <f t="shared" si="15"/>
        <v>807.65004901399948</v>
      </c>
      <c r="O208" s="188">
        <v>5007.3623026510004</v>
      </c>
      <c r="P208" s="188">
        <v>1681.8190342150001</v>
      </c>
      <c r="Q208" s="176">
        <f t="shared" si="11"/>
        <v>1767.4788469651301</v>
      </c>
      <c r="R208" s="188">
        <v>7194.9193664359991</v>
      </c>
      <c r="S208" s="188">
        <v>119.946167266</v>
      </c>
      <c r="T208" s="176">
        <f t="shared" si="12"/>
        <v>126.05536571070488</v>
      </c>
      <c r="U208" s="168"/>
      <c r="V208" s="168"/>
      <c r="W208" s="168"/>
      <c r="X208" s="168"/>
      <c r="Y208" s="168"/>
      <c r="Z208" s="168"/>
      <c r="AA208" s="168"/>
      <c r="AB208" s="168"/>
      <c r="AC208" s="168"/>
      <c r="AD208" s="168"/>
      <c r="AE208" s="168"/>
      <c r="AF208" s="168"/>
      <c r="AG208" s="168"/>
      <c r="AH208" s="168"/>
      <c r="AI208" s="168"/>
      <c r="AJ208" s="168"/>
    </row>
    <row r="209" spans="1:36" x14ac:dyDescent="0.2">
      <c r="A209" s="168">
        <v>3</v>
      </c>
      <c r="B209" s="168"/>
      <c r="C209" s="179">
        <f>+E209-E208</f>
        <v>195.05863188886104</v>
      </c>
      <c r="D209" s="171">
        <f>+G209-G208</f>
        <v>176.76630551108894</v>
      </c>
      <c r="E209" s="168">
        <v>622.85500000000002</v>
      </c>
      <c r="F209" s="168"/>
      <c r="G209" s="168">
        <v>571.21199999999999</v>
      </c>
      <c r="H209" s="168"/>
      <c r="I209" s="168">
        <v>147.30000000000001</v>
      </c>
      <c r="J209" s="168">
        <v>3</v>
      </c>
      <c r="K209" s="168"/>
      <c r="L209" s="188">
        <v>19399</v>
      </c>
      <c r="M209" s="188">
        <v>907</v>
      </c>
      <c r="N209" s="176">
        <f t="shared" si="15"/>
        <v>953.84319416157507</v>
      </c>
      <c r="O209" s="188">
        <v>8892</v>
      </c>
      <c r="P209" s="188">
        <v>954</v>
      </c>
      <c r="Q209" s="176">
        <f t="shared" si="11"/>
        <v>1003.2705702647659</v>
      </c>
      <c r="R209" s="188">
        <v>8727</v>
      </c>
      <c r="S209" s="188">
        <v>128</v>
      </c>
      <c r="T209" s="176">
        <f t="shared" si="12"/>
        <v>134.61072640868974</v>
      </c>
      <c r="U209" s="168"/>
      <c r="V209" s="168"/>
      <c r="W209" s="168"/>
      <c r="X209" s="168"/>
      <c r="Y209" s="168"/>
      <c r="Z209" s="168"/>
      <c r="AA209" s="168"/>
      <c r="AB209" s="168"/>
      <c r="AC209" s="168"/>
      <c r="AD209" s="168"/>
      <c r="AE209" s="168"/>
      <c r="AF209" s="168"/>
      <c r="AG209" s="168"/>
      <c r="AH209" s="168"/>
      <c r="AI209" s="168"/>
      <c r="AJ209" s="168"/>
    </row>
    <row r="210" spans="1:36" x14ac:dyDescent="0.2">
      <c r="A210" s="168">
        <v>4</v>
      </c>
      <c r="B210" s="168"/>
      <c r="C210" s="179">
        <f>+E210-E209</f>
        <v>225.423</v>
      </c>
      <c r="D210" s="171">
        <f>+G210-G209</f>
        <v>208.21799999999996</v>
      </c>
      <c r="E210" s="168">
        <v>848.27800000000002</v>
      </c>
      <c r="F210" s="168"/>
      <c r="G210" s="168">
        <v>779.43</v>
      </c>
      <c r="H210" s="168"/>
      <c r="I210" s="168">
        <v>148.4</v>
      </c>
      <c r="J210" s="168">
        <v>4</v>
      </c>
      <c r="K210" s="168"/>
      <c r="L210" s="188">
        <v>23333</v>
      </c>
      <c r="M210" s="188">
        <v>1141</v>
      </c>
      <c r="N210" s="176">
        <f t="shared" si="15"/>
        <v>1191.0340801886794</v>
      </c>
      <c r="O210" s="188">
        <v>6366</v>
      </c>
      <c r="P210" s="188">
        <v>1205</v>
      </c>
      <c r="Q210" s="176">
        <f t="shared" si="11"/>
        <v>1257.8405491913747</v>
      </c>
      <c r="R210" s="188">
        <v>7520</v>
      </c>
      <c r="S210" s="188">
        <v>124</v>
      </c>
      <c r="T210" s="176">
        <f t="shared" si="12"/>
        <v>129.43753369272241</v>
      </c>
      <c r="U210" s="168"/>
      <c r="V210" s="168"/>
      <c r="W210" s="168"/>
      <c r="X210" s="168"/>
      <c r="Y210" s="168"/>
      <c r="Z210" s="168"/>
      <c r="AA210" s="168"/>
      <c r="AB210" s="168"/>
      <c r="AC210" s="168"/>
      <c r="AD210" s="168"/>
      <c r="AE210" s="168"/>
      <c r="AF210" s="168"/>
      <c r="AG210" s="168"/>
      <c r="AH210" s="168"/>
      <c r="AI210" s="168"/>
      <c r="AJ210" s="168"/>
    </row>
    <row r="211" spans="1:36" x14ac:dyDescent="0.2">
      <c r="A211" s="168">
        <v>1</v>
      </c>
      <c r="B211" s="168">
        <v>2018</v>
      </c>
      <c r="C211" s="179">
        <f>E211</f>
        <v>241.52799999999999</v>
      </c>
      <c r="D211" s="179">
        <f>G211</f>
        <v>222.678</v>
      </c>
      <c r="E211" s="168">
        <v>241.52799999999999</v>
      </c>
      <c r="F211" s="168"/>
      <c r="G211" s="168">
        <v>222.678</v>
      </c>
      <c r="H211" s="168"/>
      <c r="I211" s="168">
        <v>149.69999999999999</v>
      </c>
      <c r="J211" s="168">
        <v>1</v>
      </c>
      <c r="K211" s="168">
        <v>2018</v>
      </c>
      <c r="L211" s="188">
        <v>25111</v>
      </c>
      <c r="M211" s="188">
        <v>1175</v>
      </c>
      <c r="N211" s="176">
        <f t="shared" si="15"/>
        <v>1215.8738309953242</v>
      </c>
      <c r="O211" s="188">
        <v>6317</v>
      </c>
      <c r="P211" s="188">
        <v>1262</v>
      </c>
      <c r="Q211" s="176">
        <f t="shared" si="11"/>
        <v>1305.9002338009357</v>
      </c>
      <c r="R211" s="188">
        <v>5433</v>
      </c>
      <c r="S211" s="188">
        <v>116</v>
      </c>
      <c r="T211" s="176">
        <f t="shared" si="12"/>
        <v>120.03520374081499</v>
      </c>
      <c r="U211" s="168"/>
      <c r="V211" s="168"/>
      <c r="W211" s="168"/>
      <c r="X211" s="168"/>
      <c r="Y211" s="168"/>
      <c r="Z211" s="168"/>
      <c r="AA211" s="168"/>
      <c r="AB211" s="168"/>
      <c r="AC211" s="168"/>
      <c r="AD211" s="168"/>
      <c r="AE211" s="168"/>
      <c r="AF211" s="168"/>
      <c r="AG211" s="168"/>
      <c r="AH211" s="168"/>
      <c r="AI211" s="168"/>
      <c r="AJ211" s="168"/>
    </row>
    <row r="212" spans="1:36" x14ac:dyDescent="0.2">
      <c r="A212" s="168">
        <v>2</v>
      </c>
      <c r="B212" s="168"/>
      <c r="C212" s="179">
        <f>+E212-E211</f>
        <v>226.77080239162902</v>
      </c>
      <c r="D212" s="179">
        <f>+G212-G211</f>
        <v>208.83864191330298</v>
      </c>
      <c r="E212" s="168">
        <v>468.29880239162901</v>
      </c>
      <c r="F212" s="168"/>
      <c r="G212" s="168">
        <v>431.51664191330298</v>
      </c>
      <c r="H212" s="168"/>
      <c r="I212" s="168">
        <v>150.80000000000001</v>
      </c>
      <c r="J212" s="168">
        <v>2</v>
      </c>
      <c r="K212" s="168"/>
      <c r="L212" s="188">
        <v>20973.437462450995</v>
      </c>
      <c r="M212" s="188">
        <v>1076.7915513600001</v>
      </c>
      <c r="N212" s="176">
        <f t="shared" si="15"/>
        <v>1106.1212681850081</v>
      </c>
      <c r="O212" s="188">
        <v>5869.5992710140017</v>
      </c>
      <c r="P212" s="188">
        <v>1471.9660798479999</v>
      </c>
      <c r="Q212" s="176">
        <f t="shared" si="11"/>
        <v>1512.0595856369632</v>
      </c>
      <c r="R212" s="188">
        <v>9319.6839472049996</v>
      </c>
      <c r="S212" s="188">
        <v>135.61776245999999</v>
      </c>
      <c r="T212" s="176">
        <f t="shared" si="12"/>
        <v>139.311727707377</v>
      </c>
      <c r="U212" s="168"/>
      <c r="V212" s="168"/>
      <c r="W212" s="168"/>
      <c r="X212" s="168"/>
      <c r="Y212" s="168"/>
      <c r="Z212" s="168"/>
      <c r="AA212" s="168"/>
      <c r="AB212" s="168"/>
      <c r="AC212" s="168"/>
      <c r="AD212" s="168"/>
      <c r="AE212" s="168"/>
      <c r="AF212" s="168"/>
      <c r="AG212" s="168"/>
      <c r="AH212" s="168"/>
      <c r="AI212" s="168"/>
      <c r="AJ212" s="168"/>
    </row>
    <row r="213" spans="1:36" x14ac:dyDescent="0.2">
      <c r="A213" s="168">
        <v>3</v>
      </c>
      <c r="B213" s="168"/>
      <c r="C213" s="179">
        <f>+E213-E212</f>
        <v>230.04425590433516</v>
      </c>
      <c r="D213" s="179">
        <f>+G213-G212</f>
        <v>207.39460472346803</v>
      </c>
      <c r="E213" s="168">
        <v>698.34305829596417</v>
      </c>
      <c r="F213" s="168"/>
      <c r="G213" s="168">
        <v>638.91124663677101</v>
      </c>
      <c r="H213" s="168"/>
      <c r="I213" s="168">
        <v>152.30000000000001</v>
      </c>
      <c r="J213" s="168">
        <v>3</v>
      </c>
      <c r="K213" s="168"/>
      <c r="L213" s="188">
        <v>22635.655438734771</v>
      </c>
      <c r="M213" s="188">
        <v>1212.1884087902995</v>
      </c>
      <c r="N213" s="176">
        <f t="shared" si="15"/>
        <v>1232.9420612914205</v>
      </c>
      <c r="O213" s="188">
        <v>10333.380031159912</v>
      </c>
      <c r="P213" s="188">
        <v>1822.4517080118057</v>
      </c>
      <c r="Q213" s="176">
        <f t="shared" si="11"/>
        <v>1853.6535650613187</v>
      </c>
      <c r="R213" s="188">
        <v>9726.2967189440697</v>
      </c>
      <c r="S213" s="188">
        <v>150.27129325880639</v>
      </c>
      <c r="T213" s="176">
        <f t="shared" si="12"/>
        <v>152.84406014765958</v>
      </c>
      <c r="U213" s="168"/>
      <c r="V213" s="168"/>
      <c r="W213" s="168"/>
      <c r="X213" s="168"/>
      <c r="Y213" s="168"/>
      <c r="Z213" s="168"/>
      <c r="AA213" s="168"/>
      <c r="AB213" s="168"/>
      <c r="AC213" s="168"/>
      <c r="AD213" s="168"/>
      <c r="AE213" s="168"/>
      <c r="AF213" s="168"/>
      <c r="AG213" s="168"/>
      <c r="AH213" s="168"/>
      <c r="AI213" s="168"/>
      <c r="AJ213" s="168"/>
    </row>
    <row r="214" spans="1:36" x14ac:dyDescent="0.2">
      <c r="A214" s="168">
        <v>4</v>
      </c>
      <c r="B214" s="168"/>
      <c r="C214" s="179">
        <f>+E214-E213</f>
        <v>212.66674917787782</v>
      </c>
      <c r="D214" s="179">
        <f>+G214-G213</f>
        <v>195.66619934230232</v>
      </c>
      <c r="E214" s="168">
        <v>911.00980747384199</v>
      </c>
      <c r="F214" s="168"/>
      <c r="G214" s="168">
        <v>834.57744597907333</v>
      </c>
      <c r="H214" s="168"/>
      <c r="I214" s="168">
        <v>153.6</v>
      </c>
      <c r="J214" s="168">
        <v>4</v>
      </c>
      <c r="K214" s="168"/>
      <c r="L214" s="188">
        <v>22335.438371541502</v>
      </c>
      <c r="M214" s="188">
        <v>1078.6341079945755</v>
      </c>
      <c r="N214" s="176">
        <f t="shared" si="15"/>
        <v>1087.81584039173</v>
      </c>
      <c r="O214" s="188">
        <v>7362.2217963768126</v>
      </c>
      <c r="P214" s="188">
        <v>1452.0805351783911</v>
      </c>
      <c r="Q214" s="176">
        <f t="shared" si="11"/>
        <v>1464.4411816611112</v>
      </c>
      <c r="R214" s="188">
        <v>8182.2589673913026</v>
      </c>
      <c r="S214" s="188">
        <v>116.53210966099653</v>
      </c>
      <c r="T214" s="176">
        <f t="shared" si="12"/>
        <v>117.52407407103401</v>
      </c>
      <c r="U214" s="168"/>
      <c r="V214" s="168"/>
      <c r="W214" s="168"/>
      <c r="X214" s="168"/>
      <c r="Y214" s="168"/>
      <c r="Z214" s="168"/>
      <c r="AA214" s="168"/>
      <c r="AB214" s="168"/>
      <c r="AC214" s="168"/>
      <c r="AD214" s="168"/>
      <c r="AE214" s="168"/>
      <c r="AF214" s="168"/>
      <c r="AG214" s="168"/>
      <c r="AH214" s="168"/>
      <c r="AI214" s="168"/>
      <c r="AJ214" s="168"/>
    </row>
    <row r="215" spans="1:36" x14ac:dyDescent="0.2">
      <c r="A215" s="168">
        <v>1</v>
      </c>
      <c r="B215" s="168">
        <v>2019</v>
      </c>
      <c r="C215" s="179">
        <f>E215</f>
        <v>242.05576995515696</v>
      </c>
      <c r="D215" s="179">
        <f>G215</f>
        <v>223.58363596412556</v>
      </c>
      <c r="E215" s="168">
        <v>242.05576995515696</v>
      </c>
      <c r="F215" s="168"/>
      <c r="G215" s="168">
        <v>223.58363596412556</v>
      </c>
      <c r="H215" s="168"/>
      <c r="I215" s="168">
        <v>154.1</v>
      </c>
      <c r="J215" s="168">
        <v>1</v>
      </c>
      <c r="K215" s="168">
        <v>2019</v>
      </c>
      <c r="L215" s="188">
        <v>22394.924612648225</v>
      </c>
      <c r="M215" s="188">
        <v>1151.1138601930163</v>
      </c>
      <c r="N215" s="176">
        <f t="shared" si="15"/>
        <v>1157.1458163390637</v>
      </c>
      <c r="O215" s="188">
        <v>6179.0660115942028</v>
      </c>
      <c r="P215" s="188">
        <v>1384.5030606846908</v>
      </c>
      <c r="Q215" s="176">
        <f t="shared" si="11"/>
        <v>1391.7580004738079</v>
      </c>
      <c r="R215" s="188">
        <v>6840.1016739130437</v>
      </c>
      <c r="S215" s="188">
        <v>122.43916062391185</v>
      </c>
      <c r="T215" s="176">
        <f t="shared" si="12"/>
        <v>123.08075453827793</v>
      </c>
      <c r="U215" s="168"/>
      <c r="V215" s="168"/>
      <c r="W215" s="168"/>
      <c r="X215" s="168"/>
      <c r="Y215" s="168"/>
      <c r="Z215" s="168"/>
      <c r="AA215" s="168"/>
      <c r="AB215" s="168"/>
      <c r="AC215" s="168"/>
      <c r="AD215" s="168"/>
      <c r="AE215" s="168"/>
      <c r="AF215" s="168"/>
      <c r="AG215" s="168"/>
      <c r="AH215" s="168"/>
      <c r="AI215" s="168"/>
      <c r="AJ215" s="168"/>
    </row>
    <row r="216" spans="1:36" x14ac:dyDescent="0.2">
      <c r="A216" s="168">
        <v>2</v>
      </c>
      <c r="B216" s="168"/>
      <c r="C216" s="179">
        <f>+E216-E215</f>
        <v>221.71122705530604</v>
      </c>
      <c r="D216" s="179">
        <f>+G216-G215</f>
        <v>199.97176164424542</v>
      </c>
      <c r="E216" s="168">
        <v>463.766997010463</v>
      </c>
      <c r="F216" s="168"/>
      <c r="G216" s="168">
        <v>423.55539760837098</v>
      </c>
      <c r="H216" s="168"/>
      <c r="I216" s="168">
        <v>154.6</v>
      </c>
      <c r="J216" s="168">
        <v>2</v>
      </c>
      <c r="K216" s="168"/>
      <c r="L216" s="188">
        <v>19703.243703557309</v>
      </c>
      <c r="M216" s="188">
        <v>1006.9446819648526</v>
      </c>
      <c r="N216" s="176">
        <f t="shared" si="15"/>
        <v>1008.9474988452163</v>
      </c>
      <c r="O216" s="188">
        <v>8628.701004347824</v>
      </c>
      <c r="P216" s="188">
        <v>1346.7424148398591</v>
      </c>
      <c r="Q216" s="176">
        <f t="shared" si="11"/>
        <v>1349.4210907296606</v>
      </c>
      <c r="R216" s="188">
        <v>10227.612341614906</v>
      </c>
      <c r="S216" s="188">
        <v>141.53554504088498</v>
      </c>
      <c r="T216" s="176">
        <f t="shared" si="12"/>
        <v>141.8170597892684</v>
      </c>
      <c r="U216" s="168"/>
      <c r="V216" s="168"/>
      <c r="W216" s="168"/>
      <c r="X216" s="168"/>
      <c r="Y216" s="168"/>
      <c r="Z216" s="168"/>
      <c r="AA216" s="168"/>
      <c r="AB216" s="168"/>
      <c r="AC216" s="168"/>
      <c r="AD216" s="168"/>
      <c r="AE216" s="168"/>
      <c r="AF216" s="168"/>
      <c r="AG216" s="168"/>
      <c r="AH216" s="168"/>
      <c r="AI216" s="168"/>
      <c r="AJ216" s="168"/>
    </row>
    <row r="217" spans="1:36" x14ac:dyDescent="0.2">
      <c r="A217" s="168">
        <v>3</v>
      </c>
      <c r="B217" s="168"/>
      <c r="C217" s="179">
        <f>+E217-E216</f>
        <v>200.66800298953694</v>
      </c>
      <c r="D217" s="179">
        <f>+G217-G216</f>
        <v>183.517602391629</v>
      </c>
      <c r="E217" s="168">
        <v>664.43499999999995</v>
      </c>
      <c r="F217" s="168"/>
      <c r="G217" s="168">
        <v>607.07299999999998</v>
      </c>
      <c r="H217" s="168"/>
      <c r="I217" s="168">
        <v>154.69999999999999</v>
      </c>
      <c r="J217" s="168">
        <v>3</v>
      </c>
      <c r="K217" s="168"/>
      <c r="L217" s="188">
        <v>26165.077849802379</v>
      </c>
      <c r="M217" s="188">
        <v>1402.3482904344257</v>
      </c>
      <c r="N217" s="176">
        <f t="shared" si="15"/>
        <v>1404.2292682641942</v>
      </c>
      <c r="O217" s="188">
        <v>13748.462299275363</v>
      </c>
      <c r="P217" s="188">
        <v>1484.9789315777889</v>
      </c>
      <c r="Q217" s="176">
        <f t="shared" si="11"/>
        <v>1486.9707423619029</v>
      </c>
      <c r="R217" s="188">
        <v>10507.793672360251</v>
      </c>
      <c r="S217" s="188">
        <v>144.78676128055025</v>
      </c>
      <c r="T217" s="176">
        <f t="shared" si="12"/>
        <v>144.98096459642431</v>
      </c>
      <c r="U217" s="168"/>
      <c r="V217" s="168"/>
      <c r="W217" s="168"/>
      <c r="X217" s="168"/>
      <c r="Y217" s="168"/>
      <c r="Z217" s="168"/>
      <c r="AA217" s="168"/>
      <c r="AB217" s="168"/>
      <c r="AC217" s="168"/>
      <c r="AD217" s="168"/>
      <c r="AE217" s="168"/>
      <c r="AF217" s="168"/>
      <c r="AG217" s="168"/>
      <c r="AH217" s="168"/>
      <c r="AI217" s="168"/>
      <c r="AJ217" s="168"/>
    </row>
    <row r="218" spans="1:36" x14ac:dyDescent="0.2">
      <c r="A218" s="168">
        <v>4</v>
      </c>
      <c r="B218" s="168"/>
      <c r="C218" s="179">
        <f>+E218-E217</f>
        <v>216.91973572496272</v>
      </c>
      <c r="D218" s="179">
        <f>+G218-G217</f>
        <v>199.72038857997018</v>
      </c>
      <c r="E218" s="168">
        <v>881.35473572496267</v>
      </c>
      <c r="F218" s="168"/>
      <c r="G218" s="168">
        <v>806.79338857997016</v>
      </c>
      <c r="H218" s="168"/>
      <c r="I218" s="168">
        <v>156.1</v>
      </c>
      <c r="J218" s="168">
        <v>4</v>
      </c>
      <c r="K218" s="168"/>
      <c r="L218" s="188">
        <v>22621.988837944664</v>
      </c>
      <c r="M218" s="188">
        <v>1317.7971704198299</v>
      </c>
      <c r="N218" s="176">
        <f t="shared" si="15"/>
        <v>1307.7300780064691</v>
      </c>
      <c r="O218" s="188">
        <v>7776.9221253623255</v>
      </c>
      <c r="P218" s="188">
        <v>1227.7391162265512</v>
      </c>
      <c r="Q218" s="176">
        <f t="shared" si="11"/>
        <v>1218.3600073469861</v>
      </c>
      <c r="R218" s="188">
        <v>9597.5708897515542</v>
      </c>
      <c r="S218" s="188">
        <v>133.20019148427383</v>
      </c>
      <c r="T218" s="176">
        <f t="shared" si="12"/>
        <v>132.18263076457498</v>
      </c>
      <c r="U218" s="168"/>
      <c r="V218" s="168"/>
      <c r="W218" s="168"/>
      <c r="X218" s="168"/>
      <c r="Y218" s="168"/>
      <c r="Z218" s="168"/>
      <c r="AA218" s="168"/>
      <c r="AB218" s="168"/>
      <c r="AC218" s="168"/>
      <c r="AD218" s="168"/>
      <c r="AE218" s="168"/>
      <c r="AF218" s="168"/>
      <c r="AG218" s="168"/>
      <c r="AH218" s="168"/>
      <c r="AI218" s="168"/>
      <c r="AJ218" s="168"/>
    </row>
    <row r="219" spans="1:36" x14ac:dyDescent="0.2">
      <c r="A219" s="168">
        <v>1</v>
      </c>
      <c r="B219" s="168">
        <v>2020</v>
      </c>
      <c r="C219" s="179">
        <f>E219</f>
        <v>245.16278393124065</v>
      </c>
      <c r="D219" s="179">
        <f>G219</f>
        <v>227.94719714499254</v>
      </c>
      <c r="E219" s="168">
        <v>245.16278393124065</v>
      </c>
      <c r="F219" s="168"/>
      <c r="G219" s="168">
        <v>227.94719714499254</v>
      </c>
      <c r="H219" s="168"/>
      <c r="I219" s="168">
        <v>155.52000000000001</v>
      </c>
      <c r="J219" s="168">
        <v>1</v>
      </c>
      <c r="K219" s="168">
        <v>2020</v>
      </c>
      <c r="L219" s="188">
        <v>22417.308750988144</v>
      </c>
      <c r="M219" s="188">
        <v>1187.0066434405767</v>
      </c>
      <c r="N219" s="176">
        <f t="shared" si="15"/>
        <v>1182.3317362318105</v>
      </c>
      <c r="O219" s="188">
        <v>7817.2878601449283</v>
      </c>
      <c r="P219" s="188">
        <v>1773.3957103534681</v>
      </c>
      <c r="Q219" s="176">
        <f t="shared" si="11"/>
        <v>1766.4113683229159</v>
      </c>
      <c r="R219" s="188">
        <v>8173.2696444099374</v>
      </c>
      <c r="S219" s="188">
        <v>145.83786039029874</v>
      </c>
      <c r="T219" s="176">
        <f t="shared" si="12"/>
        <v>145.26349253092982</v>
      </c>
      <c r="U219" s="168"/>
      <c r="V219" s="168"/>
      <c r="W219" s="168"/>
      <c r="X219" s="168"/>
      <c r="Y219" s="168"/>
      <c r="Z219" s="168"/>
      <c r="AA219" s="168"/>
      <c r="AB219" s="168"/>
      <c r="AC219" s="168"/>
      <c r="AD219" s="168"/>
      <c r="AE219" s="168"/>
      <c r="AF219" s="168"/>
      <c r="AG219" s="168"/>
      <c r="AH219" s="168"/>
      <c r="AI219" s="168"/>
      <c r="AJ219" s="168"/>
    </row>
    <row r="220" spans="1:36" x14ac:dyDescent="0.2">
      <c r="A220" s="168">
        <v>2</v>
      </c>
      <c r="B220" s="168"/>
      <c r="C220" s="179">
        <f>+E220-E219</f>
        <v>219.4338294469357</v>
      </c>
      <c r="D220" s="179">
        <f>+G220-G219</f>
        <v>199.23928355754859</v>
      </c>
      <c r="E220" s="187">
        <v>464.59661337817636</v>
      </c>
      <c r="F220" s="168"/>
      <c r="G220" s="168">
        <v>427.18648070254113</v>
      </c>
      <c r="H220" s="168"/>
      <c r="I220" s="168">
        <v>156.5</v>
      </c>
      <c r="J220" s="168">
        <v>2</v>
      </c>
      <c r="K220" s="168"/>
      <c r="L220" s="188">
        <v>20318.697663474304</v>
      </c>
      <c r="M220" s="188">
        <v>1003.3659178621033</v>
      </c>
      <c r="N220" s="176">
        <f t="shared" si="15"/>
        <v>993.15594837842684</v>
      </c>
      <c r="O220" s="188">
        <v>6698.4276256020294</v>
      </c>
      <c r="P220" s="188">
        <v>1195.3385633418739</v>
      </c>
      <c r="Q220" s="176">
        <f t="shared" si="11"/>
        <v>1183.1751341909353</v>
      </c>
      <c r="R220" s="188">
        <v>9378.7613872911825</v>
      </c>
      <c r="S220" s="188">
        <v>125.6048434375343</v>
      </c>
      <c r="T220" s="176">
        <f t="shared" si="12"/>
        <v>124.32672386453578</v>
      </c>
      <c r="U220" s="168"/>
      <c r="V220" s="168"/>
      <c r="W220" s="168"/>
      <c r="X220" s="168"/>
      <c r="Y220" s="168"/>
      <c r="Z220" s="168"/>
      <c r="AA220" s="168"/>
      <c r="AB220" s="168"/>
      <c r="AC220" s="168"/>
      <c r="AD220" s="168"/>
      <c r="AE220" s="168"/>
      <c r="AF220" s="168"/>
      <c r="AG220" s="168"/>
      <c r="AH220" s="168"/>
      <c r="AI220" s="168"/>
      <c r="AJ220" s="168"/>
    </row>
    <row r="221" spans="1:36" x14ac:dyDescent="0.2">
      <c r="A221" s="168">
        <v>3</v>
      </c>
      <c r="B221" s="168"/>
      <c r="C221" s="179">
        <f>+E221-E220</f>
        <v>230.4091689088192</v>
      </c>
      <c r="D221" s="179">
        <f>+G221-G220</f>
        <v>212.03913512705532</v>
      </c>
      <c r="E221" s="187">
        <v>695.00578228699555</v>
      </c>
      <c r="F221" s="168"/>
      <c r="G221" s="168">
        <v>639.22561582959645</v>
      </c>
      <c r="H221" s="168"/>
      <c r="I221" s="168">
        <v>157.34</v>
      </c>
      <c r="J221" s="168">
        <v>3</v>
      </c>
      <c r="K221" s="168"/>
      <c r="L221" s="188">
        <v>23115.129949173919</v>
      </c>
      <c r="M221" s="188">
        <v>1190.2908927373355</v>
      </c>
      <c r="N221" s="176">
        <f t="shared" si="15"/>
        <v>1171.8888169995478</v>
      </c>
      <c r="O221" s="188">
        <v>9381.5569490356484</v>
      </c>
      <c r="P221" s="188">
        <v>1044.8337260564822</v>
      </c>
      <c r="Q221" s="176">
        <f t="shared" si="11"/>
        <v>1028.6804399332309</v>
      </c>
      <c r="R221" s="188">
        <v>12479.986334758509</v>
      </c>
      <c r="S221" s="188">
        <v>159.02277544572789</v>
      </c>
      <c r="T221" s="176">
        <f t="shared" si="12"/>
        <v>156.56425948493131</v>
      </c>
      <c r="U221" s="168"/>
      <c r="V221" s="168"/>
      <c r="W221" s="168"/>
      <c r="X221" s="168"/>
      <c r="Y221" s="168"/>
      <c r="Z221" s="168"/>
      <c r="AA221" s="168"/>
      <c r="AB221" s="168"/>
      <c r="AC221" s="168"/>
      <c r="AD221" s="168"/>
      <c r="AE221" s="168"/>
      <c r="AF221" s="168"/>
      <c r="AG221" s="168"/>
      <c r="AH221" s="168"/>
      <c r="AI221" s="168"/>
      <c r="AJ221" s="168"/>
    </row>
    <row r="222" spans="1:36" x14ac:dyDescent="0.2">
      <c r="A222" s="168">
        <v>4</v>
      </c>
      <c r="B222" s="168"/>
      <c r="C222" s="179">
        <f>+E222-E221</f>
        <v>210.53825269058302</v>
      </c>
      <c r="D222" s="179">
        <f>+G222-G221</f>
        <v>195.42257215246639</v>
      </c>
      <c r="E222" s="187">
        <v>905.54403497757858</v>
      </c>
      <c r="F222" s="168"/>
      <c r="G222" s="168">
        <v>834.64818798206284</v>
      </c>
      <c r="H222" s="168"/>
      <c r="I222" s="168">
        <v>156.08000000000001</v>
      </c>
      <c r="J222" s="168">
        <v>4</v>
      </c>
      <c r="K222" s="168"/>
      <c r="L222" s="188">
        <v>24544.608407612643</v>
      </c>
      <c r="M222" s="188">
        <v>1241.5801516088959</v>
      </c>
      <c r="N222" s="176">
        <f t="shared" si="15"/>
        <v>1232.2531864130899</v>
      </c>
      <c r="O222" s="188">
        <v>8299.8127776884066</v>
      </c>
      <c r="P222" s="188">
        <v>1192.0542375158043</v>
      </c>
      <c r="Q222" s="176">
        <f t="shared" si="11"/>
        <v>1183.0993195667572</v>
      </c>
      <c r="R222" s="188">
        <v>9374.137683010551</v>
      </c>
      <c r="S222" s="188">
        <v>112.80928620726445</v>
      </c>
      <c r="T222" s="176">
        <f t="shared" si="12"/>
        <v>111.96184330568823</v>
      </c>
      <c r="U222" s="168"/>
      <c r="V222" s="168"/>
      <c r="W222" s="168"/>
      <c r="X222" s="168"/>
      <c r="Y222" s="168"/>
      <c r="Z222" s="168"/>
      <c r="AA222" s="168"/>
      <c r="AB222" s="168"/>
      <c r="AC222" s="168"/>
      <c r="AD222" s="168"/>
      <c r="AE222" s="168"/>
      <c r="AF222" s="168"/>
      <c r="AG222" s="168"/>
      <c r="AH222" s="168"/>
      <c r="AI222" s="168"/>
      <c r="AJ222" s="168"/>
    </row>
    <row r="223" spans="1:36" x14ac:dyDescent="0.2">
      <c r="A223" s="168">
        <v>1</v>
      </c>
      <c r="B223" s="168">
        <v>2021</v>
      </c>
      <c r="C223" s="179">
        <f>E223</f>
        <v>246.03664372197312</v>
      </c>
      <c r="D223" s="179">
        <f>G223</f>
        <v>229.48208497757849</v>
      </c>
      <c r="E223" s="187">
        <v>246.03664372197312</v>
      </c>
      <c r="F223" s="168"/>
      <c r="G223" s="168">
        <v>229.48208497757849</v>
      </c>
      <c r="H223" s="168"/>
      <c r="I223" s="168">
        <v>155.52000000000001</v>
      </c>
      <c r="J223" s="168">
        <v>1</v>
      </c>
      <c r="K223" s="168">
        <v>2021</v>
      </c>
      <c r="L223" s="188">
        <v>34994.274094861663</v>
      </c>
      <c r="M223" s="188">
        <v>1823.5241188431366</v>
      </c>
      <c r="N223" s="176">
        <f t="shared" si="15"/>
        <v>1816.3423510782743</v>
      </c>
      <c r="O223" s="188">
        <v>8185.2405021739132</v>
      </c>
      <c r="P223" s="188">
        <v>1464.197591740502</v>
      </c>
      <c r="Q223" s="176">
        <f t="shared" si="11"/>
        <v>1458.4309956439163</v>
      </c>
      <c r="R223" s="188">
        <v>6121.5967593167707</v>
      </c>
      <c r="S223" s="188">
        <v>112.87324166947003</v>
      </c>
      <c r="T223" s="176">
        <f t="shared" si="12"/>
        <v>112.42870167125406</v>
      </c>
      <c r="U223" s="168"/>
      <c r="V223" s="168"/>
      <c r="W223" s="168"/>
      <c r="X223" s="168"/>
      <c r="Y223" s="168"/>
      <c r="Z223" s="168"/>
      <c r="AA223" s="168"/>
      <c r="AB223" s="168"/>
      <c r="AC223" s="168"/>
      <c r="AD223" s="168"/>
      <c r="AE223" s="168"/>
      <c r="AF223" s="168"/>
      <c r="AG223" s="168"/>
      <c r="AH223" s="168"/>
      <c r="AI223" s="168"/>
      <c r="AJ223" s="168"/>
    </row>
    <row r="224" spans="1:36" x14ac:dyDescent="0.2">
      <c r="A224" s="168">
        <v>2</v>
      </c>
      <c r="B224" s="168"/>
      <c r="C224" s="179">
        <f>+E224-E223</f>
        <v>241.94121614349774</v>
      </c>
      <c r="D224" s="179">
        <f>+G224-G223</f>
        <v>221.09553291479824</v>
      </c>
      <c r="E224" s="187">
        <v>487.97785986547086</v>
      </c>
      <c r="F224" s="168"/>
      <c r="G224" s="168">
        <v>450.57761789237674</v>
      </c>
      <c r="H224" s="168"/>
      <c r="I224" s="168">
        <v>160.69999999999999</v>
      </c>
      <c r="J224" s="168">
        <v>2</v>
      </c>
      <c r="K224" s="168"/>
      <c r="L224" s="188">
        <v>20425.734197628459</v>
      </c>
      <c r="M224" s="188">
        <v>1061.5540769322004</v>
      </c>
      <c r="N224" s="176">
        <f t="shared" si="15"/>
        <v>1023.2899077310196</v>
      </c>
      <c r="O224" s="188">
        <v>6967.5044210144924</v>
      </c>
      <c r="P224" s="188">
        <v>1472.113681221721</v>
      </c>
      <c r="Q224" s="176">
        <f t="shared" si="11"/>
        <v>1419.0507160787417</v>
      </c>
      <c r="R224" s="188">
        <v>8820.4369021739112</v>
      </c>
      <c r="S224" s="188">
        <v>115.80617621183073</v>
      </c>
      <c r="T224" s="176">
        <f t="shared" si="12"/>
        <v>111.63189322672167</v>
      </c>
      <c r="U224" s="168"/>
      <c r="V224" s="168"/>
      <c r="W224" s="168"/>
      <c r="X224" s="168"/>
      <c r="Y224" s="168"/>
      <c r="Z224" s="168"/>
      <c r="AA224" s="168"/>
      <c r="AB224" s="168"/>
      <c r="AC224" s="168"/>
      <c r="AD224" s="168"/>
      <c r="AE224" s="168"/>
      <c r="AF224" s="168"/>
      <c r="AG224" s="168"/>
      <c r="AH224" s="168"/>
      <c r="AI224" s="168"/>
      <c r="AJ224" s="168"/>
    </row>
    <row r="225" spans="1:36" x14ac:dyDescent="0.2">
      <c r="A225" s="168">
        <v>3</v>
      </c>
      <c r="B225" s="168"/>
      <c r="C225" s="179">
        <f>+E225-E224</f>
        <v>223.16246838565024</v>
      </c>
      <c r="D225" s="179">
        <f>+G225-G224</f>
        <v>200.9504247085203</v>
      </c>
      <c r="E225" s="187">
        <v>711.1403282511211</v>
      </c>
      <c r="F225" s="168"/>
      <c r="G225" s="168">
        <v>651.52804260089704</v>
      </c>
      <c r="H225" s="168"/>
      <c r="I225" s="168">
        <v>162.66</v>
      </c>
      <c r="J225" s="168">
        <v>3</v>
      </c>
      <c r="K225" s="168"/>
      <c r="L225" s="188">
        <v>24805.341992094851</v>
      </c>
      <c r="M225" s="188">
        <v>1156.0227184873836</v>
      </c>
      <c r="N225" s="176">
        <f t="shared" si="15"/>
        <v>1100.9257916149293</v>
      </c>
      <c r="O225" s="188">
        <v>11835.432255072465</v>
      </c>
      <c r="P225" s="188">
        <v>1387.9440913118756</v>
      </c>
      <c r="Q225" s="176">
        <f t="shared" si="11"/>
        <v>1321.7936144405164</v>
      </c>
      <c r="R225" s="188">
        <v>8162.7090062111811</v>
      </c>
      <c r="S225" s="188">
        <v>122.41533537856195</v>
      </c>
      <c r="T225" s="176">
        <f t="shared" si="12"/>
        <v>116.58092687295333</v>
      </c>
      <c r="U225" s="168"/>
      <c r="V225" s="168"/>
      <c r="W225" s="168"/>
      <c r="X225" s="168"/>
      <c r="Y225" s="168"/>
      <c r="Z225" s="168"/>
      <c r="AA225" s="168"/>
      <c r="AB225" s="168"/>
      <c r="AC225" s="168"/>
      <c r="AD225" s="168"/>
      <c r="AE225" s="168"/>
      <c r="AF225" s="168"/>
      <c r="AG225" s="168"/>
      <c r="AH225" s="168"/>
      <c r="AI225" s="168"/>
      <c r="AJ225" s="168"/>
    </row>
    <row r="226" spans="1:36" x14ac:dyDescent="0.2">
      <c r="A226" s="168">
        <v>4</v>
      </c>
      <c r="B226" s="168"/>
      <c r="C226" s="179">
        <f>+E226-E225</f>
        <v>240.67364342301937</v>
      </c>
      <c r="D226" s="179">
        <f>+G226-G225</f>
        <v>222.83402473841534</v>
      </c>
      <c r="E226" s="187">
        <v>951.81397167414048</v>
      </c>
      <c r="F226" s="168"/>
      <c r="G226" s="168">
        <v>874.36206733931238</v>
      </c>
      <c r="H226" s="168"/>
      <c r="I226" s="168">
        <v>165.17</v>
      </c>
      <c r="J226" s="168">
        <v>4</v>
      </c>
      <c r="K226" s="168"/>
      <c r="L226" s="188">
        <v>23357.504896820246</v>
      </c>
      <c r="M226" s="188">
        <v>1294.0004472542644</v>
      </c>
      <c r="N226" s="176">
        <f t="shared" si="15"/>
        <v>1213.6003770844584</v>
      </c>
      <c r="O226" s="188">
        <v>7240.0729996128648</v>
      </c>
      <c r="P226" s="188">
        <v>1287.0604441566998</v>
      </c>
      <c r="Q226" s="176">
        <f t="shared" si="11"/>
        <v>1207.0915768796028</v>
      </c>
      <c r="R226" s="188">
        <v>8198.4054586074526</v>
      </c>
      <c r="S226" s="188">
        <v>109.38408217060596</v>
      </c>
      <c r="T226" s="176">
        <f t="shared" si="12"/>
        <v>102.58772603283373</v>
      </c>
      <c r="U226" s="168"/>
      <c r="V226" s="168"/>
      <c r="W226" s="168"/>
      <c r="X226" s="168"/>
      <c r="Y226" s="168"/>
      <c r="Z226" s="168"/>
      <c r="AA226" s="168"/>
      <c r="AB226" s="168"/>
      <c r="AC226" s="168"/>
      <c r="AD226" s="168"/>
      <c r="AE226" s="168"/>
      <c r="AF226" s="168"/>
      <c r="AG226" s="168"/>
      <c r="AH226" s="168"/>
      <c r="AI226" s="168"/>
      <c r="AJ226" s="168"/>
    </row>
    <row r="227" spans="1:36" x14ac:dyDescent="0.2">
      <c r="A227" s="168">
        <v>1</v>
      </c>
      <c r="B227" s="168">
        <v>2022</v>
      </c>
      <c r="C227" s="179">
        <f>E227</f>
        <v>258.31884641255607</v>
      </c>
      <c r="D227" s="179">
        <f>G227</f>
        <v>238.37852713004486</v>
      </c>
      <c r="E227" s="187">
        <v>258.31884641255607</v>
      </c>
      <c r="F227" s="168"/>
      <c r="G227" s="168">
        <v>238.37852713004486</v>
      </c>
      <c r="H227" s="168"/>
      <c r="I227" s="168">
        <v>166.57</v>
      </c>
      <c r="J227" s="168">
        <v>1</v>
      </c>
      <c r="K227" s="168">
        <v>2022</v>
      </c>
      <c r="L227" s="188">
        <v>24505.067470355731</v>
      </c>
      <c r="M227" s="188">
        <v>1376.8794156428476</v>
      </c>
      <c r="N227" s="176">
        <f t="shared" si="15"/>
        <v>1280.4763647637296</v>
      </c>
      <c r="O227" s="188">
        <v>6900.0468369565224</v>
      </c>
      <c r="P227" s="188">
        <v>1583.5781374260632</v>
      </c>
      <c r="Q227" s="176">
        <f t="shared" si="11"/>
        <v>1472.702949650765</v>
      </c>
      <c r="R227" s="188">
        <v>6778.6444332298142</v>
      </c>
      <c r="S227" s="188">
        <v>123.13727232676555</v>
      </c>
      <c r="T227" s="176">
        <f t="shared" si="12"/>
        <v>114.51574120765106</v>
      </c>
      <c r="U227" s="168"/>
      <c r="V227" s="168"/>
      <c r="W227" s="168"/>
      <c r="X227" s="168"/>
      <c r="Y227" s="168"/>
      <c r="Z227" s="168"/>
      <c r="AA227" s="168"/>
      <c r="AB227" s="168"/>
      <c r="AC227" s="168"/>
      <c r="AD227" s="168"/>
      <c r="AE227" s="168"/>
      <c r="AF227" s="168"/>
      <c r="AG227" s="168"/>
      <c r="AH227" s="168"/>
      <c r="AI227" s="168"/>
      <c r="AJ227" s="168"/>
    </row>
    <row r="228" spans="1:36" x14ac:dyDescent="0.2">
      <c r="A228" s="168">
        <v>2</v>
      </c>
      <c r="B228" s="168"/>
      <c r="C228" s="179">
        <f>+E228-E227</f>
        <v>242.59168475336321</v>
      </c>
      <c r="D228" s="179">
        <f>+G228-G227</f>
        <v>221.26676780269054</v>
      </c>
      <c r="E228" s="187">
        <v>500.91053116591928</v>
      </c>
      <c r="F228" s="168"/>
      <c r="G228" s="168">
        <v>459.6452949327354</v>
      </c>
      <c r="H228" s="168"/>
      <c r="I228" s="168">
        <v>169.93</v>
      </c>
      <c r="J228" s="168">
        <v>2</v>
      </c>
      <c r="K228" s="168"/>
      <c r="L228" s="188">
        <v>18109.505441201181</v>
      </c>
      <c r="M228" s="188">
        <v>1059.8182311147266</v>
      </c>
      <c r="N228" s="176">
        <f t="shared" si="15"/>
        <v>966.12600857061454</v>
      </c>
      <c r="O228" s="188">
        <v>6398.5711338452893</v>
      </c>
      <c r="P228" s="188">
        <v>1382.5138049967145</v>
      </c>
      <c r="Q228" s="176">
        <f t="shared" si="11"/>
        <v>1260.2939872154921</v>
      </c>
      <c r="R228" s="188">
        <v>11377.755536580467</v>
      </c>
      <c r="S228" s="188">
        <v>170.80171301924597</v>
      </c>
      <c r="T228" s="176">
        <f t="shared" si="12"/>
        <v>155.70215005901753</v>
      </c>
      <c r="U228" s="168"/>
      <c r="V228" s="168"/>
      <c r="W228" s="168"/>
      <c r="X228" s="168"/>
      <c r="Y228" s="168"/>
      <c r="Z228" s="168"/>
      <c r="AA228" s="168"/>
      <c r="AB228" s="168"/>
      <c r="AC228" s="168"/>
      <c r="AD228" s="168"/>
      <c r="AE228" s="168"/>
      <c r="AF228" s="168"/>
      <c r="AG228" s="168"/>
      <c r="AH228" s="168"/>
      <c r="AI228" s="168"/>
      <c r="AJ228" s="168"/>
    </row>
    <row r="229" spans="1:36" x14ac:dyDescent="0.2">
      <c r="A229" s="168">
        <v>3</v>
      </c>
      <c r="B229" s="168"/>
      <c r="C229" s="179">
        <f>+E229-E228</f>
        <v>236.3725230941705</v>
      </c>
      <c r="D229" s="179">
        <f>+G229-G228</f>
        <v>212.27484847533628</v>
      </c>
      <c r="E229" s="187">
        <v>737.28305426008978</v>
      </c>
      <c r="F229" s="168"/>
      <c r="G229" s="168">
        <v>671.92014340807168</v>
      </c>
      <c r="H229" s="168"/>
      <c r="I229" s="168">
        <v>173.29</v>
      </c>
      <c r="J229" s="168">
        <v>3</v>
      </c>
      <c r="K229" s="168"/>
      <c r="L229" s="188">
        <v>22326.885249827203</v>
      </c>
      <c r="M229" s="188">
        <v>1273.4823653547851</v>
      </c>
      <c r="N229" s="176">
        <f t="shared" si="15"/>
        <v>1138.3921144393585</v>
      </c>
      <c r="O229" s="188">
        <v>9773.5265829437976</v>
      </c>
      <c r="P229" s="188">
        <v>2006.0585934441842</v>
      </c>
      <c r="Q229" s="176">
        <f t="shared" si="11"/>
        <v>1793.2570925267182</v>
      </c>
      <c r="R229" s="188">
        <v>12116.405554623785</v>
      </c>
      <c r="S229" s="188">
        <v>170.05548935231948</v>
      </c>
      <c r="T229" s="176">
        <f t="shared" si="12"/>
        <v>152.01610431556603</v>
      </c>
      <c r="U229" s="168"/>
      <c r="V229" s="168"/>
      <c r="W229" s="168"/>
      <c r="X229" s="168"/>
      <c r="Y229" s="168"/>
      <c r="Z229" s="168"/>
      <c r="AA229" s="168"/>
      <c r="AB229" s="168"/>
      <c r="AC229" s="168"/>
      <c r="AD229" s="168"/>
      <c r="AE229" s="168"/>
      <c r="AF229" s="168"/>
      <c r="AG229" s="168"/>
      <c r="AH229" s="168"/>
      <c r="AI229" s="168"/>
      <c r="AJ229" s="168"/>
    </row>
    <row r="230" spans="1:36" x14ac:dyDescent="0.2">
      <c r="A230" s="168">
        <v>4</v>
      </c>
      <c r="B230" s="168"/>
      <c r="C230" s="179">
        <f>+E230-E229</f>
        <v>270.36808991031376</v>
      </c>
      <c r="D230" s="179">
        <f>+G230-G229</f>
        <v>251.76894192825125</v>
      </c>
      <c r="E230" s="187">
        <v>1007.6511441704035</v>
      </c>
      <c r="F230" s="168"/>
      <c r="G230" s="168">
        <v>923.68908533632293</v>
      </c>
      <c r="H230" s="168"/>
      <c r="I230" s="168">
        <v>175.94</v>
      </c>
      <c r="J230" s="168">
        <v>4</v>
      </c>
      <c r="K230" s="168"/>
      <c r="L230" s="188">
        <v>24565.831590744419</v>
      </c>
      <c r="M230" s="188">
        <v>1614.069633403597</v>
      </c>
      <c r="N230" s="176">
        <f t="shared" si="15"/>
        <v>1421.1179478030451</v>
      </c>
      <c r="O230" s="188">
        <v>7886.590696433057</v>
      </c>
      <c r="P230" s="188">
        <v>1979.9688784171885</v>
      </c>
      <c r="Q230" s="176">
        <f t="shared" si="11"/>
        <v>1743.2762818768369</v>
      </c>
      <c r="R230" s="188">
        <v>10409.999344870157</v>
      </c>
      <c r="S230" s="188">
        <v>167.07536170570017</v>
      </c>
      <c r="T230" s="176">
        <f t="shared" si="12"/>
        <v>147.10257243052038</v>
      </c>
      <c r="U230" s="168"/>
      <c r="V230" s="168"/>
      <c r="W230" s="168"/>
      <c r="X230" s="168"/>
      <c r="Y230" s="168"/>
      <c r="Z230" s="168"/>
      <c r="AA230" s="168"/>
      <c r="AB230" s="168"/>
      <c r="AC230" s="168"/>
      <c r="AD230" s="168"/>
      <c r="AE230" s="168"/>
      <c r="AF230" s="168"/>
      <c r="AG230" s="168"/>
      <c r="AH230" s="168"/>
      <c r="AI230" s="168"/>
      <c r="AJ230" s="168"/>
    </row>
    <row r="231" spans="1:36" x14ac:dyDescent="0.2">
      <c r="A231" s="168">
        <v>1</v>
      </c>
      <c r="B231" s="168">
        <v>2023</v>
      </c>
      <c r="C231" s="179">
        <f>E231</f>
        <v>302.38750433482812</v>
      </c>
      <c r="D231" s="179">
        <f>G231</f>
        <v>281.08376346786247</v>
      </c>
      <c r="E231" s="187">
        <v>302.38750433482812</v>
      </c>
      <c r="F231" s="168"/>
      <c r="G231" s="168">
        <v>281.08376346786247</v>
      </c>
      <c r="H231" s="168"/>
      <c r="I231" s="168">
        <v>177.06</v>
      </c>
      <c r="J231" s="168">
        <v>1</v>
      </c>
      <c r="K231" s="168">
        <v>2023</v>
      </c>
      <c r="L231" s="188">
        <v>26844.315237154147</v>
      </c>
      <c r="M231" s="188">
        <v>1582.0941255005046</v>
      </c>
      <c r="N231" s="176">
        <f t="shared" si="15"/>
        <v>1384.1536526938296</v>
      </c>
      <c r="O231" s="188">
        <v>6557.2362137681157</v>
      </c>
      <c r="P231" s="188">
        <v>1683.6496945575759</v>
      </c>
      <c r="Q231" s="176">
        <f t="shared" si="11"/>
        <v>1473.0033043018059</v>
      </c>
      <c r="R231" s="188">
        <v>7838.5406661490688</v>
      </c>
      <c r="S231" s="188">
        <v>165.33913199150732</v>
      </c>
      <c r="T231" s="176">
        <f t="shared" si="12"/>
        <v>144.65306443564003</v>
      </c>
      <c r="U231" s="168"/>
      <c r="V231" s="168"/>
      <c r="W231" s="168"/>
      <c r="X231" s="168"/>
      <c r="Y231" s="168"/>
      <c r="Z231" s="168"/>
      <c r="AA231" s="168"/>
      <c r="AB231" s="168"/>
      <c r="AC231" s="168"/>
      <c r="AD231" s="168"/>
      <c r="AE231" s="168"/>
      <c r="AF231" s="168"/>
      <c r="AG231" s="168"/>
      <c r="AH231" s="168"/>
      <c r="AI231" s="168"/>
      <c r="AJ231" s="168"/>
    </row>
    <row r="232" spans="1:36" x14ac:dyDescent="0.2">
      <c r="A232" s="168">
        <v>2</v>
      </c>
      <c r="B232" s="168"/>
      <c r="C232" s="179">
        <f>+E232-E231</f>
        <v>288.71155948488058</v>
      </c>
      <c r="D232" s="179">
        <f>+G232-G231</f>
        <v>265.48782727255423</v>
      </c>
      <c r="E232" s="187">
        <v>591.0990638197087</v>
      </c>
      <c r="F232" s="168"/>
      <c r="G232" s="168">
        <v>546.5715907404167</v>
      </c>
      <c r="H232" s="168"/>
      <c r="I232" s="168">
        <v>181.26</v>
      </c>
      <c r="J232" s="168">
        <v>2</v>
      </c>
      <c r="K232" s="168"/>
      <c r="L232" s="188">
        <v>22123.086754773376</v>
      </c>
      <c r="M232" s="188">
        <v>1398.957775556506</v>
      </c>
      <c r="N232" s="176">
        <f t="shared" si="15"/>
        <v>1195.5701843595912</v>
      </c>
      <c r="O232" s="188">
        <v>6814.816473074854</v>
      </c>
      <c r="P232" s="188">
        <v>1941.9673661105644</v>
      </c>
      <c r="Q232" s="176">
        <f t="shared" si="11"/>
        <v>1659.6342809542775</v>
      </c>
      <c r="R232" s="188">
        <v>11351.137162897225</v>
      </c>
      <c r="S232" s="188">
        <v>179.38444250725087</v>
      </c>
      <c r="T232" s="176">
        <f t="shared" si="12"/>
        <v>153.30462058750948</v>
      </c>
      <c r="U232" s="168"/>
      <c r="V232" s="168"/>
      <c r="W232" s="168"/>
      <c r="X232" s="168"/>
      <c r="Y232" s="168"/>
      <c r="Z232" s="168"/>
      <c r="AA232" s="168"/>
      <c r="AB232" s="168"/>
      <c r="AC232" s="168"/>
      <c r="AD232" s="168"/>
      <c r="AE232" s="168"/>
      <c r="AF232" s="168"/>
      <c r="AG232" s="168"/>
      <c r="AH232" s="168"/>
      <c r="AI232" s="168"/>
      <c r="AJ232" s="168"/>
    </row>
    <row r="233" spans="1:36" x14ac:dyDescent="0.2">
      <c r="A233" s="168">
        <v>3</v>
      </c>
      <c r="B233" s="168"/>
      <c r="C233" s="179">
        <f>+E233-E232</f>
        <v>250.48845860181598</v>
      </c>
      <c r="D233" s="179">
        <f>+G233-G232</f>
        <v>227.83168719680316</v>
      </c>
      <c r="E233" s="187">
        <v>841.58752242152468</v>
      </c>
      <c r="F233" s="168"/>
      <c r="G233" s="168">
        <v>774.40327793721985</v>
      </c>
      <c r="H233" s="168"/>
      <c r="I233" s="168">
        <v>181.68</v>
      </c>
      <c r="J233" s="168">
        <v>3</v>
      </c>
      <c r="K233" s="168"/>
      <c r="L233" s="188">
        <v>33547.567308467726</v>
      </c>
      <c r="M233" s="188">
        <v>2612.7571270405015</v>
      </c>
      <c r="N233" s="176">
        <f t="shared" si="15"/>
        <v>2227.7392924759279</v>
      </c>
      <c r="O233" s="188">
        <v>7564.7841240265989</v>
      </c>
      <c r="P233" s="188">
        <v>1372.5685528481158</v>
      </c>
      <c r="Q233" s="176">
        <f t="shared" si="11"/>
        <v>1170.3058294821637</v>
      </c>
      <c r="R233" s="188">
        <v>12525.795886792215</v>
      </c>
      <c r="S233" s="188">
        <v>237.01173448389176</v>
      </c>
      <c r="T233" s="176">
        <f t="shared" si="12"/>
        <v>202.085508914374</v>
      </c>
      <c r="U233" s="168"/>
      <c r="V233" s="168"/>
      <c r="W233" s="168"/>
      <c r="X233" s="168"/>
      <c r="Y233" s="168"/>
      <c r="Z233" s="168"/>
      <c r="AA233" s="168"/>
      <c r="AB233" s="168"/>
      <c r="AC233" s="168"/>
      <c r="AD233" s="168"/>
      <c r="AE233" s="168"/>
      <c r="AF233" s="168"/>
      <c r="AG233" s="168"/>
      <c r="AH233" s="168"/>
      <c r="AI233" s="168"/>
      <c r="AJ233" s="168"/>
    </row>
    <row r="234" spans="1:36" x14ac:dyDescent="0.2">
      <c r="A234" s="168">
        <v>4</v>
      </c>
      <c r="B234" s="168"/>
      <c r="C234" s="179">
        <f>+E234-E233</f>
        <v>247.76441726457392</v>
      </c>
      <c r="D234" s="179">
        <f>+G234-G233</f>
        <v>222.81360381165916</v>
      </c>
      <c r="E234" s="187">
        <v>1089.3519396860986</v>
      </c>
      <c r="F234" s="168"/>
      <c r="G234" s="168">
        <v>997.21688174887902</v>
      </c>
      <c r="H234" s="168"/>
      <c r="I234" s="168">
        <v>184.34</v>
      </c>
      <c r="J234" s="168">
        <v>4</v>
      </c>
      <c r="K234" s="168"/>
      <c r="L234" s="188">
        <v>27405.288644268774</v>
      </c>
      <c r="M234" s="188">
        <v>2102.9314483628059</v>
      </c>
      <c r="N234" s="176">
        <f t="shared" si="15"/>
        <v>1767.1685653534848</v>
      </c>
      <c r="O234" s="188">
        <v>10671.830522463766</v>
      </c>
      <c r="P234" s="188">
        <v>2024.5509335669321</v>
      </c>
      <c r="Q234" s="176">
        <f t="shared" si="11"/>
        <v>1701.3026133314506</v>
      </c>
      <c r="R234" s="188">
        <v>9988.9312779503089</v>
      </c>
      <c r="S234" s="188">
        <v>189.8273559912875</v>
      </c>
      <c r="T234" s="176">
        <f t="shared" si="12"/>
        <v>159.51872164598228</v>
      </c>
      <c r="U234" s="168"/>
      <c r="V234" s="168"/>
      <c r="W234" s="168"/>
      <c r="X234" s="168"/>
      <c r="Y234" s="168"/>
      <c r="Z234" s="168"/>
      <c r="AA234" s="168"/>
      <c r="AB234" s="168"/>
      <c r="AC234" s="168"/>
      <c r="AD234" s="168"/>
      <c r="AE234" s="168"/>
      <c r="AF234" s="168"/>
      <c r="AG234" s="168"/>
      <c r="AH234" s="168"/>
      <c r="AI234" s="168"/>
      <c r="AJ234" s="168"/>
    </row>
    <row r="235" spans="1:36" x14ac:dyDescent="0.2">
      <c r="A235" s="168">
        <v>1</v>
      </c>
      <c r="B235" s="168">
        <v>2024</v>
      </c>
      <c r="C235" s="179">
        <f>E235</f>
        <v>322.60336023916295</v>
      </c>
      <c r="D235" s="179">
        <f>G235</f>
        <v>297.48140819133039</v>
      </c>
      <c r="E235" s="187">
        <v>322.60336023916295</v>
      </c>
      <c r="F235" s="168"/>
      <c r="G235" s="168">
        <v>297.48140819133039</v>
      </c>
      <c r="H235" s="168"/>
      <c r="I235" s="168">
        <v>185.03</v>
      </c>
      <c r="J235" s="168">
        <v>1</v>
      </c>
      <c r="K235" s="168"/>
      <c r="L235" s="188">
        <v>43293.220189723317</v>
      </c>
      <c r="M235" s="188">
        <v>2872.2760083969697</v>
      </c>
      <c r="N235" s="176">
        <f t="shared" si="15"/>
        <v>2404.6754351767481</v>
      </c>
      <c r="O235" s="188">
        <v>8194.415441304347</v>
      </c>
      <c r="P235" s="188">
        <v>1770.5452152039006</v>
      </c>
      <c r="Q235" s="176">
        <f t="shared" si="11"/>
        <v>1482.3041286504799</v>
      </c>
      <c r="R235" s="188">
        <v>8331.0396847826087</v>
      </c>
      <c r="S235" s="188">
        <v>172.94986992488299</v>
      </c>
      <c r="T235" s="176">
        <f t="shared" si="12"/>
        <v>144.79399003074536</v>
      </c>
      <c r="U235" s="168"/>
      <c r="V235" s="168"/>
      <c r="W235" s="168"/>
      <c r="X235" s="168"/>
      <c r="Y235" s="168"/>
      <c r="Z235" s="168"/>
      <c r="AA235" s="168"/>
      <c r="AB235" s="168"/>
      <c r="AC235" s="168"/>
      <c r="AD235" s="168"/>
      <c r="AE235" s="168"/>
      <c r="AF235" s="168"/>
      <c r="AG235" s="168"/>
      <c r="AH235" s="168"/>
      <c r="AI235" s="168"/>
      <c r="AJ235" s="168"/>
    </row>
    <row r="236" spans="1:36" x14ac:dyDescent="0.2">
      <c r="A236" s="168"/>
      <c r="B236" s="168"/>
      <c r="C236" s="179"/>
      <c r="D236" s="171"/>
      <c r="E236" s="168"/>
      <c r="F236" s="168"/>
      <c r="G236" s="168"/>
      <c r="H236" s="168"/>
      <c r="I236" s="168"/>
      <c r="J236" s="168"/>
      <c r="K236" s="168"/>
      <c r="L236" s="188"/>
      <c r="M236" s="188"/>
      <c r="N236" s="176"/>
      <c r="O236" s="188"/>
      <c r="P236" s="188"/>
      <c r="Q236" s="176"/>
      <c r="R236" s="188"/>
      <c r="S236" s="188"/>
      <c r="T236" s="176"/>
      <c r="U236" s="168"/>
      <c r="V236" s="168"/>
      <c r="W236" s="168"/>
      <c r="X236" s="168"/>
      <c r="Y236" s="168"/>
      <c r="Z236" s="168"/>
      <c r="AA236" s="168"/>
      <c r="AB236" s="168"/>
      <c r="AC236" s="168"/>
      <c r="AD236" s="168"/>
      <c r="AE236" s="168"/>
      <c r="AF236" s="168"/>
      <c r="AG236" s="168"/>
      <c r="AH236" s="168"/>
      <c r="AI236" s="168"/>
      <c r="AJ236" s="168"/>
    </row>
    <row r="237" spans="1:36" x14ac:dyDescent="0.2">
      <c r="A237" s="168"/>
      <c r="B237" s="168"/>
      <c r="C237" s="179"/>
      <c r="D237" s="168"/>
      <c r="E237" s="172" t="s">
        <v>110</v>
      </c>
      <c r="F237" s="168"/>
      <c r="G237" s="168"/>
      <c r="H237" s="168"/>
      <c r="I237" s="168"/>
      <c r="J237" s="190"/>
      <c r="K237" s="191" t="s">
        <v>160</v>
      </c>
      <c r="L237" s="192">
        <f>+L239</f>
        <v>43293.220189723317</v>
      </c>
      <c r="M237" s="192">
        <f>+M239</f>
        <v>2872.2760083969697</v>
      </c>
      <c r="N237" s="193" t="s">
        <v>174</v>
      </c>
      <c r="O237" s="192">
        <f>+O239</f>
        <v>8194.415441304347</v>
      </c>
      <c r="P237" s="192">
        <f>+P239</f>
        <v>1770.5452152039006</v>
      </c>
      <c r="Q237" s="193" t="s">
        <v>174</v>
      </c>
      <c r="R237" s="192">
        <f>+R239</f>
        <v>8331.0396847826087</v>
      </c>
      <c r="S237" s="192">
        <f>+S239</f>
        <v>172.94986992488299</v>
      </c>
      <c r="T237" s="194" t="s">
        <v>174</v>
      </c>
      <c r="U237" s="168"/>
      <c r="V237" s="168"/>
      <c r="W237" s="168"/>
      <c r="X237" s="168"/>
      <c r="Y237" s="168"/>
      <c r="Z237" s="168"/>
      <c r="AA237" s="168"/>
      <c r="AB237" s="168"/>
      <c r="AC237" s="168"/>
      <c r="AD237" s="168"/>
      <c r="AE237" s="168"/>
      <c r="AF237" s="168"/>
      <c r="AG237" s="168"/>
      <c r="AH237" s="168"/>
      <c r="AI237" s="168"/>
      <c r="AJ237" s="168"/>
    </row>
    <row r="238" spans="1:36" x14ac:dyDescent="0.2">
      <c r="A238" s="168"/>
      <c r="B238" s="168"/>
      <c r="C238" s="168"/>
      <c r="D238" s="168"/>
      <c r="E238" s="187">
        <f>IF('Tab5'!E8="",'Tab5'!E7,'Tab5'!E8)/1000</f>
        <v>322.60336023916295</v>
      </c>
      <c r="F238" s="168"/>
      <c r="G238" s="187">
        <f>IF('Tab5'!E10="",'Tab5'!E9,'Tab5'!E10)/1000</f>
        <v>297.48140819133039</v>
      </c>
      <c r="H238" s="168"/>
      <c r="I238" s="168"/>
      <c r="J238" s="168"/>
      <c r="K238" s="174" t="s">
        <v>188</v>
      </c>
      <c r="L238" s="195">
        <f>SUM('Tab7'!E11,'Tab11'!E11)</f>
        <v>171389.75309120351</v>
      </c>
      <c r="M238" s="196">
        <f>SUM('Tab7'!E39,'Tab11'!E39)</f>
        <v>13029.513929258814</v>
      </c>
      <c r="N238" s="197" t="s">
        <v>173</v>
      </c>
      <c r="O238" s="195">
        <f>SUM('Tab7'!E9,'Tab11'!E9)</f>
        <v>38822.710613286596</v>
      </c>
      <c r="P238" s="196">
        <f>SUM('Tab7'!E37,'Tab11'!E37)</f>
        <v>7824.7002132786274</v>
      </c>
      <c r="Q238" s="197" t="s">
        <v>173</v>
      </c>
      <c r="R238" s="195">
        <f>SUM('Tab7'!E13,'Tab11'!E13)</f>
        <v>46225.484931628162</v>
      </c>
      <c r="S238" s="196">
        <f>SUM('Tab7'!E41,'Tab11'!E41)</f>
        <v>835.34382341529499</v>
      </c>
      <c r="T238" s="198" t="s">
        <v>173</v>
      </c>
      <c r="U238" s="168"/>
      <c r="V238" s="168"/>
      <c r="W238" s="168"/>
      <c r="X238" s="168"/>
      <c r="Y238" s="168"/>
      <c r="Z238" s="168"/>
      <c r="AA238" s="168"/>
      <c r="AB238" s="168"/>
      <c r="AC238" s="168"/>
      <c r="AD238" s="168"/>
      <c r="AE238" s="168"/>
      <c r="AF238" s="168"/>
      <c r="AG238" s="168"/>
      <c r="AH238" s="168"/>
      <c r="AI238" s="168"/>
      <c r="AJ238" s="168"/>
    </row>
    <row r="239" spans="1:36" x14ac:dyDescent="0.2">
      <c r="A239" s="168"/>
      <c r="B239" s="168"/>
      <c r="C239" s="168"/>
      <c r="D239" s="168"/>
      <c r="E239" s="168"/>
      <c r="F239" s="168"/>
      <c r="G239" s="168"/>
      <c r="H239" s="168"/>
      <c r="I239" s="168"/>
      <c r="J239" s="168"/>
      <c r="K239" s="174" t="s">
        <v>187</v>
      </c>
      <c r="L239" s="195">
        <f>SUM('Tab7'!E12,'Tab11'!E12)</f>
        <v>43293.220189723317</v>
      </c>
      <c r="M239" s="196">
        <f>SUM('Tab7'!E40,'Tab11'!E40)</f>
        <v>2872.2760083969697</v>
      </c>
      <c r="N239" s="197" t="s">
        <v>173</v>
      </c>
      <c r="O239" s="195">
        <f>SUM('Tab7'!E10,'Tab11'!E10)</f>
        <v>8194.415441304347</v>
      </c>
      <c r="P239" s="196">
        <f>SUM('Tab7'!E38,'Tab11'!E38)</f>
        <v>1770.5452152039006</v>
      </c>
      <c r="Q239" s="197" t="s">
        <v>173</v>
      </c>
      <c r="R239" s="195">
        <f>SUM('Tab7'!E14,'Tab11'!E14)</f>
        <v>8331.0396847826087</v>
      </c>
      <c r="S239" s="196">
        <f>SUM('Tab7'!E42,'Tab11'!E42)</f>
        <v>172.94986992488299</v>
      </c>
      <c r="T239" s="198" t="s">
        <v>173</v>
      </c>
      <c r="U239" s="168"/>
      <c r="V239" s="168"/>
      <c r="W239" s="168"/>
      <c r="X239" s="168"/>
      <c r="Y239" s="168"/>
      <c r="Z239" s="168"/>
      <c r="AA239" s="168"/>
      <c r="AB239" s="168"/>
      <c r="AC239" s="168"/>
      <c r="AD239" s="168"/>
      <c r="AE239" s="168"/>
      <c r="AF239" s="168"/>
      <c r="AG239" s="168"/>
      <c r="AH239" s="168"/>
      <c r="AI239" s="168"/>
      <c r="AJ239" s="168"/>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88" orientation="portrait" horizontalDpi="300" verticalDpi="300" r:id="rId1"/>
  <headerFooter alignWithMargins="0"/>
  <colBreaks count="4" manualBreakCount="4">
    <brk id="8" max="61" man="1"/>
    <brk id="15" max="61" man="1"/>
    <brk id="22" max="61" man="1"/>
    <brk id="29" max="61" man="1"/>
  </colBreaks>
  <ignoredErrors>
    <ignoredError sqref="C211:D211 C215:D215 C219:C234 D219:D23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203" t="s">
        <v>1</v>
      </c>
      <c r="H5" s="204"/>
    </row>
    <row r="6" spans="1:8" x14ac:dyDescent="0.2">
      <c r="A6" s="12"/>
      <c r="B6" s="13"/>
      <c r="C6" s="14" t="s">
        <v>234</v>
      </c>
      <c r="D6" s="15" t="s">
        <v>235</v>
      </c>
      <c r="E6" s="15" t="s">
        <v>236</v>
      </c>
      <c r="F6" s="16"/>
      <c r="G6" s="17" t="s">
        <v>237</v>
      </c>
      <c r="H6" s="18" t="s">
        <v>238</v>
      </c>
    </row>
    <row r="7" spans="1:8" x14ac:dyDescent="0.2">
      <c r="A7" s="205" t="s">
        <v>2</v>
      </c>
      <c r="B7" s="19" t="s">
        <v>3</v>
      </c>
      <c r="C7" s="20">
        <v>2558134.6345113777</v>
      </c>
      <c r="D7" s="20">
        <v>2821457.5819119024</v>
      </c>
      <c r="E7" s="79">
        <v>3117726.8008370064</v>
      </c>
      <c r="F7" s="22" t="s">
        <v>239</v>
      </c>
      <c r="G7" s="23">
        <v>21.875008405588275</v>
      </c>
      <c r="H7" s="24">
        <v>10.500573208133915</v>
      </c>
    </row>
    <row r="8" spans="1:8" x14ac:dyDescent="0.2">
      <c r="A8" s="206"/>
      <c r="B8" s="25" t="s">
        <v>240</v>
      </c>
      <c r="C8" s="26">
        <v>590793.30168291356</v>
      </c>
      <c r="D8" s="26">
        <v>704647.16076448176</v>
      </c>
      <c r="E8" s="26">
        <v>758070.39484818326</v>
      </c>
      <c r="F8" s="27"/>
      <c r="G8" s="28">
        <v>28.313979303551662</v>
      </c>
      <c r="H8" s="29">
        <v>7.5815581270123715</v>
      </c>
    </row>
    <row r="9" spans="1:8" x14ac:dyDescent="0.2">
      <c r="A9" s="30" t="s">
        <v>4</v>
      </c>
      <c r="B9" s="31" t="s">
        <v>3</v>
      </c>
      <c r="C9" s="20">
        <v>812806.60916143493</v>
      </c>
      <c r="D9" s="20">
        <v>881787.57543946186</v>
      </c>
      <c r="E9" s="20">
        <v>974435.34201844898</v>
      </c>
      <c r="F9" s="22" t="s">
        <v>239</v>
      </c>
      <c r="G9" s="32">
        <v>19.885263116126112</v>
      </c>
      <c r="H9" s="33">
        <v>10.506812429605134</v>
      </c>
    </row>
    <row r="10" spans="1:8" x14ac:dyDescent="0.2">
      <c r="A10" s="34"/>
      <c r="B10" s="25" t="s">
        <v>240</v>
      </c>
      <c r="C10" s="26">
        <v>198000.85002242154</v>
      </c>
      <c r="D10" s="26">
        <v>243723.34459790733</v>
      </c>
      <c r="E10" s="26">
        <v>257763.54099850525</v>
      </c>
      <c r="F10" s="27"/>
      <c r="G10" s="28">
        <v>30.183047683540849</v>
      </c>
      <c r="H10" s="29">
        <v>5.7607105399613232</v>
      </c>
    </row>
    <row r="11" spans="1:8" x14ac:dyDescent="0.2">
      <c r="A11" s="30" t="s">
        <v>5</v>
      </c>
      <c r="B11" s="31" t="s">
        <v>3</v>
      </c>
      <c r="C11" s="20">
        <v>194844.53500896867</v>
      </c>
      <c r="D11" s="20">
        <v>207564.36424663675</v>
      </c>
      <c r="E11" s="20">
        <v>222760.41589995127</v>
      </c>
      <c r="F11" s="22" t="s">
        <v>239</v>
      </c>
      <c r="G11" s="37">
        <v>14.327258852652776</v>
      </c>
      <c r="H11" s="33">
        <v>7.3211274529080299</v>
      </c>
    </row>
    <row r="12" spans="1:8" x14ac:dyDescent="0.2">
      <c r="A12" s="34"/>
      <c r="B12" s="25" t="s">
        <v>240</v>
      </c>
      <c r="C12" s="26">
        <v>60317.996390134533</v>
      </c>
      <c r="D12" s="26">
        <v>58664.159736920788</v>
      </c>
      <c r="E12" s="26">
        <v>64839.819240657671</v>
      </c>
      <c r="F12" s="27"/>
      <c r="G12" s="28">
        <v>7.4966396782747182</v>
      </c>
      <c r="H12" s="29">
        <v>10.527142179196986</v>
      </c>
    </row>
    <row r="13" spans="1:8" x14ac:dyDescent="0.2">
      <c r="A13" s="30" t="s">
        <v>6</v>
      </c>
      <c r="B13" s="31" t="s">
        <v>3</v>
      </c>
      <c r="C13" s="20">
        <v>410835.95298472245</v>
      </c>
      <c r="D13" s="20">
        <v>447459.5255934007</v>
      </c>
      <c r="E13" s="20">
        <v>531802.30377404776</v>
      </c>
      <c r="F13" s="22" t="s">
        <v>239</v>
      </c>
      <c r="G13" s="23">
        <v>29.443954432542967</v>
      </c>
      <c r="H13" s="24">
        <v>18.849253028817643</v>
      </c>
    </row>
    <row r="14" spans="1:8" x14ac:dyDescent="0.2">
      <c r="A14" s="34"/>
      <c r="B14" s="25" t="s">
        <v>240</v>
      </c>
      <c r="C14" s="26">
        <v>97565.925181813422</v>
      </c>
      <c r="D14" s="26">
        <v>102709.67189870769</v>
      </c>
      <c r="E14" s="26">
        <v>123445.77456879262</v>
      </c>
      <c r="F14" s="27"/>
      <c r="G14" s="38">
        <v>26.52549990045425</v>
      </c>
      <c r="H14" s="24">
        <v>20.189045770231729</v>
      </c>
    </row>
    <row r="15" spans="1:8" x14ac:dyDescent="0.2">
      <c r="A15" s="30" t="s">
        <v>168</v>
      </c>
      <c r="B15" s="31" t="s">
        <v>3</v>
      </c>
      <c r="C15" s="20">
        <v>44703.941502659662</v>
      </c>
      <c r="D15" s="20">
        <v>53986.423475075651</v>
      </c>
      <c r="E15" s="20">
        <v>70534.20381078028</v>
      </c>
      <c r="F15" s="22" t="s">
        <v>239</v>
      </c>
      <c r="G15" s="37">
        <v>57.780726799188045</v>
      </c>
      <c r="H15" s="33">
        <v>30.651744032172047</v>
      </c>
    </row>
    <row r="16" spans="1:8" x14ac:dyDescent="0.2">
      <c r="A16" s="34"/>
      <c r="B16" s="25" t="s">
        <v>240</v>
      </c>
      <c r="C16" s="26">
        <v>11825.08552317248</v>
      </c>
      <c r="D16" s="26">
        <v>14204.681955725435</v>
      </c>
      <c r="E16" s="26">
        <v>18591.561395126613</v>
      </c>
      <c r="F16" s="27"/>
      <c r="G16" s="28">
        <v>57.221369424301599</v>
      </c>
      <c r="H16" s="29">
        <v>30.883334474327825</v>
      </c>
    </row>
    <row r="17" spans="1:8" x14ac:dyDescent="0.2">
      <c r="A17" s="30" t="s">
        <v>7</v>
      </c>
      <c r="B17" s="31" t="s">
        <v>3</v>
      </c>
      <c r="C17" s="20">
        <v>8629.6967836734693</v>
      </c>
      <c r="D17" s="20">
        <v>9255.1604571428579</v>
      </c>
      <c r="E17" s="20">
        <v>10055.012999760243</v>
      </c>
      <c r="F17" s="22" t="s">
        <v>239</v>
      </c>
      <c r="G17" s="23">
        <v>16.516411315671391</v>
      </c>
      <c r="H17" s="24">
        <v>8.6422331230366041</v>
      </c>
    </row>
    <row r="18" spans="1:8" x14ac:dyDescent="0.2">
      <c r="A18" s="30"/>
      <c r="B18" s="25" t="s">
        <v>240</v>
      </c>
      <c r="C18" s="26">
        <v>2424.5147755102039</v>
      </c>
      <c r="D18" s="26">
        <v>2566.4587591836735</v>
      </c>
      <c r="E18" s="26">
        <v>2800.3848653061223</v>
      </c>
      <c r="F18" s="27"/>
      <c r="G18" s="38">
        <v>15.502899532415597</v>
      </c>
      <c r="H18" s="24">
        <v>9.1147424553533369</v>
      </c>
    </row>
    <row r="19" spans="1:8" x14ac:dyDescent="0.2">
      <c r="A19" s="39" t="s">
        <v>8</v>
      </c>
      <c r="B19" s="31" t="s">
        <v>3</v>
      </c>
      <c r="C19" s="20">
        <v>6040</v>
      </c>
      <c r="D19" s="20">
        <v>9011</v>
      </c>
      <c r="E19" s="20">
        <v>8532.8781884381297</v>
      </c>
      <c r="F19" s="22" t="s">
        <v>239</v>
      </c>
      <c r="G19" s="37">
        <v>41.272817689372999</v>
      </c>
      <c r="H19" s="33">
        <v>-5.3059794868701573</v>
      </c>
    </row>
    <row r="20" spans="1:8" x14ac:dyDescent="0.2">
      <c r="A20" s="34"/>
      <c r="B20" s="25" t="s">
        <v>240</v>
      </c>
      <c r="C20" s="26">
        <v>1507</v>
      </c>
      <c r="D20" s="26">
        <v>1966</v>
      </c>
      <c r="E20" s="26">
        <v>1943</v>
      </c>
      <c r="F20" s="27"/>
      <c r="G20" s="28">
        <v>28.931652289316531</v>
      </c>
      <c r="H20" s="29">
        <v>-1.1698880976602197</v>
      </c>
    </row>
    <row r="21" spans="1:8" x14ac:dyDescent="0.2">
      <c r="A21" s="39" t="s">
        <v>9</v>
      </c>
      <c r="B21" s="31" t="s">
        <v>3</v>
      </c>
      <c r="C21" s="20">
        <v>37157.663333333338</v>
      </c>
      <c r="D21" s="20">
        <v>42542.303333333337</v>
      </c>
      <c r="E21" s="20">
        <v>44665.347606195559</v>
      </c>
      <c r="F21" s="22" t="s">
        <v>239</v>
      </c>
      <c r="G21" s="37">
        <v>20.204941859536248</v>
      </c>
      <c r="H21" s="33">
        <v>4.9904309511110654</v>
      </c>
    </row>
    <row r="22" spans="1:8" x14ac:dyDescent="0.2">
      <c r="A22" s="34"/>
      <c r="B22" s="25" t="s">
        <v>240</v>
      </c>
      <c r="C22" s="26">
        <v>10160.966666666667</v>
      </c>
      <c r="D22" s="26">
        <v>10950.025</v>
      </c>
      <c r="E22" s="26">
        <v>11726.093333333334</v>
      </c>
      <c r="F22" s="27"/>
      <c r="G22" s="28">
        <v>15.403324486843445</v>
      </c>
      <c r="H22" s="29">
        <v>7.0873658583732464</v>
      </c>
    </row>
    <row r="23" spans="1:8" x14ac:dyDescent="0.2">
      <c r="A23" s="39" t="s">
        <v>190</v>
      </c>
      <c r="B23" s="31" t="s">
        <v>3</v>
      </c>
      <c r="C23" s="20">
        <v>7387</v>
      </c>
      <c r="D23" s="20">
        <v>8839</v>
      </c>
      <c r="E23" s="20">
        <v>11528.698384201076</v>
      </c>
      <c r="F23" s="22" t="s">
        <v>239</v>
      </c>
      <c r="G23" s="37">
        <v>56.067393856789977</v>
      </c>
      <c r="H23" s="33">
        <v>30.429894605736791</v>
      </c>
    </row>
    <row r="24" spans="1:8" x14ac:dyDescent="0.2">
      <c r="A24" s="34"/>
      <c r="B24" s="25" t="s">
        <v>240</v>
      </c>
      <c r="C24" s="26">
        <v>2347</v>
      </c>
      <c r="D24" s="26">
        <v>2228</v>
      </c>
      <c r="E24" s="26">
        <v>2898</v>
      </c>
      <c r="F24" s="27"/>
      <c r="G24" s="28">
        <v>23.476778866638256</v>
      </c>
      <c r="H24" s="29">
        <v>30.071813285457807</v>
      </c>
    </row>
    <row r="25" spans="1:8" x14ac:dyDescent="0.2">
      <c r="A25" s="39" t="s">
        <v>191</v>
      </c>
      <c r="B25" s="31" t="s">
        <v>3</v>
      </c>
      <c r="C25" s="20">
        <v>2198</v>
      </c>
      <c r="D25" s="20">
        <v>2455</v>
      </c>
      <c r="E25" s="20">
        <v>2714.0338983050842</v>
      </c>
      <c r="F25" s="22" t="s">
        <v>239</v>
      </c>
      <c r="G25" s="37">
        <v>23.477429404234968</v>
      </c>
      <c r="H25" s="33">
        <v>10.551278953363919</v>
      </c>
    </row>
    <row r="26" spans="1:8" x14ac:dyDescent="0.2">
      <c r="A26" s="34"/>
      <c r="B26" s="25" t="s">
        <v>240</v>
      </c>
      <c r="C26" s="26">
        <v>559</v>
      </c>
      <c r="D26" s="26">
        <v>649</v>
      </c>
      <c r="E26" s="26">
        <v>704</v>
      </c>
      <c r="F26" s="27"/>
      <c r="G26" s="28">
        <v>25.9391771019678</v>
      </c>
      <c r="H26" s="29">
        <v>8.4745762711864359</v>
      </c>
    </row>
    <row r="27" spans="1:8" x14ac:dyDescent="0.2">
      <c r="A27" s="39" t="s">
        <v>192</v>
      </c>
      <c r="B27" s="31" t="s">
        <v>3</v>
      </c>
      <c r="C27" s="20">
        <v>517184.1942857143</v>
      </c>
      <c r="D27" s="20">
        <v>615071.0068571429</v>
      </c>
      <c r="E27" s="20">
        <v>592487.94616272475</v>
      </c>
      <c r="F27" s="22" t="s">
        <v>239</v>
      </c>
      <c r="G27" s="37">
        <v>14.560335120258827</v>
      </c>
      <c r="H27" s="33">
        <v>-3.6716184704936552</v>
      </c>
    </row>
    <row r="28" spans="1:8" x14ac:dyDescent="0.2">
      <c r="A28" s="34"/>
      <c r="B28" s="25" t="s">
        <v>240</v>
      </c>
      <c r="C28" s="26">
        <v>103006.20114285714</v>
      </c>
      <c r="D28" s="26">
        <v>142860</v>
      </c>
      <c r="E28" s="26">
        <v>140947.5017142857</v>
      </c>
      <c r="F28" s="27"/>
      <c r="G28" s="28">
        <v>36.833996546293918</v>
      </c>
      <c r="H28" s="29">
        <v>-1.3387220255595054</v>
      </c>
    </row>
    <row r="29" spans="1:8" x14ac:dyDescent="0.2">
      <c r="A29" s="30" t="s">
        <v>10</v>
      </c>
      <c r="B29" s="31" t="s">
        <v>3</v>
      </c>
      <c r="C29" s="20">
        <v>354485</v>
      </c>
      <c r="D29" s="20">
        <v>384965.43589743588</v>
      </c>
      <c r="E29" s="20">
        <v>445267.0843201367</v>
      </c>
      <c r="F29" s="22" t="s">
        <v>239</v>
      </c>
      <c r="G29" s="37">
        <v>25.609570029800039</v>
      </c>
      <c r="H29" s="33">
        <v>15.664172104730639</v>
      </c>
    </row>
    <row r="30" spans="1:8" x14ac:dyDescent="0.2">
      <c r="A30" s="30"/>
      <c r="B30" s="25" t="s">
        <v>240</v>
      </c>
      <c r="C30" s="26">
        <v>66033.36538461539</v>
      </c>
      <c r="D30" s="26">
        <v>85249</v>
      </c>
      <c r="E30" s="26">
        <v>92765.108974358969</v>
      </c>
      <c r="F30" s="27"/>
      <c r="G30" s="28">
        <v>40.482176599727893</v>
      </c>
      <c r="H30" s="29">
        <v>8.8166535377059745</v>
      </c>
    </row>
    <row r="31" spans="1:8" x14ac:dyDescent="0.2">
      <c r="A31" s="39" t="s">
        <v>11</v>
      </c>
      <c r="B31" s="31" t="s">
        <v>3</v>
      </c>
      <c r="C31" s="20">
        <v>11276.932267581047</v>
      </c>
      <c r="D31" s="20">
        <v>11960.346633416459</v>
      </c>
      <c r="E31" s="20">
        <v>17184.145930578976</v>
      </c>
      <c r="F31" s="22" t="s">
        <v>239</v>
      </c>
      <c r="G31" s="37">
        <v>52.383161686445533</v>
      </c>
      <c r="H31" s="33">
        <v>43.675985799337525</v>
      </c>
    </row>
    <row r="32" spans="1:8" x14ac:dyDescent="0.2">
      <c r="A32" s="34"/>
      <c r="B32" s="25" t="s">
        <v>240</v>
      </c>
      <c r="C32" s="26">
        <v>1816.3347880299252</v>
      </c>
      <c r="D32" s="26">
        <v>1472.7774314214464</v>
      </c>
      <c r="E32" s="26">
        <v>2296.2699501246884</v>
      </c>
      <c r="F32" s="27"/>
      <c r="G32" s="28">
        <v>26.423276438773797</v>
      </c>
      <c r="H32" s="29">
        <v>55.914254328873767</v>
      </c>
    </row>
    <row r="33" spans="1:8" x14ac:dyDescent="0.2">
      <c r="A33" s="30" t="s">
        <v>12</v>
      </c>
      <c r="B33" s="31" t="s">
        <v>3</v>
      </c>
      <c r="C33" s="20">
        <v>12078.23712256</v>
      </c>
      <c r="D33" s="20">
        <v>13236.987999999999</v>
      </c>
      <c r="E33" s="20">
        <v>13816.350392602242</v>
      </c>
      <c r="F33" s="22" t="s">
        <v>239</v>
      </c>
      <c r="G33" s="37">
        <v>14.390454934816233</v>
      </c>
      <c r="H33" s="33">
        <v>4.3768445858094225</v>
      </c>
    </row>
    <row r="34" spans="1:8" x14ac:dyDescent="0.2">
      <c r="A34" s="30"/>
      <c r="B34" s="25" t="s">
        <v>240</v>
      </c>
      <c r="C34" s="26">
        <v>3173.5819999999999</v>
      </c>
      <c r="D34" s="26">
        <v>3674.7310000000002</v>
      </c>
      <c r="E34" s="26">
        <v>3764.605</v>
      </c>
      <c r="F34" s="27"/>
      <c r="G34" s="28">
        <v>18.623215029578574</v>
      </c>
      <c r="H34" s="29">
        <v>2.4457300411921352</v>
      </c>
    </row>
    <row r="35" spans="1:8" x14ac:dyDescent="0.2">
      <c r="A35" s="39" t="s">
        <v>13</v>
      </c>
      <c r="B35" s="31" t="s">
        <v>3</v>
      </c>
      <c r="C35" s="20">
        <v>54</v>
      </c>
      <c r="D35" s="20">
        <v>57</v>
      </c>
      <c r="E35" s="20">
        <v>140.97777777777779</v>
      </c>
      <c r="F35" s="22" t="s">
        <v>239</v>
      </c>
      <c r="G35" s="23">
        <v>161.06995884773664</v>
      </c>
      <c r="H35" s="24">
        <v>147.32943469785576</v>
      </c>
    </row>
    <row r="36" spans="1:8" x14ac:dyDescent="0.2">
      <c r="A36" s="34"/>
      <c r="B36" s="25" t="s">
        <v>240</v>
      </c>
      <c r="C36" s="26">
        <v>15</v>
      </c>
      <c r="D36" s="26">
        <v>9</v>
      </c>
      <c r="E36" s="26">
        <v>26</v>
      </c>
      <c r="F36" s="27"/>
      <c r="G36" s="28">
        <v>73.333333333333343</v>
      </c>
      <c r="H36" s="29">
        <v>188.88888888888886</v>
      </c>
    </row>
    <row r="37" spans="1:8" x14ac:dyDescent="0.2">
      <c r="A37" s="30" t="s">
        <v>14</v>
      </c>
      <c r="B37" s="31" t="s">
        <v>3</v>
      </c>
      <c r="C37" s="40">
        <v>138452.87206073076</v>
      </c>
      <c r="D37" s="40">
        <v>133266.45197885614</v>
      </c>
      <c r="E37" s="20">
        <v>136756.43619963728</v>
      </c>
      <c r="F37" s="22" t="s">
        <v>239</v>
      </c>
      <c r="G37" s="23">
        <v>-1.2252803685786802</v>
      </c>
      <c r="H37" s="24">
        <v>2.6188017831635761</v>
      </c>
    </row>
    <row r="38" spans="1:8" ht="13.5" thickBot="1" x14ac:dyDescent="0.25">
      <c r="A38" s="41"/>
      <c r="B38" s="42" t="s">
        <v>240</v>
      </c>
      <c r="C38" s="43">
        <v>32040.479807692307</v>
      </c>
      <c r="D38" s="43">
        <v>33720.310384615383</v>
      </c>
      <c r="E38" s="43">
        <v>33558.734807692308</v>
      </c>
      <c r="F38" s="44"/>
      <c r="G38" s="45">
        <v>4.7385526343943809</v>
      </c>
      <c r="H38" s="46">
        <v>-0.47916396699832831</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G61" s="53"/>
      <c r="H61" s="208">
        <v>9</v>
      </c>
    </row>
    <row r="62" spans="1:8" ht="12.75" customHeight="1" x14ac:dyDescent="0.2">
      <c r="A62" s="54" t="s">
        <v>242</v>
      </c>
      <c r="G62" s="53"/>
      <c r="H62" s="201"/>
    </row>
    <row r="63" spans="1:8" x14ac:dyDescent="0.2">
      <c r="H63" s="87"/>
    </row>
    <row r="64" spans="1:8" x14ac:dyDescent="0.2">
      <c r="A64" s="207"/>
      <c r="H64" s="53"/>
    </row>
    <row r="65" spans="1:8" x14ac:dyDescent="0.2">
      <c r="A65" s="207"/>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5">
      <c r="A3" s="3"/>
      <c r="B3" s="2"/>
      <c r="C3" s="2"/>
      <c r="D3" s="2"/>
      <c r="E3" s="2"/>
      <c r="F3" s="2"/>
      <c r="G3" s="2"/>
    </row>
    <row r="4" spans="1:10" ht="16.5" thickBot="1" x14ac:dyDescent="0.3">
      <c r="A4" s="4" t="s">
        <v>15</v>
      </c>
      <c r="B4" s="5"/>
      <c r="C4" s="5"/>
      <c r="D4" s="5"/>
      <c r="E4" s="5"/>
      <c r="F4" s="5"/>
      <c r="G4" s="5"/>
      <c r="H4" s="6"/>
    </row>
    <row r="5" spans="1:10" x14ac:dyDescent="0.2">
      <c r="A5" s="7"/>
      <c r="B5" s="8"/>
      <c r="C5" s="209" t="s">
        <v>16</v>
      </c>
      <c r="D5" s="203"/>
      <c r="E5" s="203"/>
      <c r="F5" s="210"/>
      <c r="G5" s="203" t="s">
        <v>1</v>
      </c>
      <c r="H5" s="204"/>
    </row>
    <row r="6" spans="1:10" x14ac:dyDescent="0.2">
      <c r="A6" s="12"/>
      <c r="B6" s="13"/>
      <c r="C6" s="14" t="s">
        <v>234</v>
      </c>
      <c r="D6" s="15" t="s">
        <v>235</v>
      </c>
      <c r="E6" s="15" t="s">
        <v>236</v>
      </c>
      <c r="F6" s="16"/>
      <c r="G6" s="17" t="s">
        <v>237</v>
      </c>
      <c r="H6" s="18" t="s">
        <v>238</v>
      </c>
    </row>
    <row r="7" spans="1:10" x14ac:dyDescent="0.2">
      <c r="A7" s="205" t="s">
        <v>2</v>
      </c>
      <c r="B7" s="19" t="s">
        <v>3</v>
      </c>
      <c r="C7" s="80">
        <v>51692.195089920911</v>
      </c>
      <c r="D7" s="80">
        <v>62270.008217127128</v>
      </c>
      <c r="E7" s="81">
        <v>76864.102701345604</v>
      </c>
      <c r="F7" s="22" t="s">
        <v>239</v>
      </c>
      <c r="G7" s="23">
        <v>48.695760680383216</v>
      </c>
      <c r="H7" s="24">
        <v>23.436795500862686</v>
      </c>
    </row>
    <row r="8" spans="1:10" x14ac:dyDescent="0.2">
      <c r="A8" s="206"/>
      <c r="B8" s="25" t="s">
        <v>240</v>
      </c>
      <c r="C8" s="82">
        <v>13011.649405550339</v>
      </c>
      <c r="D8" s="82">
        <v>14558.903208041318</v>
      </c>
      <c r="E8" s="82">
        <v>18407.65413716382</v>
      </c>
      <c r="F8" s="27"/>
      <c r="G8" s="28">
        <v>41.470566593284644</v>
      </c>
      <c r="H8" s="29">
        <v>26.435720288302505</v>
      </c>
      <c r="J8" s="94"/>
    </row>
    <row r="9" spans="1:10" x14ac:dyDescent="0.2">
      <c r="A9" s="30" t="s">
        <v>4</v>
      </c>
      <c r="B9" s="31" t="s">
        <v>3</v>
      </c>
      <c r="C9" s="80">
        <v>13300.497767080758</v>
      </c>
      <c r="D9" s="80">
        <v>16005.457206368879</v>
      </c>
      <c r="E9" s="80">
        <v>20004.28458338965</v>
      </c>
      <c r="F9" s="22" t="s">
        <v>239</v>
      </c>
      <c r="G9" s="32">
        <v>50.402525782914836</v>
      </c>
      <c r="H9" s="33">
        <v>24.984149627600516</v>
      </c>
    </row>
    <row r="10" spans="1:10" x14ac:dyDescent="0.2">
      <c r="A10" s="34"/>
      <c r="B10" s="25" t="s">
        <v>240</v>
      </c>
      <c r="C10" s="82">
        <v>3224.1534070860903</v>
      </c>
      <c r="D10" s="82">
        <v>3783.1873411562233</v>
      </c>
      <c r="E10" s="82">
        <v>4767.9844772255619</v>
      </c>
      <c r="F10" s="27"/>
      <c r="G10" s="35">
        <v>47.883300675036679</v>
      </c>
      <c r="H10" s="29">
        <v>26.030884734573135</v>
      </c>
      <c r="J10" s="94"/>
    </row>
    <row r="11" spans="1:10" x14ac:dyDescent="0.2">
      <c r="A11" s="30" t="s">
        <v>5</v>
      </c>
      <c r="B11" s="31" t="s">
        <v>3</v>
      </c>
      <c r="C11" s="80">
        <v>5189.938996324554</v>
      </c>
      <c r="D11" s="80">
        <v>6044.1714758631751</v>
      </c>
      <c r="E11" s="80">
        <v>7273.3816432243475</v>
      </c>
      <c r="F11" s="22" t="s">
        <v>239</v>
      </c>
      <c r="G11" s="37">
        <v>40.143875455477627</v>
      </c>
      <c r="H11" s="33">
        <v>20.337116050891453</v>
      </c>
    </row>
    <row r="12" spans="1:10" x14ac:dyDescent="0.2">
      <c r="A12" s="34"/>
      <c r="B12" s="25" t="s">
        <v>240</v>
      </c>
      <c r="C12" s="82">
        <v>1612.5882634197183</v>
      </c>
      <c r="D12" s="82">
        <v>1719.6785489576837</v>
      </c>
      <c r="E12" s="82">
        <v>2129.2494035991631</v>
      </c>
      <c r="F12" s="27"/>
      <c r="G12" s="28">
        <v>32.03924720894301</v>
      </c>
      <c r="H12" s="29">
        <v>23.816710099089434</v>
      </c>
    </row>
    <row r="13" spans="1:10" x14ac:dyDescent="0.2">
      <c r="A13" s="30" t="s">
        <v>6</v>
      </c>
      <c r="B13" s="31" t="s">
        <v>3</v>
      </c>
      <c r="C13" s="80">
        <v>9776.7076031225206</v>
      </c>
      <c r="D13" s="80">
        <v>12630.225692452103</v>
      </c>
      <c r="E13" s="80">
        <v>18056.997336339944</v>
      </c>
      <c r="F13" s="22" t="s">
        <v>239</v>
      </c>
      <c r="G13" s="23">
        <v>84.694051099296786</v>
      </c>
      <c r="H13" s="24">
        <v>42.966545301964885</v>
      </c>
    </row>
    <row r="14" spans="1:10" x14ac:dyDescent="0.2">
      <c r="A14" s="34"/>
      <c r="B14" s="25" t="s">
        <v>240</v>
      </c>
      <c r="C14" s="82">
        <v>2505.6769390314967</v>
      </c>
      <c r="D14" s="82">
        <v>2558.3572859548399</v>
      </c>
      <c r="E14" s="82">
        <v>3932.4092415218524</v>
      </c>
      <c r="F14" s="27"/>
      <c r="G14" s="38">
        <v>56.939994149518014</v>
      </c>
      <c r="H14" s="24">
        <v>53.708368378038472</v>
      </c>
    </row>
    <row r="15" spans="1:10" x14ac:dyDescent="0.2">
      <c r="A15" s="30" t="s">
        <v>168</v>
      </c>
      <c r="B15" s="31" t="s">
        <v>3</v>
      </c>
      <c r="C15" s="80">
        <v>7230.9088147832827</v>
      </c>
      <c r="D15" s="80">
        <v>9813.9785573664831</v>
      </c>
      <c r="E15" s="80">
        <v>11909.243646488094</v>
      </c>
      <c r="F15" s="22" t="s">
        <v>239</v>
      </c>
      <c r="G15" s="37">
        <v>64.699126369014039</v>
      </c>
      <c r="H15" s="33">
        <v>21.349803006741652</v>
      </c>
    </row>
    <row r="16" spans="1:10" x14ac:dyDescent="0.2">
      <c r="A16" s="34"/>
      <c r="B16" s="25" t="s">
        <v>240</v>
      </c>
      <c r="C16" s="82">
        <v>1689.9175000707487</v>
      </c>
      <c r="D16" s="82">
        <v>2172.8590638677833</v>
      </c>
      <c r="E16" s="82">
        <v>2683.8552665969805</v>
      </c>
      <c r="F16" s="27"/>
      <c r="G16" s="28">
        <v>58.815756774198775</v>
      </c>
      <c r="H16" s="29">
        <v>23.517227197405148</v>
      </c>
    </row>
    <row r="17" spans="1:8" x14ac:dyDescent="0.2">
      <c r="A17" s="30" t="s">
        <v>7</v>
      </c>
      <c r="B17" s="31" t="s">
        <v>3</v>
      </c>
      <c r="C17" s="80">
        <v>1885.3077142325617</v>
      </c>
      <c r="D17" s="80">
        <v>2098.3300920885899</v>
      </c>
      <c r="E17" s="80">
        <v>2388.5936854710208</v>
      </c>
      <c r="F17" s="22" t="s">
        <v>239</v>
      </c>
      <c r="G17" s="23">
        <v>26.695163205404256</v>
      </c>
      <c r="H17" s="24">
        <v>13.833075857646151</v>
      </c>
    </row>
    <row r="18" spans="1:8" x14ac:dyDescent="0.2">
      <c r="A18" s="30"/>
      <c r="B18" s="25" t="s">
        <v>240</v>
      </c>
      <c r="C18" s="82">
        <v>455.45258046041744</v>
      </c>
      <c r="D18" s="82">
        <v>480.09060016829699</v>
      </c>
      <c r="E18" s="82">
        <v>556.31455547052394</v>
      </c>
      <c r="F18" s="27"/>
      <c r="G18" s="38">
        <v>22.14543935795578</v>
      </c>
      <c r="H18" s="24">
        <v>15.876993899798592</v>
      </c>
    </row>
    <row r="19" spans="1:8" x14ac:dyDescent="0.2">
      <c r="A19" s="39" t="s">
        <v>8</v>
      </c>
      <c r="B19" s="31" t="s">
        <v>3</v>
      </c>
      <c r="C19" s="80">
        <v>2938.864223517015</v>
      </c>
      <c r="D19" s="80">
        <v>2795.1937506614249</v>
      </c>
      <c r="E19" s="80">
        <v>2697.1803439621694</v>
      </c>
      <c r="F19" s="22" t="s">
        <v>239</v>
      </c>
      <c r="G19" s="37">
        <v>-8.2237170952258651</v>
      </c>
      <c r="H19" s="33">
        <v>-3.5064977759077607</v>
      </c>
    </row>
    <row r="20" spans="1:8" x14ac:dyDescent="0.2">
      <c r="A20" s="34"/>
      <c r="B20" s="25" t="s">
        <v>240</v>
      </c>
      <c r="C20" s="82">
        <v>759.55744125825504</v>
      </c>
      <c r="D20" s="82">
        <v>691.94667116029279</v>
      </c>
      <c r="E20" s="82">
        <v>677.20724836542172</v>
      </c>
      <c r="F20" s="27"/>
      <c r="G20" s="28">
        <v>-10.841865067691913</v>
      </c>
      <c r="H20" s="29">
        <v>-2.1301385510179927</v>
      </c>
    </row>
    <row r="21" spans="1:8" x14ac:dyDescent="0.2">
      <c r="A21" s="39" t="s">
        <v>9</v>
      </c>
      <c r="B21" s="31" t="s">
        <v>3</v>
      </c>
      <c r="C21" s="80">
        <v>724.48727871329743</v>
      </c>
      <c r="D21" s="80">
        <v>922.01930659354025</v>
      </c>
      <c r="E21" s="80">
        <v>889.04413280121275</v>
      </c>
      <c r="F21" s="22" t="s">
        <v>239</v>
      </c>
      <c r="G21" s="37">
        <v>22.713560185648987</v>
      </c>
      <c r="H21" s="33">
        <v>-3.5764081680845123</v>
      </c>
    </row>
    <row r="22" spans="1:8" x14ac:dyDescent="0.2">
      <c r="A22" s="34"/>
      <c r="B22" s="25" t="s">
        <v>240</v>
      </c>
      <c r="C22" s="82">
        <v>283.75611025797389</v>
      </c>
      <c r="D22" s="82">
        <v>217.7168526859424</v>
      </c>
      <c r="E22" s="82">
        <v>241.95851461356409</v>
      </c>
      <c r="F22" s="27"/>
      <c r="G22" s="28">
        <v>-14.730112985552964</v>
      </c>
      <c r="H22" s="29">
        <v>11.134490338508797</v>
      </c>
    </row>
    <row r="23" spans="1:8" x14ac:dyDescent="0.2">
      <c r="A23" s="39" t="s">
        <v>190</v>
      </c>
      <c r="B23" s="31" t="s">
        <v>3</v>
      </c>
      <c r="C23" s="80">
        <v>2152.7393297259473</v>
      </c>
      <c r="D23" s="80">
        <v>2012.0476280814735</v>
      </c>
      <c r="E23" s="80">
        <v>2297.3627890196435</v>
      </c>
      <c r="F23" s="22" t="s">
        <v>239</v>
      </c>
      <c r="G23" s="23">
        <v>6.7181129315878394</v>
      </c>
      <c r="H23" s="24">
        <v>14.180338325799141</v>
      </c>
    </row>
    <row r="24" spans="1:8" x14ac:dyDescent="0.2">
      <c r="A24" s="34"/>
      <c r="B24" s="25" t="s">
        <v>240</v>
      </c>
      <c r="C24" s="82">
        <v>498.87576821145706</v>
      </c>
      <c r="D24" s="82">
        <v>500.42458568548579</v>
      </c>
      <c r="E24" s="82">
        <v>572.36783985100783</v>
      </c>
      <c r="F24" s="27"/>
      <c r="G24" s="38">
        <v>14.731537653759091</v>
      </c>
      <c r="H24" s="24">
        <v>14.37644276948815</v>
      </c>
    </row>
    <row r="25" spans="1:8" x14ac:dyDescent="0.2">
      <c r="A25" s="39" t="s">
        <v>191</v>
      </c>
      <c r="B25" s="31" t="s">
        <v>3</v>
      </c>
      <c r="C25" s="80">
        <v>653.27095088339615</v>
      </c>
      <c r="D25" s="80">
        <v>853.09178278892443</v>
      </c>
      <c r="E25" s="80">
        <v>1173.4045276382378</v>
      </c>
      <c r="F25" s="22" t="s">
        <v>239</v>
      </c>
      <c r="G25" s="37">
        <v>79.619884528997147</v>
      </c>
      <c r="H25" s="33">
        <v>37.547278184083325</v>
      </c>
    </row>
    <row r="26" spans="1:8" x14ac:dyDescent="0.2">
      <c r="A26" s="34"/>
      <c r="B26" s="25" t="s">
        <v>240</v>
      </c>
      <c r="C26" s="82">
        <v>192.37533394794895</v>
      </c>
      <c r="D26" s="82">
        <v>232.99106533965858</v>
      </c>
      <c r="E26" s="82">
        <v>310.89171900532108</v>
      </c>
      <c r="F26" s="27"/>
      <c r="G26" s="38">
        <v>61.606850849932329</v>
      </c>
      <c r="H26" s="24">
        <v>33.435039044135664</v>
      </c>
    </row>
    <row r="27" spans="1:8" x14ac:dyDescent="0.2">
      <c r="A27" s="39" t="s">
        <v>192</v>
      </c>
      <c r="B27" s="31" t="s">
        <v>3</v>
      </c>
      <c r="C27" s="80">
        <v>2006.380833258675</v>
      </c>
      <c r="D27" s="80">
        <v>2389.6387678911092</v>
      </c>
      <c r="E27" s="80">
        <v>2473.4130035894023</v>
      </c>
      <c r="F27" s="22" t="s">
        <v>239</v>
      </c>
      <c r="G27" s="37">
        <v>23.277344090862059</v>
      </c>
      <c r="H27" s="33">
        <v>3.5057280131182864</v>
      </c>
    </row>
    <row r="28" spans="1:8" x14ac:dyDescent="0.2">
      <c r="A28" s="34"/>
      <c r="B28" s="25" t="s">
        <v>240</v>
      </c>
      <c r="C28" s="82">
        <v>491.99434026468953</v>
      </c>
      <c r="D28" s="82">
        <v>699.19381509829668</v>
      </c>
      <c r="E28" s="82">
        <v>684.81376284750411</v>
      </c>
      <c r="F28" s="27"/>
      <c r="G28" s="38">
        <v>39.191390388572188</v>
      </c>
      <c r="H28" s="24">
        <v>-2.0566618211247913</v>
      </c>
    </row>
    <row r="29" spans="1:8" x14ac:dyDescent="0.2">
      <c r="A29" s="30" t="s">
        <v>10</v>
      </c>
      <c r="B29" s="31" t="s">
        <v>3</v>
      </c>
      <c r="C29" s="80">
        <v>2098.2771570466793</v>
      </c>
      <c r="D29" s="80">
        <v>2609.279436595139</v>
      </c>
      <c r="E29" s="80">
        <v>3408.8726644356193</v>
      </c>
      <c r="F29" s="22" t="s">
        <v>239</v>
      </c>
      <c r="G29" s="37">
        <v>62.460552600858534</v>
      </c>
      <c r="H29" s="33">
        <v>30.644216047778798</v>
      </c>
    </row>
    <row r="30" spans="1:8" x14ac:dyDescent="0.2">
      <c r="A30" s="30"/>
      <c r="B30" s="25" t="s">
        <v>240</v>
      </c>
      <c r="C30" s="82">
        <v>414.36619515244865</v>
      </c>
      <c r="D30" s="82">
        <v>619.34148160607799</v>
      </c>
      <c r="E30" s="82">
        <v>758.09987079489167</v>
      </c>
      <c r="F30" s="27"/>
      <c r="G30" s="28">
        <v>82.954082563607926</v>
      </c>
      <c r="H30" s="29">
        <v>22.404181426534691</v>
      </c>
    </row>
    <row r="31" spans="1:8" x14ac:dyDescent="0.2">
      <c r="A31" s="39" t="s">
        <v>11</v>
      </c>
      <c r="B31" s="31" t="s">
        <v>3</v>
      </c>
      <c r="C31" s="80">
        <v>599.9461025980487</v>
      </c>
      <c r="D31" s="80">
        <v>662.09127275885123</v>
      </c>
      <c r="E31" s="80">
        <v>1282.9821123487409</v>
      </c>
      <c r="F31" s="22" t="s">
        <v>239</v>
      </c>
      <c r="G31" s="23">
        <v>113.84956195111945</v>
      </c>
      <c r="H31" s="24">
        <v>93.777227572071041</v>
      </c>
    </row>
    <row r="32" spans="1:8" x14ac:dyDescent="0.2">
      <c r="A32" s="34"/>
      <c r="B32" s="25" t="s">
        <v>240</v>
      </c>
      <c r="C32" s="82">
        <v>81.147399862018034</v>
      </c>
      <c r="D32" s="82">
        <v>74.038735819343103</v>
      </c>
      <c r="E32" s="82">
        <v>152.26295510110907</v>
      </c>
      <c r="F32" s="27"/>
      <c r="G32" s="38">
        <v>87.637503308812114</v>
      </c>
      <c r="H32" s="24">
        <v>105.6530995783553</v>
      </c>
    </row>
    <row r="33" spans="1:8" x14ac:dyDescent="0.2">
      <c r="A33" s="30" t="s">
        <v>12</v>
      </c>
      <c r="B33" s="31" t="s">
        <v>3</v>
      </c>
      <c r="C33" s="80">
        <v>1558.6503994062932</v>
      </c>
      <c r="D33" s="80">
        <v>1705.1275681590487</v>
      </c>
      <c r="E33" s="80">
        <v>1807.2981164026573</v>
      </c>
      <c r="F33" s="22" t="s">
        <v>239</v>
      </c>
      <c r="G33" s="37">
        <v>15.952757404166888</v>
      </c>
      <c r="H33" s="33">
        <v>5.9919592030241944</v>
      </c>
    </row>
    <row r="34" spans="1:8" x14ac:dyDescent="0.2">
      <c r="A34" s="30"/>
      <c r="B34" s="25" t="s">
        <v>240</v>
      </c>
      <c r="C34" s="82">
        <v>414.92680469493013</v>
      </c>
      <c r="D34" s="82">
        <v>420.45726599679239</v>
      </c>
      <c r="E34" s="82">
        <v>456.87793273317743</v>
      </c>
      <c r="F34" s="27"/>
      <c r="G34" s="28">
        <v>10.110488781049327</v>
      </c>
      <c r="H34" s="29">
        <v>8.6621565808932672</v>
      </c>
    </row>
    <row r="35" spans="1:8" x14ac:dyDescent="0.2">
      <c r="A35" s="39" t="s">
        <v>13</v>
      </c>
      <c r="B35" s="31" t="s">
        <v>3</v>
      </c>
      <c r="C35" s="80">
        <v>141.56149134271325</v>
      </c>
      <c r="D35" s="80">
        <v>207.46931966016973</v>
      </c>
      <c r="E35" s="80">
        <v>585.43456236134512</v>
      </c>
      <c r="F35" s="22" t="s">
        <v>239</v>
      </c>
      <c r="G35" s="23">
        <v>313.55495538263119</v>
      </c>
      <c r="H35" s="24">
        <v>182.17886062395843</v>
      </c>
    </row>
    <row r="36" spans="1:8" x14ac:dyDescent="0.2">
      <c r="A36" s="34"/>
      <c r="B36" s="25" t="s">
        <v>240</v>
      </c>
      <c r="C36" s="82">
        <v>25.872207222590546</v>
      </c>
      <c r="D36" s="82">
        <v>20.316945875929974</v>
      </c>
      <c r="E36" s="82">
        <v>67.824454293064562</v>
      </c>
      <c r="F36" s="27"/>
      <c r="G36" s="28">
        <v>162.15178979334644</v>
      </c>
      <c r="H36" s="29">
        <v>233.83193865480536</v>
      </c>
    </row>
    <row r="37" spans="1:8" x14ac:dyDescent="0.2">
      <c r="A37" s="30" t="s">
        <v>14</v>
      </c>
      <c r="B37" s="31" t="s">
        <v>3</v>
      </c>
      <c r="C37" s="85">
        <v>1434.6564278851531</v>
      </c>
      <c r="D37" s="85">
        <v>1521.8863597982286</v>
      </c>
      <c r="E37" s="83">
        <v>1695.19044440224</v>
      </c>
      <c r="F37" s="22" t="s">
        <v>239</v>
      </c>
      <c r="G37" s="23">
        <v>18.160028523424515</v>
      </c>
      <c r="H37" s="24">
        <v>11.38745238685155</v>
      </c>
    </row>
    <row r="38" spans="1:8" ht="13.5" thickBot="1" x14ac:dyDescent="0.25">
      <c r="A38" s="41"/>
      <c r="B38" s="42" t="s">
        <v>240</v>
      </c>
      <c r="C38" s="86">
        <v>360.98911460955628</v>
      </c>
      <c r="D38" s="86">
        <v>368.30294866867189</v>
      </c>
      <c r="E38" s="86">
        <v>415.53689514468016</v>
      </c>
      <c r="F38" s="44"/>
      <c r="G38" s="45">
        <v>15.110644151728067</v>
      </c>
      <c r="H38" s="46">
        <v>12.824753819307674</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H61" s="200">
        <v>10</v>
      </c>
    </row>
    <row r="62" spans="1:8" ht="12.75" customHeight="1" x14ac:dyDescent="0.2">
      <c r="A62" s="54" t="s">
        <v>242</v>
      </c>
      <c r="H62" s="201"/>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3" t="s">
        <v>1</v>
      </c>
      <c r="H5" s="204"/>
    </row>
    <row r="6" spans="1:8" x14ac:dyDescent="0.2">
      <c r="A6" s="12"/>
      <c r="B6" s="13"/>
      <c r="C6" s="14" t="s">
        <v>234</v>
      </c>
      <c r="D6" s="15" t="s">
        <v>235</v>
      </c>
      <c r="E6" s="15" t="s">
        <v>236</v>
      </c>
      <c r="F6" s="16"/>
      <c r="G6" s="17" t="s">
        <v>237</v>
      </c>
      <c r="H6" s="18" t="s">
        <v>238</v>
      </c>
    </row>
    <row r="7" spans="1:8" x14ac:dyDescent="0.2">
      <c r="A7" s="205" t="s">
        <v>26</v>
      </c>
      <c r="B7" s="19" t="s">
        <v>3</v>
      </c>
      <c r="C7" s="20">
        <v>1007651.1441704037</v>
      </c>
      <c r="D7" s="20">
        <v>1089351.9396860986</v>
      </c>
      <c r="E7" s="21">
        <v>1194257.2234980876</v>
      </c>
      <c r="F7" s="22" t="s">
        <v>239</v>
      </c>
      <c r="G7" s="23">
        <v>18.518917028702049</v>
      </c>
      <c r="H7" s="24">
        <v>9.6300635258627096</v>
      </c>
    </row>
    <row r="8" spans="1:8" x14ac:dyDescent="0.2">
      <c r="A8" s="206"/>
      <c r="B8" s="25" t="s">
        <v>240</v>
      </c>
      <c r="C8" s="26">
        <v>258318.84641255607</v>
      </c>
      <c r="D8" s="26">
        <v>302387.50433482812</v>
      </c>
      <c r="E8" s="26">
        <v>322603.36023916292</v>
      </c>
      <c r="F8" s="27"/>
      <c r="G8" s="28">
        <v>24.885723484510791</v>
      </c>
      <c r="H8" s="29">
        <v>6.6854137867913295</v>
      </c>
    </row>
    <row r="9" spans="1:8" x14ac:dyDescent="0.2">
      <c r="A9" s="30" t="s">
        <v>28</v>
      </c>
      <c r="B9" s="31" t="s">
        <v>3</v>
      </c>
      <c r="C9" s="20">
        <v>923689.0853363229</v>
      </c>
      <c r="D9" s="20">
        <v>997216.88174887898</v>
      </c>
      <c r="E9" s="21">
        <v>1087829.7866956706</v>
      </c>
      <c r="F9" s="22" t="s">
        <v>239</v>
      </c>
      <c r="G9" s="32">
        <v>17.770124597670517</v>
      </c>
      <c r="H9" s="33">
        <v>9.0865795199814841</v>
      </c>
    </row>
    <row r="10" spans="1:8" x14ac:dyDescent="0.2">
      <c r="A10" s="34"/>
      <c r="B10" s="25" t="s">
        <v>240</v>
      </c>
      <c r="C10" s="26">
        <v>238378.52713004485</v>
      </c>
      <c r="D10" s="26">
        <v>281083.7634678625</v>
      </c>
      <c r="E10" s="26">
        <v>297481.40819133038</v>
      </c>
      <c r="F10" s="27"/>
      <c r="G10" s="35">
        <v>24.793710143633277</v>
      </c>
      <c r="H10" s="29">
        <v>5.8337217778652359</v>
      </c>
    </row>
    <row r="11" spans="1:8" x14ac:dyDescent="0.2">
      <c r="A11" s="30" t="s">
        <v>29</v>
      </c>
      <c r="B11" s="31" t="s">
        <v>3</v>
      </c>
      <c r="C11" s="20">
        <v>38324.029417040358</v>
      </c>
      <c r="D11" s="20">
        <v>42228.528968609869</v>
      </c>
      <c r="E11" s="21">
        <v>51143.778347791427</v>
      </c>
      <c r="F11" s="22" t="s">
        <v>239</v>
      </c>
      <c r="G11" s="37">
        <v>33.450942204555645</v>
      </c>
      <c r="H11" s="33">
        <v>21.111910826466669</v>
      </c>
    </row>
    <row r="12" spans="1:8" x14ac:dyDescent="0.2">
      <c r="A12" s="34"/>
      <c r="B12" s="25" t="s">
        <v>240</v>
      </c>
      <c r="C12" s="26">
        <v>10760.159641255606</v>
      </c>
      <c r="D12" s="26">
        <v>11171.870433482811</v>
      </c>
      <c r="E12" s="26">
        <v>13795.976023916293</v>
      </c>
      <c r="F12" s="27"/>
      <c r="G12" s="28">
        <v>28.21348831127969</v>
      </c>
      <c r="H12" s="29">
        <v>23.488507193646541</v>
      </c>
    </row>
    <row r="13" spans="1:8" x14ac:dyDescent="0.2">
      <c r="A13" s="30" t="s">
        <v>27</v>
      </c>
      <c r="B13" s="31" t="s">
        <v>3</v>
      </c>
      <c r="C13" s="20">
        <v>12004.408825112107</v>
      </c>
      <c r="D13" s="20">
        <v>12822.85869058296</v>
      </c>
      <c r="E13" s="21">
        <v>13160.895936653877</v>
      </c>
      <c r="F13" s="22" t="s">
        <v>239</v>
      </c>
      <c r="G13" s="23">
        <v>9.6338530983925352</v>
      </c>
      <c r="H13" s="24">
        <v>2.6362081516126352</v>
      </c>
    </row>
    <row r="14" spans="1:8" x14ac:dyDescent="0.2">
      <c r="A14" s="34"/>
      <c r="B14" s="25" t="s">
        <v>240</v>
      </c>
      <c r="C14" s="26">
        <v>1445.8478923766816</v>
      </c>
      <c r="D14" s="26">
        <v>1604.461130044843</v>
      </c>
      <c r="E14" s="26">
        <v>1625.6928071748878</v>
      </c>
      <c r="F14" s="27"/>
      <c r="G14" s="38">
        <v>12.438716115744214</v>
      </c>
      <c r="H14" s="24">
        <v>1.3232902145439596</v>
      </c>
    </row>
    <row r="15" spans="1:8" x14ac:dyDescent="0.2">
      <c r="A15" s="30" t="s">
        <v>30</v>
      </c>
      <c r="B15" s="31" t="s">
        <v>3</v>
      </c>
      <c r="C15" s="20">
        <v>16157.211766816145</v>
      </c>
      <c r="D15" s="20">
        <v>18508.811587443946</v>
      </c>
      <c r="E15" s="21">
        <v>19740.860290913995</v>
      </c>
      <c r="F15" s="22" t="s">
        <v>239</v>
      </c>
      <c r="G15" s="37">
        <v>22.179869743726371</v>
      </c>
      <c r="H15" s="33">
        <v>6.656552192177756</v>
      </c>
    </row>
    <row r="16" spans="1:8" x14ac:dyDescent="0.2">
      <c r="A16" s="34"/>
      <c r="B16" s="25" t="s">
        <v>240</v>
      </c>
      <c r="C16" s="26">
        <v>4582.4638565022424</v>
      </c>
      <c r="D16" s="26">
        <v>5552.9481733931243</v>
      </c>
      <c r="E16" s="26">
        <v>5810.5904095665164</v>
      </c>
      <c r="F16" s="27"/>
      <c r="G16" s="28">
        <v>26.8005726072806</v>
      </c>
      <c r="H16" s="29">
        <v>4.6397378136515215</v>
      </c>
    </row>
    <row r="17" spans="1:9" x14ac:dyDescent="0.2">
      <c r="A17" s="30" t="s">
        <v>31</v>
      </c>
      <c r="B17" s="31" t="s">
        <v>3</v>
      </c>
      <c r="C17" s="20">
        <v>17476.408825112107</v>
      </c>
      <c r="D17" s="20">
        <v>18574.858690582958</v>
      </c>
      <c r="E17" s="21">
        <v>23382.727218408178</v>
      </c>
      <c r="F17" s="22" t="s">
        <v>239</v>
      </c>
      <c r="G17" s="37">
        <v>33.795950028413131</v>
      </c>
      <c r="H17" s="33">
        <v>25.883742147996543</v>
      </c>
    </row>
    <row r="18" spans="1:9" ht="13.5" thickBot="1" x14ac:dyDescent="0.25">
      <c r="A18" s="56"/>
      <c r="B18" s="42" t="s">
        <v>240</v>
      </c>
      <c r="C18" s="43">
        <v>3151.8478923766816</v>
      </c>
      <c r="D18" s="43">
        <v>2974.4611300448432</v>
      </c>
      <c r="E18" s="43">
        <v>3889.692807174888</v>
      </c>
      <c r="F18" s="44"/>
      <c r="G18" s="57">
        <v>23.409915071816087</v>
      </c>
      <c r="H18" s="46">
        <v>30.769663381556654</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234</v>
      </c>
      <c r="D34" s="15" t="s">
        <v>235</v>
      </c>
      <c r="E34" s="15" t="s">
        <v>236</v>
      </c>
      <c r="F34" s="16"/>
      <c r="G34" s="17" t="s">
        <v>237</v>
      </c>
      <c r="H34" s="18" t="s">
        <v>238</v>
      </c>
    </row>
    <row r="35" spans="1:9" ht="12.75" customHeight="1" x14ac:dyDescent="0.2">
      <c r="A35" s="205" t="s">
        <v>26</v>
      </c>
      <c r="B35" s="19" t="s">
        <v>3</v>
      </c>
      <c r="C35" s="80">
        <v>18490.436763405316</v>
      </c>
      <c r="D35" s="80">
        <v>22049.628682232047</v>
      </c>
      <c r="E35" s="83">
        <v>27213.686432075981</v>
      </c>
      <c r="F35" s="22" t="s">
        <v>239</v>
      </c>
      <c r="G35" s="23">
        <v>47.177088244529585</v>
      </c>
      <c r="H35" s="24">
        <v>23.420157428797069</v>
      </c>
    </row>
    <row r="36" spans="1:9" ht="12.75" customHeight="1" x14ac:dyDescent="0.2">
      <c r="A36" s="206"/>
      <c r="B36" s="25" t="s">
        <v>240</v>
      </c>
      <c r="C36" s="82">
        <v>4836.7416705058085</v>
      </c>
      <c r="D36" s="82">
        <v>5502.8658901139079</v>
      </c>
      <c r="E36" s="82">
        <v>6897.233880824725</v>
      </c>
      <c r="F36" s="27"/>
      <c r="G36" s="28">
        <v>42.600832351326261</v>
      </c>
      <c r="H36" s="29">
        <v>25.338941899635387</v>
      </c>
    </row>
    <row r="37" spans="1:9" x14ac:dyDescent="0.2">
      <c r="A37" s="30" t="s">
        <v>28</v>
      </c>
      <c r="B37" s="31" t="s">
        <v>3</v>
      </c>
      <c r="C37" s="80">
        <v>15321.16544727672</v>
      </c>
      <c r="D37" s="80">
        <v>18123.835800424153</v>
      </c>
      <c r="E37" s="83">
        <v>22093.644945505413</v>
      </c>
      <c r="F37" s="22" t="s">
        <v>239</v>
      </c>
      <c r="G37" s="32">
        <v>44.203422523790294</v>
      </c>
      <c r="H37" s="33">
        <v>21.903802201674964</v>
      </c>
    </row>
    <row r="38" spans="1:9" x14ac:dyDescent="0.2">
      <c r="A38" s="34"/>
      <c r="B38" s="25" t="s">
        <v>240</v>
      </c>
      <c r="C38" s="82">
        <v>4118.9214196614212</v>
      </c>
      <c r="D38" s="82">
        <v>4706.6855311846584</v>
      </c>
      <c r="E38" s="82">
        <v>5803.4168863728082</v>
      </c>
      <c r="F38" s="27"/>
      <c r="G38" s="35">
        <v>40.896518653416166</v>
      </c>
      <c r="H38" s="29">
        <v>23.301564294483597</v>
      </c>
    </row>
    <row r="39" spans="1:9" x14ac:dyDescent="0.2">
      <c r="A39" s="30" t="s">
        <v>29</v>
      </c>
      <c r="B39" s="31" t="s">
        <v>3</v>
      </c>
      <c r="C39" s="80">
        <v>1206.0091265245251</v>
      </c>
      <c r="D39" s="80">
        <v>1485.2030068613076</v>
      </c>
      <c r="E39" s="83">
        <v>1984.8124091435354</v>
      </c>
      <c r="F39" s="22" t="s">
        <v>239</v>
      </c>
      <c r="G39" s="37">
        <v>64.576897926416535</v>
      </c>
      <c r="H39" s="33">
        <v>33.639132157297269</v>
      </c>
    </row>
    <row r="40" spans="1:9" x14ac:dyDescent="0.2">
      <c r="A40" s="34"/>
      <c r="B40" s="25" t="s">
        <v>240</v>
      </c>
      <c r="C40" s="82">
        <v>314.29691526068831</v>
      </c>
      <c r="D40" s="82">
        <v>356.03343193309399</v>
      </c>
      <c r="E40" s="82">
        <v>488.86127635829683</v>
      </c>
      <c r="F40" s="27"/>
      <c r="G40" s="28">
        <v>55.541226344146281</v>
      </c>
      <c r="H40" s="29">
        <v>37.307688692045048</v>
      </c>
    </row>
    <row r="41" spans="1:9" x14ac:dyDescent="0.2">
      <c r="A41" s="30" t="s">
        <v>27</v>
      </c>
      <c r="B41" s="31" t="s">
        <v>3</v>
      </c>
      <c r="C41" s="80">
        <v>365.20029052818705</v>
      </c>
      <c r="D41" s="80">
        <v>498.48769444213599</v>
      </c>
      <c r="E41" s="83">
        <v>629.54115105317385</v>
      </c>
      <c r="F41" s="22" t="s">
        <v>239</v>
      </c>
      <c r="G41" s="23">
        <v>72.382434346553282</v>
      </c>
      <c r="H41" s="24">
        <v>26.290208980524881</v>
      </c>
    </row>
    <row r="42" spans="1:9" x14ac:dyDescent="0.2">
      <c r="A42" s="34"/>
      <c r="B42" s="25" t="s">
        <v>240</v>
      </c>
      <c r="C42" s="82">
        <v>48.000463215754543</v>
      </c>
      <c r="D42" s="82">
        <v>56.721078689431984</v>
      </c>
      <c r="E42" s="82">
        <v>74.989798146963039</v>
      </c>
      <c r="F42" s="27"/>
      <c r="G42" s="38">
        <v>56.227238495378003</v>
      </c>
      <c r="H42" s="24">
        <v>32.207990185727567</v>
      </c>
    </row>
    <row r="43" spans="1:9" x14ac:dyDescent="0.2">
      <c r="A43" s="30" t="s">
        <v>30</v>
      </c>
      <c r="B43" s="31" t="s">
        <v>3</v>
      </c>
      <c r="C43" s="80">
        <v>952.50273679954182</v>
      </c>
      <c r="D43" s="80">
        <v>1109.0466058534548</v>
      </c>
      <c r="E43" s="83">
        <v>1371.1875668589453</v>
      </c>
      <c r="F43" s="22" t="s">
        <v>239</v>
      </c>
      <c r="G43" s="37">
        <v>43.956286305927705</v>
      </c>
      <c r="H43" s="33">
        <v>23.636604595508643</v>
      </c>
    </row>
    <row r="44" spans="1:9" x14ac:dyDescent="0.2">
      <c r="A44" s="34"/>
      <c r="B44" s="25" t="s">
        <v>240</v>
      </c>
      <c r="C44" s="82">
        <v>242.83187149666472</v>
      </c>
      <c r="D44" s="82">
        <v>280.83567138340891</v>
      </c>
      <c r="E44" s="82">
        <v>347.99750374575495</v>
      </c>
      <c r="F44" s="27"/>
      <c r="G44" s="28">
        <v>43.308002199593773</v>
      </c>
      <c r="H44" s="29">
        <v>23.914993430679203</v>
      </c>
    </row>
    <row r="45" spans="1:9" x14ac:dyDescent="0.2">
      <c r="A45" s="30" t="s">
        <v>31</v>
      </c>
      <c r="B45" s="31" t="s">
        <v>3</v>
      </c>
      <c r="C45" s="80">
        <v>645.55916227633691</v>
      </c>
      <c r="D45" s="80">
        <v>833.05557465099423</v>
      </c>
      <c r="E45" s="83">
        <v>1332.5566979801533</v>
      </c>
      <c r="F45" s="22" t="s">
        <v>239</v>
      </c>
      <c r="G45" s="37">
        <v>106.4189892807596</v>
      </c>
      <c r="H45" s="33">
        <v>59.960120132252086</v>
      </c>
    </row>
    <row r="46" spans="1:9" ht="13.5" thickBot="1" x14ac:dyDescent="0.25">
      <c r="A46" s="56"/>
      <c r="B46" s="42" t="s">
        <v>240</v>
      </c>
      <c r="C46" s="86">
        <v>112.69100087128167</v>
      </c>
      <c r="D46" s="86">
        <v>102.59017692331403</v>
      </c>
      <c r="E46" s="86">
        <v>181.96841620090041</v>
      </c>
      <c r="F46" s="44"/>
      <c r="G46" s="57">
        <v>61.4755524345276</v>
      </c>
      <c r="H46" s="46">
        <v>77.374112861625576</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241</v>
      </c>
      <c r="G61" s="53"/>
      <c r="H61" s="208">
        <v>11</v>
      </c>
    </row>
    <row r="62" spans="1:9" ht="12.75" customHeight="1" x14ac:dyDescent="0.2">
      <c r="A62" s="54" t="s">
        <v>242</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3" t="s">
        <v>1</v>
      </c>
      <c r="H5" s="204"/>
    </row>
    <row r="6" spans="1:8" x14ac:dyDescent="0.2">
      <c r="A6" s="12"/>
      <c r="B6" s="13"/>
      <c r="C6" s="14" t="s">
        <v>234</v>
      </c>
      <c r="D6" s="15" t="s">
        <v>235</v>
      </c>
      <c r="E6" s="15" t="s">
        <v>236</v>
      </c>
      <c r="F6" s="16"/>
      <c r="G6" s="17" t="s">
        <v>237</v>
      </c>
      <c r="H6" s="18" t="s">
        <v>238</v>
      </c>
    </row>
    <row r="7" spans="1:8" ht="12.75" customHeight="1" x14ac:dyDescent="0.2">
      <c r="A7" s="205" t="s">
        <v>26</v>
      </c>
      <c r="B7" s="19" t="s">
        <v>3</v>
      </c>
      <c r="C7" s="20">
        <v>1007651.1441704036</v>
      </c>
      <c r="D7" s="20">
        <v>1089351.9396860986</v>
      </c>
      <c r="E7" s="21">
        <v>1194257.2234980876</v>
      </c>
      <c r="F7" s="22" t="s">
        <v>239</v>
      </c>
      <c r="G7" s="23">
        <v>18.518917028702049</v>
      </c>
      <c r="H7" s="24">
        <v>9.6300635258627096</v>
      </c>
    </row>
    <row r="8" spans="1:8" ht="12.75" customHeight="1" x14ac:dyDescent="0.2">
      <c r="A8" s="206"/>
      <c r="B8" s="25" t="s">
        <v>240</v>
      </c>
      <c r="C8" s="26">
        <v>258318.84641255607</v>
      </c>
      <c r="D8" s="26">
        <v>302387.50433482812</v>
      </c>
      <c r="E8" s="26">
        <v>322603.36023916292</v>
      </c>
      <c r="F8" s="27"/>
      <c r="G8" s="28">
        <v>24.885723484510791</v>
      </c>
      <c r="H8" s="29">
        <v>6.6854137867913295</v>
      </c>
    </row>
    <row r="9" spans="1:8" x14ac:dyDescent="0.2">
      <c r="A9" s="30" t="s">
        <v>34</v>
      </c>
      <c r="B9" s="31" t="s">
        <v>3</v>
      </c>
      <c r="C9" s="20">
        <v>9739.3896000000004</v>
      </c>
      <c r="D9" s="20">
        <v>11274.893599999999</v>
      </c>
      <c r="E9" s="21">
        <v>13566.696963243963</v>
      </c>
      <c r="F9" s="22" t="s">
        <v>239</v>
      </c>
      <c r="G9" s="32">
        <v>39.29719952104557</v>
      </c>
      <c r="H9" s="33">
        <v>20.326607456800858</v>
      </c>
    </row>
    <row r="10" spans="1:8" x14ac:dyDescent="0.2">
      <c r="A10" s="34"/>
      <c r="B10" s="25" t="s">
        <v>240</v>
      </c>
      <c r="C10" s="26">
        <v>2456.0509999999999</v>
      </c>
      <c r="D10" s="26">
        <v>2308.2479000000003</v>
      </c>
      <c r="E10" s="26">
        <v>2963.3062</v>
      </c>
      <c r="F10" s="27"/>
      <c r="G10" s="35">
        <v>20.65328447984183</v>
      </c>
      <c r="H10" s="29">
        <v>28.379027226668313</v>
      </c>
    </row>
    <row r="11" spans="1:8" x14ac:dyDescent="0.2">
      <c r="A11" s="30" t="s">
        <v>35</v>
      </c>
      <c r="B11" s="31" t="s">
        <v>3</v>
      </c>
      <c r="C11" s="20">
        <v>3055.3111680000002</v>
      </c>
      <c r="D11" s="20">
        <v>3253.7914879999998</v>
      </c>
      <c r="E11" s="21">
        <v>3587.330073441346</v>
      </c>
      <c r="F11" s="22" t="s">
        <v>239</v>
      </c>
      <c r="G11" s="37">
        <v>17.412920523889028</v>
      </c>
      <c r="H11" s="33">
        <v>10.250767041202181</v>
      </c>
    </row>
    <row r="12" spans="1:8" x14ac:dyDescent="0.2">
      <c r="A12" s="34"/>
      <c r="B12" s="25" t="s">
        <v>240</v>
      </c>
      <c r="C12" s="26">
        <v>776.76407999999992</v>
      </c>
      <c r="D12" s="26">
        <v>774.339832</v>
      </c>
      <c r="E12" s="26">
        <v>872.30449599999997</v>
      </c>
      <c r="F12" s="27"/>
      <c r="G12" s="28">
        <v>12.299798414983371</v>
      </c>
      <c r="H12" s="29">
        <v>12.651378626225693</v>
      </c>
    </row>
    <row r="13" spans="1:8" x14ac:dyDescent="0.2">
      <c r="A13" s="30" t="s">
        <v>36</v>
      </c>
      <c r="B13" s="31" t="s">
        <v>3</v>
      </c>
      <c r="C13" s="20">
        <v>163023.26144</v>
      </c>
      <c r="D13" s="20">
        <v>170758.00704</v>
      </c>
      <c r="E13" s="21">
        <v>193530.01533500757</v>
      </c>
      <c r="F13" s="22" t="s">
        <v>239</v>
      </c>
      <c r="G13" s="23">
        <v>18.713129418181481</v>
      </c>
      <c r="H13" s="24">
        <v>13.335836304105641</v>
      </c>
    </row>
    <row r="14" spans="1:8" x14ac:dyDescent="0.2">
      <c r="A14" s="34"/>
      <c r="B14" s="25" t="s">
        <v>240</v>
      </c>
      <c r="C14" s="26">
        <v>40784.956399999995</v>
      </c>
      <c r="D14" s="26">
        <v>44449.360226666671</v>
      </c>
      <c r="E14" s="26">
        <v>49706.339013333338</v>
      </c>
      <c r="F14" s="27"/>
      <c r="G14" s="38">
        <v>21.874199216585026</v>
      </c>
      <c r="H14" s="24">
        <v>11.826894155189265</v>
      </c>
    </row>
    <row r="15" spans="1:8" x14ac:dyDescent="0.2">
      <c r="A15" s="30" t="s">
        <v>18</v>
      </c>
      <c r="B15" s="31" t="s">
        <v>3</v>
      </c>
      <c r="C15" s="20">
        <v>3430.3651199999999</v>
      </c>
      <c r="D15" s="20">
        <v>3142.9939199999999</v>
      </c>
      <c r="E15" s="21">
        <v>3431.3367781817474</v>
      </c>
      <c r="F15" s="22" t="s">
        <v>239</v>
      </c>
      <c r="G15" s="37">
        <v>2.8325211683238649E-2</v>
      </c>
      <c r="H15" s="33">
        <v>9.1741462287571807</v>
      </c>
    </row>
    <row r="16" spans="1:8" x14ac:dyDescent="0.2">
      <c r="A16" s="34"/>
      <c r="B16" s="25" t="s">
        <v>240</v>
      </c>
      <c r="C16" s="26">
        <v>804.11719999999991</v>
      </c>
      <c r="D16" s="26">
        <v>774.09987999999998</v>
      </c>
      <c r="E16" s="26">
        <v>831.07464000000004</v>
      </c>
      <c r="F16" s="27"/>
      <c r="G16" s="28">
        <v>3.352426735804201</v>
      </c>
      <c r="H16" s="29">
        <v>7.3601303232342588</v>
      </c>
    </row>
    <row r="17" spans="1:9" x14ac:dyDescent="0.2">
      <c r="A17" s="30" t="s">
        <v>37</v>
      </c>
      <c r="B17" s="31" t="s">
        <v>3</v>
      </c>
      <c r="C17" s="20">
        <v>2376.9667520000003</v>
      </c>
      <c r="D17" s="20">
        <v>2706.1872320000002</v>
      </c>
      <c r="E17" s="21">
        <v>2342.1495885953691</v>
      </c>
      <c r="F17" s="22" t="s">
        <v>239</v>
      </c>
      <c r="G17" s="37">
        <v>-1.4647728402316034</v>
      </c>
      <c r="H17" s="33">
        <v>-13.452049403676696</v>
      </c>
    </row>
    <row r="18" spans="1:9" x14ac:dyDescent="0.2">
      <c r="A18" s="34"/>
      <c r="B18" s="25" t="s">
        <v>240</v>
      </c>
      <c r="C18" s="26">
        <v>486.64612000000005</v>
      </c>
      <c r="D18" s="26">
        <v>527.50974799999995</v>
      </c>
      <c r="E18" s="26">
        <v>463.95674400000001</v>
      </c>
      <c r="F18" s="27"/>
      <c r="G18" s="28">
        <v>-4.6623973905309413</v>
      </c>
      <c r="H18" s="29">
        <v>-12.047740205930751</v>
      </c>
    </row>
    <row r="19" spans="1:9" x14ac:dyDescent="0.2">
      <c r="A19" s="30" t="s">
        <v>38</v>
      </c>
      <c r="B19" s="31" t="s">
        <v>3</v>
      </c>
      <c r="C19" s="20">
        <v>5261.1852799999997</v>
      </c>
      <c r="D19" s="20">
        <v>6141.6524799999997</v>
      </c>
      <c r="E19" s="21">
        <v>8299.3458994950743</v>
      </c>
      <c r="F19" s="22" t="s">
        <v>239</v>
      </c>
      <c r="G19" s="23">
        <v>57.746695046920593</v>
      </c>
      <c r="H19" s="24">
        <v>35.132131401467291</v>
      </c>
    </row>
    <row r="20" spans="1:9" x14ac:dyDescent="0.2">
      <c r="A20" s="30"/>
      <c r="B20" s="25" t="s">
        <v>240</v>
      </c>
      <c r="C20" s="26">
        <v>921.60679999999991</v>
      </c>
      <c r="D20" s="26">
        <v>1069.2330533333334</v>
      </c>
      <c r="E20" s="26">
        <v>1447.8408266666665</v>
      </c>
      <c r="F20" s="27"/>
      <c r="G20" s="38">
        <v>57.099624988299411</v>
      </c>
      <c r="H20" s="24">
        <v>35.409284454219176</v>
      </c>
    </row>
    <row r="21" spans="1:9" x14ac:dyDescent="0.2">
      <c r="A21" s="39" t="s">
        <v>39</v>
      </c>
      <c r="B21" s="31" t="s">
        <v>3</v>
      </c>
      <c r="C21" s="20">
        <v>273815.89087999996</v>
      </c>
      <c r="D21" s="20">
        <v>309577.70208000002</v>
      </c>
      <c r="E21" s="21">
        <v>278954.24458585581</v>
      </c>
      <c r="F21" s="22" t="s">
        <v>239</v>
      </c>
      <c r="G21" s="37">
        <v>1.8765724988940633</v>
      </c>
      <c r="H21" s="33">
        <v>-9.8920100796634927</v>
      </c>
    </row>
    <row r="22" spans="1:9" x14ac:dyDescent="0.2">
      <c r="A22" s="34"/>
      <c r="B22" s="25" t="s">
        <v>240</v>
      </c>
      <c r="C22" s="26">
        <v>71532.742800000007</v>
      </c>
      <c r="D22" s="26">
        <v>81610.894119999997</v>
      </c>
      <c r="E22" s="26">
        <v>73315.657359999997</v>
      </c>
      <c r="F22" s="27"/>
      <c r="G22" s="28">
        <v>2.4924454036173103</v>
      </c>
      <c r="H22" s="29">
        <v>-10.16437431478542</v>
      </c>
    </row>
    <row r="23" spans="1:9" x14ac:dyDescent="0.2">
      <c r="A23" s="39" t="s">
        <v>40</v>
      </c>
      <c r="B23" s="31" t="s">
        <v>3</v>
      </c>
      <c r="C23" s="20">
        <v>254072.55840000001</v>
      </c>
      <c r="D23" s="20">
        <v>277481.57439999998</v>
      </c>
      <c r="E23" s="21">
        <v>340419.39174296445</v>
      </c>
      <c r="F23" s="22" t="s">
        <v>239</v>
      </c>
      <c r="G23" s="23">
        <v>33.985107989121758</v>
      </c>
      <c r="H23" s="24">
        <v>22.681800576869037</v>
      </c>
    </row>
    <row r="24" spans="1:9" x14ac:dyDescent="0.2">
      <c r="A24" s="34"/>
      <c r="B24" s="25" t="s">
        <v>240</v>
      </c>
      <c r="C24" s="26">
        <v>65414.204000000005</v>
      </c>
      <c r="D24" s="26">
        <v>77416.991600000008</v>
      </c>
      <c r="E24" s="26">
        <v>92400.224800000011</v>
      </c>
      <c r="F24" s="27"/>
      <c r="G24" s="38">
        <v>41.254068917509102</v>
      </c>
      <c r="H24" s="24">
        <v>19.353933665384119</v>
      </c>
    </row>
    <row r="25" spans="1:9" x14ac:dyDescent="0.2">
      <c r="A25" s="30" t="s">
        <v>41</v>
      </c>
      <c r="B25" s="31" t="s">
        <v>3</v>
      </c>
      <c r="C25" s="20">
        <v>347911.86359999998</v>
      </c>
      <c r="D25" s="20">
        <v>385567.62760000001</v>
      </c>
      <c r="E25" s="21">
        <v>456417.76351896086</v>
      </c>
      <c r="F25" s="22" t="s">
        <v>239</v>
      </c>
      <c r="G25" s="37">
        <v>31.187755081474279</v>
      </c>
      <c r="H25" s="33">
        <v>18.375540591925159</v>
      </c>
    </row>
    <row r="26" spans="1:9" x14ac:dyDescent="0.2">
      <c r="A26" s="34"/>
      <c r="B26" s="25" t="s">
        <v>240</v>
      </c>
      <c r="C26" s="26">
        <v>87411.178500000009</v>
      </c>
      <c r="D26" s="26">
        <v>107066.86765</v>
      </c>
      <c r="E26" s="26">
        <v>122445.57169999999</v>
      </c>
      <c r="F26" s="27"/>
      <c r="G26" s="28">
        <v>40.079991828505058</v>
      </c>
      <c r="H26" s="29">
        <v>14.3636443164404</v>
      </c>
    </row>
    <row r="27" spans="1:9" x14ac:dyDescent="0.2">
      <c r="A27" s="30" t="s">
        <v>24</v>
      </c>
      <c r="B27" s="31" t="s">
        <v>3</v>
      </c>
      <c r="C27" s="20">
        <v>229188.70559999999</v>
      </c>
      <c r="D27" s="20">
        <v>232467.0496</v>
      </c>
      <c r="E27" s="21">
        <v>290350.78101835772</v>
      </c>
      <c r="F27" s="22" t="s">
        <v>239</v>
      </c>
      <c r="G27" s="23">
        <v>26.686339214770499</v>
      </c>
      <c r="H27" s="24">
        <v>24.899757414204188</v>
      </c>
    </row>
    <row r="28" spans="1:9" ht="13.5" thickBot="1" x14ac:dyDescent="0.25">
      <c r="A28" s="56"/>
      <c r="B28" s="42" t="s">
        <v>240</v>
      </c>
      <c r="C28" s="43">
        <v>53985.135999999999</v>
      </c>
      <c r="D28" s="43">
        <v>59030.661066666667</v>
      </c>
      <c r="E28" s="43">
        <v>71859.816533333331</v>
      </c>
      <c r="F28" s="44"/>
      <c r="G28" s="57">
        <v>33.110374183985272</v>
      </c>
      <c r="H28" s="46">
        <v>21.73303709436351</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234</v>
      </c>
      <c r="D34" s="15" t="s">
        <v>235</v>
      </c>
      <c r="E34" s="15" t="s">
        <v>236</v>
      </c>
      <c r="F34" s="16"/>
      <c r="G34" s="17" t="s">
        <v>237</v>
      </c>
      <c r="H34" s="18" t="s">
        <v>238</v>
      </c>
    </row>
    <row r="35" spans="1:8" ht="12.75" customHeight="1" x14ac:dyDescent="0.2">
      <c r="A35" s="205" t="s">
        <v>26</v>
      </c>
      <c r="B35" s="19" t="s">
        <v>3</v>
      </c>
      <c r="C35" s="80">
        <v>18490.436763405316</v>
      </c>
      <c r="D35" s="80">
        <v>22049.628682232047</v>
      </c>
      <c r="E35" s="83">
        <v>27213.686432075974</v>
      </c>
      <c r="F35" s="22" t="s">
        <v>239</v>
      </c>
      <c r="G35" s="23">
        <v>47.177088244529557</v>
      </c>
      <c r="H35" s="24">
        <v>23.420157428797012</v>
      </c>
    </row>
    <row r="36" spans="1:8" ht="12.75" customHeight="1" x14ac:dyDescent="0.2">
      <c r="A36" s="206"/>
      <c r="B36" s="25" t="s">
        <v>240</v>
      </c>
      <c r="C36" s="82">
        <v>4836.7416705058095</v>
      </c>
      <c r="D36" s="82">
        <v>5502.865890113907</v>
      </c>
      <c r="E36" s="82">
        <v>6897.2338808247232</v>
      </c>
      <c r="F36" s="27"/>
      <c r="G36" s="28">
        <v>42.600832351326176</v>
      </c>
      <c r="H36" s="29">
        <v>25.338941899635373</v>
      </c>
    </row>
    <row r="37" spans="1:8" x14ac:dyDescent="0.2">
      <c r="A37" s="30" t="s">
        <v>34</v>
      </c>
      <c r="B37" s="31" t="s">
        <v>3</v>
      </c>
      <c r="C37" s="84">
        <v>1443.3068707258926</v>
      </c>
      <c r="D37" s="84">
        <v>1584.7216975156934</v>
      </c>
      <c r="E37" s="83">
        <v>2151.7320011793577</v>
      </c>
      <c r="F37" s="22" t="s">
        <v>239</v>
      </c>
      <c r="G37" s="32">
        <v>49.083472463286455</v>
      </c>
      <c r="H37" s="33">
        <v>35.779803138465525</v>
      </c>
    </row>
    <row r="38" spans="1:8" x14ac:dyDescent="0.2">
      <c r="A38" s="34"/>
      <c r="B38" s="25" t="s">
        <v>240</v>
      </c>
      <c r="C38" s="82">
        <v>468.53825106331908</v>
      </c>
      <c r="D38" s="82">
        <v>501.45797841085488</v>
      </c>
      <c r="E38" s="82">
        <v>686.65703063907824</v>
      </c>
      <c r="F38" s="27"/>
      <c r="G38" s="35">
        <v>46.553035761915254</v>
      </c>
      <c r="H38" s="29">
        <v>36.932117984268245</v>
      </c>
    </row>
    <row r="39" spans="1:8" x14ac:dyDescent="0.2">
      <c r="A39" s="30" t="s">
        <v>35</v>
      </c>
      <c r="B39" s="31" t="s">
        <v>3</v>
      </c>
      <c r="C39" s="84">
        <v>41.666176525629631</v>
      </c>
      <c r="D39" s="84">
        <v>45.592377946069092</v>
      </c>
      <c r="E39" s="83">
        <v>47.672023841957689</v>
      </c>
      <c r="F39" s="22" t="s">
        <v>239</v>
      </c>
      <c r="G39" s="37">
        <v>14.414203119006501</v>
      </c>
      <c r="H39" s="33">
        <v>4.5613894023000796</v>
      </c>
    </row>
    <row r="40" spans="1:8" x14ac:dyDescent="0.2">
      <c r="A40" s="34"/>
      <c r="B40" s="25" t="s">
        <v>240</v>
      </c>
      <c r="C40" s="82">
        <v>19.136659913184879</v>
      </c>
      <c r="D40" s="82">
        <v>18.319662236732114</v>
      </c>
      <c r="E40" s="82">
        <v>19.989047208934217</v>
      </c>
      <c r="F40" s="27"/>
      <c r="G40" s="28">
        <v>4.454211443461233</v>
      </c>
      <c r="H40" s="29">
        <v>9.1125313918445414</v>
      </c>
    </row>
    <row r="41" spans="1:8" x14ac:dyDescent="0.2">
      <c r="A41" s="30" t="s">
        <v>36</v>
      </c>
      <c r="B41" s="31" t="s">
        <v>3</v>
      </c>
      <c r="C41" s="84">
        <v>3082.5553135392306</v>
      </c>
      <c r="D41" s="84">
        <v>3508.0660469130225</v>
      </c>
      <c r="E41" s="83">
        <v>4278.3707016530607</v>
      </c>
      <c r="F41" s="22" t="s">
        <v>239</v>
      </c>
      <c r="G41" s="23">
        <v>38.792990440805966</v>
      </c>
      <c r="H41" s="24">
        <v>21.958100116669115</v>
      </c>
    </row>
    <row r="42" spans="1:8" x14ac:dyDescent="0.2">
      <c r="A42" s="34"/>
      <c r="B42" s="25" t="s">
        <v>240</v>
      </c>
      <c r="C42" s="82">
        <v>721.78192224616896</v>
      </c>
      <c r="D42" s="82">
        <v>738.33801636482781</v>
      </c>
      <c r="E42" s="82">
        <v>931.87959657908618</v>
      </c>
      <c r="F42" s="27"/>
      <c r="G42" s="38">
        <v>29.108192912216197</v>
      </c>
      <c r="H42" s="24">
        <v>26.21314031304405</v>
      </c>
    </row>
    <row r="43" spans="1:8" x14ac:dyDescent="0.2">
      <c r="A43" s="30" t="s">
        <v>18</v>
      </c>
      <c r="B43" s="31" t="s">
        <v>3</v>
      </c>
      <c r="C43" s="84">
        <v>314.01071525743106</v>
      </c>
      <c r="D43" s="84">
        <v>285.96684758238609</v>
      </c>
      <c r="E43" s="83">
        <v>447.23262832978673</v>
      </c>
      <c r="F43" s="22" t="s">
        <v>239</v>
      </c>
      <c r="G43" s="37">
        <v>42.425913065781288</v>
      </c>
      <c r="H43" s="33">
        <v>56.393173583151281</v>
      </c>
    </row>
    <row r="44" spans="1:8" x14ac:dyDescent="0.2">
      <c r="A44" s="34"/>
      <c r="B44" s="25" t="s">
        <v>240</v>
      </c>
      <c r="C44" s="82">
        <v>65.318115641068118</v>
      </c>
      <c r="D44" s="82">
        <v>63.001375513191135</v>
      </c>
      <c r="E44" s="82">
        <v>96.625680848188594</v>
      </c>
      <c r="F44" s="27"/>
      <c r="G44" s="28">
        <v>47.930906915869684</v>
      </c>
      <c r="H44" s="29">
        <v>53.370747957649343</v>
      </c>
    </row>
    <row r="45" spans="1:8" x14ac:dyDescent="0.2">
      <c r="A45" s="30" t="s">
        <v>37</v>
      </c>
      <c r="B45" s="31" t="s">
        <v>3</v>
      </c>
      <c r="C45" s="84">
        <v>122.80734853914599</v>
      </c>
      <c r="D45" s="84">
        <v>124.042723052078</v>
      </c>
      <c r="E45" s="83">
        <v>132.20423559956683</v>
      </c>
      <c r="F45" s="22" t="s">
        <v>239</v>
      </c>
      <c r="G45" s="37">
        <v>7.6517302687513933</v>
      </c>
      <c r="H45" s="33">
        <v>6.5795980180653544</v>
      </c>
    </row>
    <row r="46" spans="1:8" x14ac:dyDescent="0.2">
      <c r="A46" s="34"/>
      <c r="B46" s="25" t="s">
        <v>240</v>
      </c>
      <c r="C46" s="82">
        <v>20.511045043867568</v>
      </c>
      <c r="D46" s="82">
        <v>21.735197675149074</v>
      </c>
      <c r="E46" s="82">
        <v>22.792036735518479</v>
      </c>
      <c r="F46" s="27"/>
      <c r="G46" s="28">
        <v>11.12079704750532</v>
      </c>
      <c r="H46" s="29">
        <v>4.8623393086401023</v>
      </c>
    </row>
    <row r="47" spans="1:8" x14ac:dyDescent="0.2">
      <c r="A47" s="30" t="s">
        <v>38</v>
      </c>
      <c r="B47" s="31" t="s">
        <v>3</v>
      </c>
      <c r="C47" s="84">
        <v>125.34639853072574</v>
      </c>
      <c r="D47" s="84">
        <v>196.64701799581553</v>
      </c>
      <c r="E47" s="83">
        <v>397.79228196217503</v>
      </c>
      <c r="F47" s="22" t="s">
        <v>239</v>
      </c>
      <c r="G47" s="23">
        <v>217.35437685085583</v>
      </c>
      <c r="H47" s="24">
        <v>102.28747225174791</v>
      </c>
    </row>
    <row r="48" spans="1:8" x14ac:dyDescent="0.2">
      <c r="A48" s="30"/>
      <c r="B48" s="25" t="s">
        <v>240</v>
      </c>
      <c r="C48" s="82">
        <v>19.326624242414283</v>
      </c>
      <c r="D48" s="82">
        <v>25.741570986342872</v>
      </c>
      <c r="E48" s="82">
        <v>54.831998819700281</v>
      </c>
      <c r="F48" s="27"/>
      <c r="G48" s="38">
        <v>183.71224137201244</v>
      </c>
      <c r="H48" s="24">
        <v>113.00952785201522</v>
      </c>
    </row>
    <row r="49" spans="1:9" x14ac:dyDescent="0.2">
      <c r="A49" s="39" t="s">
        <v>39</v>
      </c>
      <c r="B49" s="31" t="s">
        <v>3</v>
      </c>
      <c r="C49" s="84">
        <v>1748.7140824068442</v>
      </c>
      <c r="D49" s="84">
        <v>2094.4640437700255</v>
      </c>
      <c r="E49" s="83">
        <v>2316.4167978567748</v>
      </c>
      <c r="F49" s="22" t="s">
        <v>239</v>
      </c>
      <c r="G49" s="37">
        <v>32.464010049520056</v>
      </c>
      <c r="H49" s="33">
        <v>10.597114557633347</v>
      </c>
    </row>
    <row r="50" spans="1:9" x14ac:dyDescent="0.2">
      <c r="A50" s="34"/>
      <c r="B50" s="25" t="s">
        <v>240</v>
      </c>
      <c r="C50" s="82">
        <v>409.60663645313161</v>
      </c>
      <c r="D50" s="82">
        <v>478.46245091077117</v>
      </c>
      <c r="E50" s="82">
        <v>533.56324206124907</v>
      </c>
      <c r="F50" s="27"/>
      <c r="G50" s="28">
        <v>30.26235284698592</v>
      </c>
      <c r="H50" s="29">
        <v>11.51622056142368</v>
      </c>
    </row>
    <row r="51" spans="1:9" x14ac:dyDescent="0.2">
      <c r="A51" s="39" t="s">
        <v>40</v>
      </c>
      <c r="B51" s="31" t="s">
        <v>3</v>
      </c>
      <c r="C51" s="84">
        <v>1007.359069460327</v>
      </c>
      <c r="D51" s="84">
        <v>1183.8289694558948</v>
      </c>
      <c r="E51" s="83">
        <v>1467.8770059825042</v>
      </c>
      <c r="F51" s="22" t="s">
        <v>239</v>
      </c>
      <c r="G51" s="23">
        <v>45.715371061173926</v>
      </c>
      <c r="H51" s="24">
        <v>23.994009595588977</v>
      </c>
    </row>
    <row r="52" spans="1:9" x14ac:dyDescent="0.2">
      <c r="A52" s="34"/>
      <c r="B52" s="25" t="s">
        <v>240</v>
      </c>
      <c r="C52" s="82">
        <v>279.99964995103835</v>
      </c>
      <c r="D52" s="82">
        <v>292.87928615016853</v>
      </c>
      <c r="E52" s="82">
        <v>376.96543692144456</v>
      </c>
      <c r="F52" s="27"/>
      <c r="G52" s="38">
        <v>34.630681498124005</v>
      </c>
      <c r="H52" s="24">
        <v>28.710173353865116</v>
      </c>
    </row>
    <row r="53" spans="1:9" x14ac:dyDescent="0.2">
      <c r="A53" s="30" t="s">
        <v>41</v>
      </c>
      <c r="B53" s="31" t="s">
        <v>3</v>
      </c>
      <c r="C53" s="84">
        <v>9064.4978353798924</v>
      </c>
      <c r="D53" s="84">
        <v>11046.990298247616</v>
      </c>
      <c r="E53" s="83">
        <v>13452.274168698026</v>
      </c>
      <c r="F53" s="22" t="s">
        <v>239</v>
      </c>
      <c r="G53" s="37">
        <v>48.406171119508485</v>
      </c>
      <c r="H53" s="33">
        <v>21.773205239729052</v>
      </c>
    </row>
    <row r="54" spans="1:9" x14ac:dyDescent="0.2">
      <c r="A54" s="34"/>
      <c r="B54" s="25" t="s">
        <v>240</v>
      </c>
      <c r="C54" s="82">
        <v>2461.2976853847758</v>
      </c>
      <c r="D54" s="82">
        <v>2903.754544556105</v>
      </c>
      <c r="E54" s="82">
        <v>3574.0647539827446</v>
      </c>
      <c r="F54" s="27"/>
      <c r="G54" s="28">
        <v>45.210584449235739</v>
      </c>
      <c r="H54" s="29">
        <v>23.084258643118517</v>
      </c>
    </row>
    <row r="55" spans="1:9" x14ac:dyDescent="0.2">
      <c r="A55" s="30" t="s">
        <v>24</v>
      </c>
      <c r="B55" s="31" t="s">
        <v>3</v>
      </c>
      <c r="C55" s="84">
        <v>1540.1729530401956</v>
      </c>
      <c r="D55" s="84">
        <v>1979.3086597534448</v>
      </c>
      <c r="E55" s="83">
        <v>2553.431394830016</v>
      </c>
      <c r="F55" s="22" t="s">
        <v>239</v>
      </c>
      <c r="G55" s="23">
        <v>65.788614180616378</v>
      </c>
      <c r="H55" s="24">
        <v>29.006225595359524</v>
      </c>
    </row>
    <row r="56" spans="1:9" ht="13.5" thickBot="1" x14ac:dyDescent="0.25">
      <c r="A56" s="56"/>
      <c r="B56" s="42" t="s">
        <v>240</v>
      </c>
      <c r="C56" s="86">
        <v>371.2250805668408</v>
      </c>
      <c r="D56" s="86">
        <v>459.17580730976516</v>
      </c>
      <c r="E56" s="86">
        <v>599.86505702878162</v>
      </c>
      <c r="F56" s="44"/>
      <c r="G56" s="57">
        <v>61.590659799391744</v>
      </c>
      <c r="H56" s="46">
        <v>30.639517038863914</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241</v>
      </c>
      <c r="H61" s="200">
        <v>12</v>
      </c>
    </row>
    <row r="62" spans="1:9" ht="12.75" customHeight="1" x14ac:dyDescent="0.2">
      <c r="A62" s="54" t="s">
        <v>242</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3" t="s">
        <v>1</v>
      </c>
      <c r="H5" s="204"/>
    </row>
    <row r="6" spans="1:8" x14ac:dyDescent="0.2">
      <c r="A6" s="12"/>
      <c r="B6" s="13"/>
      <c r="C6" s="14" t="s">
        <v>234</v>
      </c>
      <c r="D6" s="15" t="s">
        <v>235</v>
      </c>
      <c r="E6" s="15" t="s">
        <v>236</v>
      </c>
      <c r="F6" s="16"/>
      <c r="G6" s="17" t="s">
        <v>237</v>
      </c>
      <c r="H6" s="18" t="s">
        <v>238</v>
      </c>
    </row>
    <row r="7" spans="1:8" x14ac:dyDescent="0.2">
      <c r="A7" s="205" t="s">
        <v>17</v>
      </c>
      <c r="B7" s="19" t="s">
        <v>3</v>
      </c>
      <c r="C7" s="20">
        <v>410835.95298472245</v>
      </c>
      <c r="D7" s="20">
        <v>447459.5255934007</v>
      </c>
      <c r="E7" s="21">
        <v>531802.30377404776</v>
      </c>
      <c r="F7" s="22" t="s">
        <v>239</v>
      </c>
      <c r="G7" s="23">
        <v>29.443954432542967</v>
      </c>
      <c r="H7" s="24">
        <v>18.849253028817643</v>
      </c>
    </row>
    <row r="8" spans="1:8" x14ac:dyDescent="0.2">
      <c r="A8" s="206"/>
      <c r="B8" s="25" t="s">
        <v>240</v>
      </c>
      <c r="C8" s="26">
        <v>97565.925181813436</v>
      </c>
      <c r="D8" s="26">
        <v>102709.67189870769</v>
      </c>
      <c r="E8" s="26">
        <v>123445.77456879262</v>
      </c>
      <c r="F8" s="27"/>
      <c r="G8" s="28">
        <v>26.52549990045425</v>
      </c>
      <c r="H8" s="29">
        <v>20.189045770231729</v>
      </c>
    </row>
    <row r="9" spans="1:8" x14ac:dyDescent="0.2">
      <c r="A9" s="30" t="s">
        <v>18</v>
      </c>
      <c r="B9" s="31" t="s">
        <v>3</v>
      </c>
      <c r="C9" s="20">
        <v>26681.577400472866</v>
      </c>
      <c r="D9" s="20">
        <v>27245.22008695652</v>
      </c>
      <c r="E9" s="21">
        <v>34372.427003849669</v>
      </c>
      <c r="F9" s="22" t="s">
        <v>239</v>
      </c>
      <c r="G9" s="32">
        <v>28.824568682511625</v>
      </c>
      <c r="H9" s="33">
        <v>26.159476393091268</v>
      </c>
    </row>
    <row r="10" spans="1:8" x14ac:dyDescent="0.2">
      <c r="A10" s="34"/>
      <c r="B10" s="25" t="s">
        <v>240</v>
      </c>
      <c r="C10" s="26">
        <v>5821.0840652173911</v>
      </c>
      <c r="D10" s="26">
        <v>5430.4458695652174</v>
      </c>
      <c r="E10" s="26">
        <v>7054.1993000000002</v>
      </c>
      <c r="F10" s="27"/>
      <c r="G10" s="35">
        <v>21.183601215292839</v>
      </c>
      <c r="H10" s="29">
        <v>29.9009228604057</v>
      </c>
    </row>
    <row r="11" spans="1:8" x14ac:dyDescent="0.2">
      <c r="A11" s="30" t="s">
        <v>19</v>
      </c>
      <c r="B11" s="31" t="s">
        <v>3</v>
      </c>
      <c r="C11" s="20">
        <v>67739.591334909564</v>
      </c>
      <c r="D11" s="20">
        <v>83605.066956521739</v>
      </c>
      <c r="E11" s="21">
        <v>134211.53336436726</v>
      </c>
      <c r="F11" s="22" t="s">
        <v>239</v>
      </c>
      <c r="G11" s="37">
        <v>98.128643411525019</v>
      </c>
      <c r="H11" s="33">
        <v>60.530382009218528</v>
      </c>
    </row>
    <row r="12" spans="1:8" x14ac:dyDescent="0.2">
      <c r="A12" s="34"/>
      <c r="B12" s="25" t="s">
        <v>240</v>
      </c>
      <c r="C12" s="26">
        <v>18215.280217391308</v>
      </c>
      <c r="D12" s="26">
        <v>19740.819565217393</v>
      </c>
      <c r="E12" s="26">
        <v>33032.330999999998</v>
      </c>
      <c r="F12" s="27"/>
      <c r="G12" s="28">
        <v>81.344072700357856</v>
      </c>
      <c r="H12" s="29">
        <v>67.330089264387823</v>
      </c>
    </row>
    <row r="13" spans="1:8" x14ac:dyDescent="0.2">
      <c r="A13" s="30" t="s">
        <v>20</v>
      </c>
      <c r="B13" s="31" t="s">
        <v>3</v>
      </c>
      <c r="C13" s="20">
        <v>37706.710159480746</v>
      </c>
      <c r="D13" s="20">
        <v>38293.936645962734</v>
      </c>
      <c r="E13" s="21">
        <v>42430.068328307483</v>
      </c>
      <c r="F13" s="22" t="s">
        <v>239</v>
      </c>
      <c r="G13" s="23">
        <v>12.526571925392773</v>
      </c>
      <c r="H13" s="24">
        <v>10.80100936235506</v>
      </c>
    </row>
    <row r="14" spans="1:8" x14ac:dyDescent="0.2">
      <c r="A14" s="34"/>
      <c r="B14" s="25" t="s">
        <v>240</v>
      </c>
      <c r="C14" s="26">
        <v>6185.4667701863355</v>
      </c>
      <c r="D14" s="26">
        <v>6916.8664596273293</v>
      </c>
      <c r="E14" s="26">
        <v>7414.11</v>
      </c>
      <c r="F14" s="27"/>
      <c r="G14" s="38">
        <v>19.863387444512142</v>
      </c>
      <c r="H14" s="24">
        <v>7.1888555789677753</v>
      </c>
    </row>
    <row r="15" spans="1:8" x14ac:dyDescent="0.2">
      <c r="A15" s="30" t="s">
        <v>21</v>
      </c>
      <c r="B15" s="31" t="s">
        <v>3</v>
      </c>
      <c r="C15" s="20">
        <v>7842.2487965152177</v>
      </c>
      <c r="D15" s="20">
        <v>8856.8981884057976</v>
      </c>
      <c r="E15" s="21">
        <v>10348.278702355035</v>
      </c>
      <c r="F15" s="22" t="s">
        <v>239</v>
      </c>
      <c r="G15" s="37">
        <v>31.955501168917237</v>
      </c>
      <c r="H15" s="33">
        <v>16.838632241494466</v>
      </c>
    </row>
    <row r="16" spans="1:8" x14ac:dyDescent="0.2">
      <c r="A16" s="34"/>
      <c r="B16" s="25" t="s">
        <v>240</v>
      </c>
      <c r="C16" s="26">
        <v>1706.7611413043478</v>
      </c>
      <c r="D16" s="26">
        <v>1845.0027173913043</v>
      </c>
      <c r="E16" s="26">
        <v>2186.9070833333335</v>
      </c>
      <c r="F16" s="27"/>
      <c r="G16" s="28">
        <v>28.131994009545281</v>
      </c>
      <c r="H16" s="29">
        <v>18.531374654312515</v>
      </c>
    </row>
    <row r="17" spans="1:8" x14ac:dyDescent="0.2">
      <c r="A17" s="30" t="s">
        <v>22</v>
      </c>
      <c r="B17" s="31" t="s">
        <v>3</v>
      </c>
      <c r="C17" s="20">
        <v>8809.2487965152177</v>
      </c>
      <c r="D17" s="20">
        <v>10473.898188405798</v>
      </c>
      <c r="E17" s="21">
        <v>11683.821808197528</v>
      </c>
      <c r="F17" s="22" t="s">
        <v>239</v>
      </c>
      <c r="G17" s="37">
        <v>32.63130691483525</v>
      </c>
      <c r="H17" s="33">
        <v>11.551798557017378</v>
      </c>
    </row>
    <row r="18" spans="1:8" x14ac:dyDescent="0.2">
      <c r="A18" s="34"/>
      <c r="B18" s="25" t="s">
        <v>240</v>
      </c>
      <c r="C18" s="26">
        <v>1640.7611413043478</v>
      </c>
      <c r="D18" s="26">
        <v>1675.0027173913043</v>
      </c>
      <c r="E18" s="26">
        <v>1960.9070833333333</v>
      </c>
      <c r="F18" s="27"/>
      <c r="G18" s="28">
        <v>19.512038283310432</v>
      </c>
      <c r="H18" s="29">
        <v>17.068889678418216</v>
      </c>
    </row>
    <row r="19" spans="1:8" x14ac:dyDescent="0.2">
      <c r="A19" s="30" t="s">
        <v>189</v>
      </c>
      <c r="B19" s="31" t="s">
        <v>3</v>
      </c>
      <c r="C19" s="20">
        <v>225820.27539870187</v>
      </c>
      <c r="D19" s="20">
        <v>236177.84161490682</v>
      </c>
      <c r="E19" s="21">
        <v>268656.94262256747</v>
      </c>
      <c r="F19" s="22" t="s">
        <v>239</v>
      </c>
      <c r="G19" s="23">
        <v>18.969362759050028</v>
      </c>
      <c r="H19" s="24">
        <v>13.75196791772639</v>
      </c>
    </row>
    <row r="20" spans="1:8" x14ac:dyDescent="0.2">
      <c r="A20" s="30"/>
      <c r="B20" s="25" t="s">
        <v>240</v>
      </c>
      <c r="C20" s="26">
        <v>53667.666925465841</v>
      </c>
      <c r="D20" s="26">
        <v>50086.166149068325</v>
      </c>
      <c r="E20" s="26">
        <v>59094.774999999994</v>
      </c>
      <c r="F20" s="27"/>
      <c r="G20" s="38">
        <v>10.112435262131612</v>
      </c>
      <c r="H20" s="24">
        <v>17.986221632775639</v>
      </c>
    </row>
    <row r="21" spans="1:8" x14ac:dyDescent="0.2">
      <c r="A21" s="39" t="s">
        <v>12</v>
      </c>
      <c r="B21" s="31" t="s">
        <v>3</v>
      </c>
      <c r="C21" s="20">
        <v>2373.5492779091301</v>
      </c>
      <c r="D21" s="20">
        <v>2694.338913043478</v>
      </c>
      <c r="E21" s="21">
        <v>3748.6663463464279</v>
      </c>
      <c r="F21" s="22" t="s">
        <v>239</v>
      </c>
      <c r="G21" s="37">
        <v>57.935054529335247</v>
      </c>
      <c r="H21" s="33">
        <v>39.131210561480572</v>
      </c>
    </row>
    <row r="22" spans="1:8" x14ac:dyDescent="0.2">
      <c r="A22" s="34"/>
      <c r="B22" s="25" t="s">
        <v>240</v>
      </c>
      <c r="C22" s="26">
        <v>537.85668478260868</v>
      </c>
      <c r="D22" s="26">
        <v>365.40163043478259</v>
      </c>
      <c r="E22" s="26">
        <v>586.94425000000001</v>
      </c>
      <c r="F22" s="27"/>
      <c r="G22" s="28">
        <v>9.1265139220555653</v>
      </c>
      <c r="H22" s="29">
        <v>60.629893550723693</v>
      </c>
    </row>
    <row r="23" spans="1:8" x14ac:dyDescent="0.2">
      <c r="A23" s="39" t="s">
        <v>23</v>
      </c>
      <c r="B23" s="31" t="s">
        <v>3</v>
      </c>
      <c r="C23" s="20">
        <v>12585.248796515218</v>
      </c>
      <c r="D23" s="20">
        <v>12308.898188405798</v>
      </c>
      <c r="E23" s="21">
        <v>11399.902220413845</v>
      </c>
      <c r="F23" s="22" t="s">
        <v>239</v>
      </c>
      <c r="G23" s="23">
        <v>-9.418539079097016</v>
      </c>
      <c r="H23" s="24">
        <v>-7.3848686866885345</v>
      </c>
    </row>
    <row r="24" spans="1:8" x14ac:dyDescent="0.2">
      <c r="A24" s="34"/>
      <c r="B24" s="25" t="s">
        <v>240</v>
      </c>
      <c r="C24" s="26">
        <v>3311.7611413043478</v>
      </c>
      <c r="D24" s="26">
        <v>3334.0027173913045</v>
      </c>
      <c r="E24" s="26">
        <v>3057.907083333333</v>
      </c>
      <c r="F24" s="27"/>
      <c r="G24" s="28">
        <v>-7.6652284733020792</v>
      </c>
      <c r="H24" s="29">
        <v>-8.2812060295500629</v>
      </c>
    </row>
    <row r="25" spans="1:8" x14ac:dyDescent="0.2">
      <c r="A25" s="30" t="s">
        <v>24</v>
      </c>
      <c r="B25" s="31" t="s">
        <v>3</v>
      </c>
      <c r="C25" s="20">
        <v>35015.497593030435</v>
      </c>
      <c r="D25" s="20">
        <v>44982.796376811588</v>
      </c>
      <c r="E25" s="21">
        <v>44120.396000135894</v>
      </c>
      <c r="F25" s="22" t="s">
        <v>239</v>
      </c>
      <c r="G25" s="23">
        <v>26.00248185225766</v>
      </c>
      <c r="H25" s="24">
        <v>-1.9171782239848767</v>
      </c>
    </row>
    <row r="26" spans="1:8" ht="13.5" thickBot="1" x14ac:dyDescent="0.25">
      <c r="A26" s="41"/>
      <c r="B26" s="42" t="s">
        <v>240</v>
      </c>
      <c r="C26" s="43">
        <v>10472.522282608696</v>
      </c>
      <c r="D26" s="43">
        <v>16424.005434782608</v>
      </c>
      <c r="E26" s="43">
        <v>15004.814166666667</v>
      </c>
      <c r="F26" s="44"/>
      <c r="G26" s="45">
        <v>43.277939752723853</v>
      </c>
      <c r="H26" s="46">
        <v>-8.6409571267578258</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234</v>
      </c>
      <c r="D34" s="15" t="s">
        <v>235</v>
      </c>
      <c r="E34" s="15" t="s">
        <v>236</v>
      </c>
      <c r="F34" s="16"/>
      <c r="G34" s="17" t="s">
        <v>237</v>
      </c>
      <c r="H34" s="18" t="s">
        <v>238</v>
      </c>
    </row>
    <row r="35" spans="1:8" x14ac:dyDescent="0.2">
      <c r="A35" s="205" t="s">
        <v>17</v>
      </c>
      <c r="B35" s="19" t="s">
        <v>3</v>
      </c>
      <c r="C35" s="80">
        <v>9776.7076031225206</v>
      </c>
      <c r="D35" s="80">
        <v>12630.225692452103</v>
      </c>
      <c r="E35" s="83">
        <v>18056.997336339948</v>
      </c>
      <c r="F35" s="22" t="s">
        <v>239</v>
      </c>
      <c r="G35" s="23">
        <v>84.694051099296843</v>
      </c>
      <c r="H35" s="24">
        <v>42.966545301964914</v>
      </c>
    </row>
    <row r="36" spans="1:8" x14ac:dyDescent="0.2">
      <c r="A36" s="206"/>
      <c r="B36" s="25" t="s">
        <v>240</v>
      </c>
      <c r="C36" s="82">
        <v>2505.6769390314967</v>
      </c>
      <c r="D36" s="82">
        <v>2558.3572859548394</v>
      </c>
      <c r="E36" s="82">
        <v>3932.4092415218524</v>
      </c>
      <c r="F36" s="27"/>
      <c r="G36" s="28">
        <v>56.939994149518014</v>
      </c>
      <c r="H36" s="29">
        <v>53.7083683780385</v>
      </c>
    </row>
    <row r="37" spans="1:8" x14ac:dyDescent="0.2">
      <c r="A37" s="30" t="s">
        <v>18</v>
      </c>
      <c r="B37" s="31" t="s">
        <v>3</v>
      </c>
      <c r="C37" s="80">
        <v>3285.2269166847309</v>
      </c>
      <c r="D37" s="80">
        <v>3546.6055554460677</v>
      </c>
      <c r="E37" s="83">
        <v>4841.73367908819</v>
      </c>
      <c r="F37" s="22" t="s">
        <v>239</v>
      </c>
      <c r="G37" s="32">
        <v>47.378972651733903</v>
      </c>
      <c r="H37" s="33">
        <v>36.517399620416199</v>
      </c>
    </row>
    <row r="38" spans="1:8" x14ac:dyDescent="0.2">
      <c r="A38" s="34"/>
      <c r="B38" s="25" t="s">
        <v>240</v>
      </c>
      <c r="C38" s="82">
        <v>790.9520278410497</v>
      </c>
      <c r="D38" s="82">
        <v>680.07796912302081</v>
      </c>
      <c r="E38" s="82">
        <v>996.00195192763044</v>
      </c>
      <c r="F38" s="27"/>
      <c r="G38" s="35">
        <v>25.924445082500981</v>
      </c>
      <c r="H38" s="29">
        <v>46.454082788772354</v>
      </c>
    </row>
    <row r="39" spans="1:8" x14ac:dyDescent="0.2">
      <c r="A39" s="30" t="s">
        <v>19</v>
      </c>
      <c r="B39" s="31" t="s">
        <v>3</v>
      </c>
      <c r="C39" s="80">
        <v>3364.3179120241448</v>
      </c>
      <c r="D39" s="80">
        <v>5087.5785197779742</v>
      </c>
      <c r="E39" s="83">
        <v>8463.9335515387156</v>
      </c>
      <c r="F39" s="22" t="s">
        <v>239</v>
      </c>
      <c r="G39" s="37">
        <v>151.57948127578652</v>
      </c>
      <c r="H39" s="33">
        <v>66.364676606663721</v>
      </c>
    </row>
    <row r="40" spans="1:8" x14ac:dyDescent="0.2">
      <c r="A40" s="34"/>
      <c r="B40" s="25" t="s">
        <v>240</v>
      </c>
      <c r="C40" s="82">
        <v>881.68029197932901</v>
      </c>
      <c r="D40" s="82">
        <v>970.99565809148044</v>
      </c>
      <c r="E40" s="82">
        <v>1776.2840333521597</v>
      </c>
      <c r="F40" s="27"/>
      <c r="G40" s="28">
        <v>101.46577501063217</v>
      </c>
      <c r="H40" s="29">
        <v>82.934292089780968</v>
      </c>
    </row>
    <row r="41" spans="1:8" x14ac:dyDescent="0.2">
      <c r="A41" s="30" t="s">
        <v>20</v>
      </c>
      <c r="B41" s="31" t="s">
        <v>3</v>
      </c>
      <c r="C41" s="80">
        <v>470.09847630887202</v>
      </c>
      <c r="D41" s="80">
        <v>540.82653978704911</v>
      </c>
      <c r="E41" s="83">
        <v>603.94628900453222</v>
      </c>
      <c r="F41" s="22" t="s">
        <v>239</v>
      </c>
      <c r="G41" s="23">
        <v>28.47229239001345</v>
      </c>
      <c r="H41" s="24">
        <v>11.670978506775299</v>
      </c>
    </row>
    <row r="42" spans="1:8" x14ac:dyDescent="0.2">
      <c r="A42" s="34"/>
      <c r="B42" s="25" t="s">
        <v>240</v>
      </c>
      <c r="C42" s="82">
        <v>85.688561880227567</v>
      </c>
      <c r="D42" s="82">
        <v>105.84722457311024</v>
      </c>
      <c r="E42" s="82">
        <v>115.36604295373014</v>
      </c>
      <c r="F42" s="27"/>
      <c r="G42" s="38">
        <v>34.634122013839743</v>
      </c>
      <c r="H42" s="24">
        <v>8.9929787191020125</v>
      </c>
    </row>
    <row r="43" spans="1:8" x14ac:dyDescent="0.2">
      <c r="A43" s="30" t="s">
        <v>21</v>
      </c>
      <c r="B43" s="31" t="s">
        <v>3</v>
      </c>
      <c r="C43" s="80">
        <v>85.793051935449185</v>
      </c>
      <c r="D43" s="80">
        <v>101.18136764183718</v>
      </c>
      <c r="E43" s="83">
        <v>140.71473657929715</v>
      </c>
      <c r="F43" s="22" t="s">
        <v>239</v>
      </c>
      <c r="G43" s="37">
        <v>64.016471503043306</v>
      </c>
      <c r="H43" s="33">
        <v>39.071787483047842</v>
      </c>
    </row>
    <row r="44" spans="1:8" x14ac:dyDescent="0.2">
      <c r="A44" s="34"/>
      <c r="B44" s="25" t="s">
        <v>240</v>
      </c>
      <c r="C44" s="82">
        <v>17.545458211196049</v>
      </c>
      <c r="D44" s="82">
        <v>18.926883438171629</v>
      </c>
      <c r="E44" s="82">
        <v>27.092527812866095</v>
      </c>
      <c r="F44" s="27"/>
      <c r="G44" s="28">
        <v>54.413338692847049</v>
      </c>
      <c r="H44" s="29">
        <v>43.143100666145813</v>
      </c>
    </row>
    <row r="45" spans="1:8" x14ac:dyDescent="0.2">
      <c r="A45" s="30" t="s">
        <v>22</v>
      </c>
      <c r="B45" s="31" t="s">
        <v>3</v>
      </c>
      <c r="C45" s="80">
        <v>46.335071761348665</v>
      </c>
      <c r="D45" s="80">
        <v>91.261127948136405</v>
      </c>
      <c r="E45" s="83">
        <v>110.09674333048186</v>
      </c>
      <c r="F45" s="22" t="s">
        <v>239</v>
      </c>
      <c r="G45" s="37">
        <v>137.60995536500124</v>
      </c>
      <c r="H45" s="33">
        <v>20.639253322673937</v>
      </c>
    </row>
    <row r="46" spans="1:8" x14ac:dyDescent="0.2">
      <c r="A46" s="34"/>
      <c r="B46" s="25" t="s">
        <v>240</v>
      </c>
      <c r="C46" s="82">
        <v>9.0864639448986519</v>
      </c>
      <c r="D46" s="82">
        <v>10.492670798833124</v>
      </c>
      <c r="E46" s="82">
        <v>14.683112247342928</v>
      </c>
      <c r="F46" s="27"/>
      <c r="G46" s="28">
        <v>61.593248334918684</v>
      </c>
      <c r="H46" s="29">
        <v>39.936842857738526</v>
      </c>
    </row>
    <row r="47" spans="1:8" x14ac:dyDescent="0.2">
      <c r="A47" s="30" t="s">
        <v>189</v>
      </c>
      <c r="B47" s="31" t="s">
        <v>3</v>
      </c>
      <c r="C47" s="80">
        <v>1289.9056950415593</v>
      </c>
      <c r="D47" s="80">
        <v>1554.1559668182344</v>
      </c>
      <c r="E47" s="83">
        <v>1965.2369302842317</v>
      </c>
      <c r="F47" s="22" t="s">
        <v>239</v>
      </c>
      <c r="G47" s="23">
        <v>52.355085944551462</v>
      </c>
      <c r="H47" s="24">
        <v>26.450431761207852</v>
      </c>
    </row>
    <row r="48" spans="1:8" x14ac:dyDescent="0.2">
      <c r="A48" s="30"/>
      <c r="B48" s="25" t="s">
        <v>240</v>
      </c>
      <c r="C48" s="82">
        <v>362.9601493013015</v>
      </c>
      <c r="D48" s="82">
        <v>335.15186065958483</v>
      </c>
      <c r="E48" s="82">
        <v>459.59029267381084</v>
      </c>
      <c r="F48" s="27"/>
      <c r="G48" s="38">
        <v>26.622796898921933</v>
      </c>
      <c r="H48" s="24">
        <v>37.128969467550917</v>
      </c>
    </row>
    <row r="49" spans="1:8" x14ac:dyDescent="0.2">
      <c r="A49" s="39" t="s">
        <v>12</v>
      </c>
      <c r="B49" s="31" t="s">
        <v>3</v>
      </c>
      <c r="C49" s="80">
        <v>26.14674275859733</v>
      </c>
      <c r="D49" s="80">
        <v>40.594826220397046</v>
      </c>
      <c r="E49" s="83">
        <v>52.988410032479379</v>
      </c>
      <c r="F49" s="22" t="s">
        <v>239</v>
      </c>
      <c r="G49" s="37">
        <v>102.65778617895424</v>
      </c>
      <c r="H49" s="33">
        <v>30.529959026786315</v>
      </c>
    </row>
    <row r="50" spans="1:8" x14ac:dyDescent="0.2">
      <c r="A50" s="34"/>
      <c r="B50" s="25" t="s">
        <v>240</v>
      </c>
      <c r="C50" s="82">
        <v>7.9463131053457108</v>
      </c>
      <c r="D50" s="82">
        <v>5.4290210450773451</v>
      </c>
      <c r="E50" s="82">
        <v>8.7127273446026763</v>
      </c>
      <c r="F50" s="27"/>
      <c r="G50" s="28">
        <v>9.6449036061941484</v>
      </c>
      <c r="H50" s="29">
        <v>60.484317011494454</v>
      </c>
    </row>
    <row r="51" spans="1:8" x14ac:dyDescent="0.2">
      <c r="A51" s="39" t="s">
        <v>23</v>
      </c>
      <c r="B51" s="31" t="s">
        <v>3</v>
      </c>
      <c r="C51" s="80">
        <v>385.10912217582603</v>
      </c>
      <c r="D51" s="80">
        <v>413.85927427584699</v>
      </c>
      <c r="E51" s="83">
        <v>432.6577104097135</v>
      </c>
      <c r="F51" s="22" t="s">
        <v>239</v>
      </c>
      <c r="G51" s="23">
        <v>12.346783157262792</v>
      </c>
      <c r="H51" s="24">
        <v>4.5422290383027502</v>
      </c>
    </row>
    <row r="52" spans="1:8" x14ac:dyDescent="0.2">
      <c r="A52" s="34"/>
      <c r="B52" s="25" t="s">
        <v>240</v>
      </c>
      <c r="C52" s="82">
        <v>88.199655288462097</v>
      </c>
      <c r="D52" s="82">
        <v>88.480712334066183</v>
      </c>
      <c r="E52" s="82">
        <v>94.596703219104597</v>
      </c>
      <c r="F52" s="27"/>
      <c r="G52" s="28">
        <v>7.2529171567854718</v>
      </c>
      <c r="H52" s="29">
        <v>6.9122306135454608</v>
      </c>
    </row>
    <row r="53" spans="1:8" x14ac:dyDescent="0.2">
      <c r="A53" s="30" t="s">
        <v>24</v>
      </c>
      <c r="B53" s="31" t="s">
        <v>3</v>
      </c>
      <c r="C53" s="80">
        <v>823.77461443199411</v>
      </c>
      <c r="D53" s="80">
        <v>1254.162514536559</v>
      </c>
      <c r="E53" s="83">
        <v>1534.8052706405613</v>
      </c>
      <c r="F53" s="22" t="s">
        <v>239</v>
      </c>
      <c r="G53" s="23">
        <v>86.313737247030161</v>
      </c>
      <c r="H53" s="24">
        <v>22.376905133997411</v>
      </c>
    </row>
    <row r="54" spans="1:8" ht="13.5" thickBot="1" x14ac:dyDescent="0.25">
      <c r="A54" s="41"/>
      <c r="B54" s="42" t="s">
        <v>240</v>
      </c>
      <c r="C54" s="86">
        <v>261.61701747968641</v>
      </c>
      <c r="D54" s="86">
        <v>342.95528589149535</v>
      </c>
      <c r="E54" s="86">
        <v>440.08184999060495</v>
      </c>
      <c r="F54" s="44"/>
      <c r="G54" s="45">
        <v>68.216064165159139</v>
      </c>
      <c r="H54" s="46">
        <v>28.320474445125967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241</v>
      </c>
      <c r="G61" s="53"/>
      <c r="H61" s="208">
        <v>13</v>
      </c>
    </row>
    <row r="62" spans="1:8" ht="12.75" customHeight="1" x14ac:dyDescent="0.2">
      <c r="A62" s="54" t="s">
        <v>242</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2024-06-04T10:56:33Z</dcterms:modified>
</cp:coreProperties>
</file>