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C:\Users\tg68\Desktop\"/>
    </mc:Choice>
  </mc:AlternateContent>
  <xr:revisionPtr revIDLastSave="0" documentId="13_ncr:1_{3F2E2CB0-9E25-431E-A67B-4FAB966F4E43}" xr6:coauthVersionLast="47" xr6:coauthVersionMax="47" xr10:uidLastSave="{00000000-0000-0000-0000-000000000000}"/>
  <bookViews>
    <workbookView xWindow="-120" yWindow="-120" windowWidth="29040" windowHeight="1572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1" i="19" l="1"/>
  <c r="T230" i="19"/>
  <c r="T229" i="19"/>
  <c r="T228" i="19"/>
  <c r="T227" i="19"/>
  <c r="T226" i="19"/>
  <c r="T225" i="19"/>
  <c r="T224" i="19"/>
  <c r="T223" i="19"/>
  <c r="T222" i="19"/>
  <c r="T221" i="19"/>
  <c r="Q231" i="19"/>
  <c r="Q230" i="19"/>
  <c r="Q229" i="19"/>
  <c r="Q228" i="19"/>
  <c r="Q227" i="19"/>
  <c r="Q226" i="19"/>
  <c r="Q225" i="19"/>
  <c r="Q224" i="19"/>
  <c r="Q223" i="19"/>
  <c r="Q222" i="19"/>
  <c r="Q221" i="19"/>
  <c r="N231" i="19"/>
  <c r="N230" i="19"/>
  <c r="N229" i="19"/>
  <c r="N228" i="19"/>
  <c r="N227" i="19"/>
  <c r="N226" i="19"/>
  <c r="N225" i="19"/>
  <c r="N224" i="19"/>
  <c r="N223" i="19"/>
  <c r="N222" i="19"/>
  <c r="N221" i="19"/>
  <c r="D231" i="19" l="1"/>
  <c r="D230" i="19"/>
  <c r="D229" i="19"/>
  <c r="D228" i="19"/>
  <c r="D227" i="19"/>
  <c r="D226" i="19"/>
  <c r="D225" i="19"/>
  <c r="D224" i="19"/>
  <c r="D223" i="19"/>
  <c r="D222" i="19"/>
  <c r="D221" i="19"/>
  <c r="D220" i="19"/>
  <c r="D219" i="19"/>
  <c r="C231" i="19"/>
  <c r="C230" i="19"/>
  <c r="C229" i="19"/>
  <c r="C228" i="19"/>
  <c r="C227" i="19"/>
  <c r="C226" i="19"/>
  <c r="C225" i="19"/>
  <c r="C224" i="19"/>
  <c r="C223" i="19"/>
  <c r="C222" i="19"/>
  <c r="C221" i="19"/>
  <c r="C220" i="19"/>
  <c r="C219" i="19"/>
  <c r="B124" i="21"/>
  <c r="W122" i="19" l="1"/>
  <c r="W82" i="19"/>
  <c r="W100" i="19" s="1"/>
  <c r="W111" i="19" s="1"/>
  <c r="S235" i="19"/>
  <c r="S233" i="19" s="1"/>
  <c r="R235" i="19"/>
  <c r="R233" i="19" s="1"/>
  <c r="P235" i="19"/>
  <c r="P233" i="19" s="1"/>
  <c r="O235" i="19"/>
  <c r="O233" i="19" s="1"/>
  <c r="M235" i="19"/>
  <c r="M233" i="19" s="1"/>
  <c r="L235" i="19"/>
  <c r="L233" i="19" s="1"/>
  <c r="O234" i="19"/>
  <c r="G234" i="19"/>
  <c r="E234" i="19"/>
  <c r="T220" i="19"/>
  <c r="Q220" i="19"/>
  <c r="N220" i="19"/>
  <c r="T219" i="19"/>
  <c r="Q219" i="19"/>
  <c r="N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W133" i="19"/>
  <c r="T133" i="19"/>
  <c r="Q133" i="19"/>
  <c r="N133" i="19"/>
  <c r="Y132" i="19"/>
  <c r="X132" i="19"/>
  <c r="W132" i="19"/>
  <c r="T132" i="19"/>
  <c r="Q132" i="19"/>
  <c r="N132" i="19"/>
  <c r="D132" i="19"/>
  <c r="D133" i="19" s="1"/>
  <c r="C132" i="19"/>
  <c r="C133" i="19" s="1"/>
  <c r="Y131" i="19"/>
  <c r="X131" i="19"/>
  <c r="W131" i="19"/>
  <c r="T131" i="19"/>
  <c r="Q131" i="19"/>
  <c r="N131" i="19"/>
  <c r="Y130" i="19"/>
  <c r="X130" i="19"/>
  <c r="W130" i="19"/>
  <c r="T130" i="19"/>
  <c r="Q130" i="19"/>
  <c r="N130" i="19"/>
  <c r="Y129" i="19"/>
  <c r="X129" i="19"/>
  <c r="T129" i="19"/>
  <c r="Q129" i="19"/>
  <c r="N129" i="19"/>
  <c r="Y128" i="19"/>
  <c r="X128" i="19"/>
  <c r="W128" i="19"/>
  <c r="T128" i="19"/>
  <c r="Q128" i="19"/>
  <c r="N128" i="19"/>
  <c r="D128" i="19"/>
  <c r="C128" i="19"/>
  <c r="T127" i="19"/>
  <c r="Q127" i="19"/>
  <c r="N127" i="19"/>
  <c r="T126" i="19"/>
  <c r="Q126" i="19"/>
  <c r="N126" i="19"/>
  <c r="Y125" i="19"/>
  <c r="X125" i="19"/>
  <c r="W125" i="19"/>
  <c r="T125" i="19"/>
  <c r="Q125" i="19"/>
  <c r="N125" i="19"/>
  <c r="Y124" i="19"/>
  <c r="X124" i="19"/>
  <c r="W124" i="19"/>
  <c r="T124" i="19"/>
  <c r="Q124" i="19"/>
  <c r="N124" i="19"/>
  <c r="D124" i="19"/>
  <c r="C124" i="19"/>
  <c r="Y123" i="19"/>
  <c r="X123" i="19"/>
  <c r="W123" i="19"/>
  <c r="T123" i="19"/>
  <c r="Q123" i="19"/>
  <c r="N123" i="19"/>
  <c r="Y122" i="19"/>
  <c r="X122" i="19"/>
  <c r="T122" i="19"/>
  <c r="Q122" i="19"/>
  <c r="N122" i="19"/>
  <c r="Y121" i="19"/>
  <c r="X121" i="19"/>
  <c r="W121" i="19"/>
  <c r="T121" i="19"/>
  <c r="Q121" i="19"/>
  <c r="N121" i="19"/>
  <c r="T120" i="19"/>
  <c r="Q120" i="19"/>
  <c r="N120" i="19"/>
  <c r="D120" i="19"/>
  <c r="D121" i="19" s="1"/>
  <c r="D122" i="19" s="1"/>
  <c r="C120" i="19"/>
  <c r="T119" i="19"/>
  <c r="Q119" i="19"/>
  <c r="N119" i="19"/>
  <c r="T118" i="19"/>
  <c r="Q118" i="19"/>
  <c r="N118" i="19"/>
  <c r="Y117" i="19"/>
  <c r="X117" i="19"/>
  <c r="W117" i="19"/>
  <c r="T117" i="19"/>
  <c r="Q117" i="19"/>
  <c r="N117" i="19"/>
  <c r="T116" i="19"/>
  <c r="Q116" i="19"/>
  <c r="N116" i="19"/>
  <c r="D116" i="19"/>
  <c r="D117" i="19" s="1"/>
  <c r="D118" i="19" s="1"/>
  <c r="C116" i="19"/>
  <c r="C117" i="19" s="1"/>
  <c r="C118" i="19" s="1"/>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Y92" i="19"/>
  <c r="W92" i="19"/>
  <c r="N92" i="19"/>
  <c r="Y91" i="19"/>
  <c r="X91" i="19"/>
  <c r="W91" i="19"/>
  <c r="N91" i="19"/>
  <c r="Y90" i="19"/>
  <c r="X90" i="19"/>
  <c r="W90" i="19"/>
  <c r="N90" i="19"/>
  <c r="Y89" i="19"/>
  <c r="X89" i="19"/>
  <c r="W89" i="19"/>
  <c r="N89" i="19"/>
  <c r="Y88" i="19"/>
  <c r="X88" i="19"/>
  <c r="N88" i="19"/>
  <c r="Y87" i="19"/>
  <c r="X87" i="19"/>
  <c r="W87" i="19"/>
  <c r="N87" i="19"/>
  <c r="Y86" i="19"/>
  <c r="X86" i="19"/>
  <c r="W86" i="19"/>
  <c r="N86" i="19"/>
  <c r="Y85" i="19"/>
  <c r="X85" i="19"/>
  <c r="W85" i="19"/>
  <c r="N85" i="19"/>
  <c r="Y84" i="19"/>
  <c r="X84" i="19"/>
  <c r="W84" i="19"/>
  <c r="N84" i="19"/>
  <c r="Y83" i="19"/>
  <c r="X83" i="19"/>
  <c r="W83" i="19"/>
  <c r="N83" i="19"/>
  <c r="Y82" i="19"/>
  <c r="Y100" i="19" s="1"/>
  <c r="Y111" i="19" s="1"/>
  <c r="N82" i="19"/>
  <c r="N81" i="19"/>
  <c r="N80" i="19"/>
  <c r="N79" i="19"/>
  <c r="N78" i="19"/>
  <c r="Z77" i="19"/>
  <c r="Y77" i="19"/>
  <c r="N77" i="19"/>
  <c r="Z76" i="19"/>
  <c r="Y76" i="19"/>
  <c r="X76" i="19"/>
  <c r="N76" i="19"/>
  <c r="Z75" i="19"/>
  <c r="Y75" i="19"/>
  <c r="X75" i="19"/>
  <c r="N75" i="19"/>
  <c r="Z74" i="19"/>
  <c r="Y74" i="19"/>
  <c r="X74" i="19"/>
  <c r="N74" i="19"/>
  <c r="N73" i="19"/>
  <c r="Z72" i="19"/>
  <c r="Y72" i="19"/>
  <c r="X72" i="19"/>
  <c r="N72" i="19"/>
  <c r="N71" i="19"/>
  <c r="Z70" i="19"/>
  <c r="Y70" i="19"/>
  <c r="X70" i="19"/>
  <c r="AD62" i="19"/>
  <c r="P62" i="19"/>
  <c r="AD61" i="19"/>
  <c r="I61" i="19"/>
  <c r="AD32" i="19"/>
  <c r="B20" i="21" s="1"/>
  <c r="W32" i="19"/>
  <c r="B18" i="21" s="1"/>
  <c r="P32" i="19"/>
  <c r="B16" i="21" s="1"/>
  <c r="I32" i="19"/>
  <c r="B14" i="21" s="1"/>
  <c r="A32" i="19"/>
  <c r="B12" i="21" s="1"/>
  <c r="AD6" i="19"/>
  <c r="W6" i="19"/>
  <c r="B17" i="21" s="1"/>
  <c r="I6" i="19"/>
  <c r="B13" i="21" s="1"/>
  <c r="A6" i="19"/>
  <c r="B11" i="21" s="1"/>
  <c r="B123" i="21"/>
  <c r="P61" i="19" s="1"/>
  <c r="B61" i="21"/>
  <c r="H24" i="21"/>
  <c r="H26" i="21" s="1"/>
  <c r="B19" i="21"/>
  <c r="B15" i="21"/>
  <c r="W115" i="19" l="1"/>
  <c r="Y104" i="19"/>
  <c r="Y115" i="19"/>
  <c r="W104" i="19"/>
  <c r="Y93" i="19"/>
  <c r="Y95" i="19" s="1"/>
  <c r="Y78" i="19"/>
  <c r="X104" i="19"/>
  <c r="Z78" i="19"/>
  <c r="X115" i="19"/>
  <c r="H28" i="21"/>
  <c r="H29" i="21" s="1"/>
  <c r="H31" i="21" s="1"/>
  <c r="H27" i="21"/>
  <c r="X92" i="19"/>
  <c r="X93" i="19" s="1"/>
  <c r="X95" i="19" s="1"/>
  <c r="B62" i="21"/>
  <c r="A51" i="23"/>
  <c r="A62" i="19"/>
  <c r="D125" i="19"/>
  <c r="D126" i="19" s="1"/>
  <c r="D129" i="19"/>
  <c r="D130" i="19" s="1"/>
  <c r="A52" i="23"/>
  <c r="I62" i="19"/>
  <c r="C121" i="19"/>
  <c r="C122" i="19" s="1"/>
  <c r="A61" i="19"/>
  <c r="W62" i="19"/>
  <c r="X77" i="19"/>
  <c r="X78" i="19" s="1"/>
  <c r="W129" i="19"/>
  <c r="H52" i="24"/>
  <c r="A52" i="24"/>
  <c r="W61" i="19"/>
  <c r="W88" i="19"/>
  <c r="W93" i="19" s="1"/>
  <c r="W95" i="19" s="1"/>
  <c r="X82" i="19"/>
  <c r="X100" i="19" s="1"/>
  <c r="X111" i="19" s="1"/>
  <c r="H53" i="24"/>
  <c r="A53" i="24"/>
  <c r="C125" i="19"/>
  <c r="C126" i="19" s="1"/>
  <c r="C129" i="19"/>
  <c r="C130" i="19" s="1"/>
  <c r="R234" i="19"/>
  <c r="S234" i="19"/>
  <c r="H33" i="21" l="1"/>
  <c r="H34" i="21" s="1"/>
  <c r="H35" i="21" s="1"/>
  <c r="H36" i="21" s="1"/>
  <c r="H37" i="21" s="1"/>
  <c r="H38" i="21" s="1"/>
  <c r="H40" i="21" s="1"/>
  <c r="H32" i="21"/>
  <c r="M234" i="19"/>
  <c r="L234" i="19"/>
  <c r="P234" i="19"/>
  <c r="H43" i="21" l="1"/>
  <c r="H41" i="21"/>
  <c r="H44" i="21" l="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<sst xmlns="http://schemas.openxmlformats.org/spreadsheetml/2006/main" count="1536" uniqueCount="244">
  <si>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</si>
  <si>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</si>
  <si>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</si>
  <si>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</si>
  <si>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</si>
  <si>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</si>
  <si>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</si>
  <si>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</si>
  <si>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</si>
  <si>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</si>
  <si>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</si>
  <si>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</si>
  <si>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</si>
  <si>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</si>
  <si>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</si>
  <si>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</si>
  <si>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</si>
  <si>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</si>
  <si>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</si>
  <si>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</si>
  <si>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</si>
  <si>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</si>
  <si>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</si>
  <si>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</si>
  <si>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</si>
  <si>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</si>
  <si>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</si>
  <si>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</si>
  <si>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</si>
  <si>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</si>
  <si>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</si>
  <si>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</si>
  <si>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</si>
  <si>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</si>
  <si>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</si>
  <si>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</si>
  <si>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</si>
  <si>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</si>
  <si>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</si>
  <si>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</si>
  <si>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</si>
  <si>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</si>
  <si>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</si>
  <si>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</si>
  <si>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</si>
  <si>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</si>
  <si>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</si>
  <si>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</si>
  <si>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</si>
  <si>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</si>
  <si>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</si>
  <si>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</si>
  <si>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</si>
  <si>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</si>
  <si>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</si>
  <si>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</si>
  <si>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</si>
  <si>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</si>
  <si>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</si>
  <si>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</si>
  <si>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</si>
  <si>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</si>
  <si>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</si>
  <si>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</si>
  <si>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</si>
  <si>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</si>
  <si>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</si>
  <si>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</si>
  <si>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</si>
  <si>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</si>
  <si>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</si>
  <si>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</si>
  <si>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</si>
  <si>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</si>
  <si>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</si>
  <si>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</si>
  <si>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</si>
  <si>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</si>
  <si>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</si>
  <si>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</si>
  <si>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</si>
  <si>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</si>
  <si>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</si>
  <si>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</si>
  <si>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</si>
  <si>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</si>
  <si>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</si>
  <si>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</si>
  <si>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</si>
  <si>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</si>
  <si>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</si>
  <si>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</si>
  <si>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</si>
  <si>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</si>
  <si>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</si>
  <si>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</si>
  <si>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</si>
  <si>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</si>
  <si>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</si>
  <si>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</si>
  <si>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</si>
  <si>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</si>
  <si>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</si>
  <si>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</si>
  <si>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</si>
  <si>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</si>
  <si>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</si>
  <si>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</si>
  <si>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</si>
  <si>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</si>
  <si>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</si>
  <si>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</si>
  <si>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</si>
  <si>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</si>
  <si>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</si>
  <si>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</si>
  <si>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</si>
  <si>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</si>
  <si>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</si>
  <si>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</si>
  <si>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</si>
  <si>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</si>
  <si>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</si>
  <si>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</si>
  <si>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</si>
  <si>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</si>
  <si>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</si>
  <si>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</si>
  <si>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</si>
  <si>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</si>
  <si>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</si>
  <si>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</si>
  <si>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</si>
  <si>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</si>
  <si>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</si>
  <si>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</si>
  <si>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</si>
  <si>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</si>
  <si>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</si>
  <si>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</si>
  <si>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</si>
  <si>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</si>
  <si>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</si>
  <si>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</si>
  <si>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</si>
  <si>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</si>
  <si>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</si>
  <si>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</si>
  <si>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</si>
  <si>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</si>
  <si>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</si>
  <si>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</si>
  <si>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</si>
  <si>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</si>
  <si>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</si>
  <si>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</si>
  <si>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</si>
  <si>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</si>
  <si>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</si>
  <si>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</si>
  <si>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</si>
  <si>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</si>
  <si>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</si>
  <si>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</si>
  <si>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</si>
  <si>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</si>
  <si>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</si>
  <si>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</si>
  <si>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</si>
  <si>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</si>
  <si>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</si>
  <si>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</si>
  <si>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</si>
  <si>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</si>
  <si>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</si>
  <si>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</si>
  <si>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</si>
  <si>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</si>
  <si>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</si>
  <si>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</si>
  <si>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</si>
  <si>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</si>
  <si>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</si>
  <si>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</si>
  <si>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</si>
  <si>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</si>
  <si>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</si>
  <si>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</si>
  <si>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</si>
  <si>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</si>
  <si>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</si>
  <si>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</si>
  <si>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</si>
  <si>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</si>
  <si>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</si>
  <si>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</si>
  <si>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</si>
  <si>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</si>
  <si>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</si>
  <si>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</si>
  <si>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</si>
  <si>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</si>
  <si>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</si>
  <si>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</si>
  <si>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</si>
  <si>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</si>
  <si>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</si>
  <si>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</si>
  <si>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</si>
  <si>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</si>
  <si>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</si>
  <si>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</si>
  <si>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</si>
  <si>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</si>
  <si>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</si>
  <si>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</si>
  <si>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</si>
  <si>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</si>
  <si>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</si>
  <si>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</si>
  <si>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</si>
  <si>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</si>
  <si>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</si>
  <si>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</si>
  <si>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</si>
  <si>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</si>
  <si>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</si>
  <si>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</si>
  <si>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</si>
  <si>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</si>
  <si>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</si>
  <si>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</si>
  <si>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</si>
  <si>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punkt 4. Prinsipper, begreper og definisjoner på side 27.</t>
  </si>
  <si>
    <t>(2022)</t>
  </si>
  <si>
    <t>2021</t>
  </si>
  <si>
    <t>2022</t>
  </si>
  <si>
    <t>2023</t>
  </si>
  <si>
    <t>21-23</t>
  </si>
  <si>
    <t>22-23</t>
  </si>
  <si>
    <t>*</t>
  </si>
  <si>
    <t>Hittil i år</t>
  </si>
  <si>
    <t>Finans Norge / Skadeforsikringsstatistikk</t>
  </si>
  <si>
    <t>Skadestatistikk for landbasert forsikring 1. kvartal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</si>
</sst>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20">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0" xfId="0" applyFont="1"/>
    <xf numFmtId="0" fontId="13" fillId="0" borderId="6" xfId="0" applyFont="1" applyBorder="1"/>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67" fontId="39" fillId="0" borderId="0" xfId="0" applyNumberFormat="1" applyFont="1"/>
    <xf numFmtId="3"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0" borderId="28" xfId="0" applyNumberFormat="1" applyFont="1" applyBorder="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'Tab2'!$B$71:$B$231</c:f>
              <c:numCache>
                <c:formatCode>General</c:formatCode>
                <c:ptCount val="16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'Tab2'!$C$71:$C$231</c:f>
              <c:numCache>
                <c:formatCode>General</c:formatCode>
                <c:ptCount val="161"/>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pt idx="156" formatCode="0.000">
                  <c:v>258.31884641255607</c:v>
                </c:pt>
                <c:pt idx="157" formatCode="0.000">
                  <c:v>242.59168475336321</c:v>
                </c:pt>
                <c:pt idx="158" formatCode="0.000">
                  <c:v>236.3725230941705</c:v>
                </c:pt>
                <c:pt idx="159" formatCode="0.000">
                  <c:v>270.36808991031376</c:v>
                </c:pt>
                <c:pt idx="160" formatCode="0.000">
                  <c:v>302.38750433482812</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'Tab2'!$B$71:$B$231</c:f>
              <c:numCache>
                <c:formatCode>General</c:formatCode>
                <c:ptCount val="16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'Tab2'!$D$71:$D$231</c:f>
              <c:numCache>
                <c:formatCode>General</c:formatCode>
                <c:ptCount val="161"/>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pt idx="156" formatCode="0.000">
                  <c:v>238.37852713004486</c:v>
                </c:pt>
                <c:pt idx="157" formatCode="0.000">
                  <c:v>221.26676780269054</c:v>
                </c:pt>
                <c:pt idx="158" formatCode="0.000">
                  <c:v>212.27484847533628</c:v>
                </c:pt>
                <c:pt idx="159" formatCode="0.000">
                  <c:v>251.76894192825125</c:v>
                </c:pt>
                <c:pt idx="160" formatCode="0.000">
                  <c:v>281.08376346786247</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'Tab2'!$K$103:$K$231</c:f>
              <c:numCache>
                <c:formatCode>General</c:formatCode>
                <c:ptCount val="12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'Tab2'!$T$103:$T$231</c:f>
              <c:numCache>
                <c:formatCode>#\ ##0.0</c:formatCode>
                <c:ptCount val="129"/>
                <c:pt idx="0">
                  <c:v>280.98492300194931</c:v>
                </c:pt>
                <c:pt idx="1">
                  <c:v>349.59550327174748</c:v>
                </c:pt>
                <c:pt idx="2">
                  <c:v>406.30810334872984</c:v>
                </c:pt>
                <c:pt idx="3">
                  <c:v>363.9057369224895</c:v>
                </c:pt>
                <c:pt idx="4">
                  <c:v>354.24242380952376</c:v>
                </c:pt>
                <c:pt idx="5">
                  <c:v>323.67873401053424</c:v>
                </c:pt>
                <c:pt idx="6">
                  <c:v>424.17998778654641</c:v>
                </c:pt>
                <c:pt idx="7">
                  <c:v>210.37652668906304</c:v>
                </c:pt>
                <c:pt idx="8">
                  <c:v>335.60792037861916</c:v>
                </c:pt>
                <c:pt idx="9">
                  <c:v>361.60419236417039</c:v>
                </c:pt>
                <c:pt idx="10">
                  <c:v>411.11447847682115</c:v>
                </c:pt>
                <c:pt idx="11">
                  <c:v>310.42445512820512</c:v>
                </c:pt>
                <c:pt idx="12">
                  <c:v>305.14063461538461</c:v>
                </c:pt>
                <c:pt idx="13">
                  <c:v>367.41855507088331</c:v>
                </c:pt>
                <c:pt idx="14">
                  <c:v>409.82596996018839</c:v>
                </c:pt>
                <c:pt idx="15">
                  <c:v>397.59893448524116</c:v>
                </c:pt>
                <c:pt idx="16">
                  <c:v>336.64555585296216</c:v>
                </c:pt>
                <c:pt idx="17">
                  <c:v>389.43610166489549</c:v>
                </c:pt>
                <c:pt idx="18">
                  <c:v>408.96265409139198</c:v>
                </c:pt>
                <c:pt idx="19">
                  <c:v>374.48938248766768</c:v>
                </c:pt>
                <c:pt idx="20">
                  <c:v>362.04266985138008</c:v>
                </c:pt>
                <c:pt idx="21">
                  <c:v>397.4394225376796</c:v>
                </c:pt>
                <c:pt idx="22">
                  <c:v>419.33063525305408</c:v>
                </c:pt>
                <c:pt idx="23">
                  <c:v>335.24551748009713</c:v>
                </c:pt>
                <c:pt idx="24">
                  <c:v>331.44705549845838</c:v>
                </c:pt>
                <c:pt idx="25">
                  <c:v>394.77223984988046</c:v>
                </c:pt>
                <c:pt idx="26">
                  <c:v>349.42440464005472</c:v>
                </c:pt>
                <c:pt idx="27">
                  <c:v>323.02991107723557</c:v>
                </c:pt>
                <c:pt idx="28">
                  <c:v>320.62095166163147</c:v>
                </c:pt>
                <c:pt idx="29">
                  <c:v>351.7158960213975</c:v>
                </c:pt>
                <c:pt idx="30">
                  <c:v>360.65516366065469</c:v>
                </c:pt>
                <c:pt idx="31">
                  <c:v>350.95167328699097</c:v>
                </c:pt>
                <c:pt idx="32">
                  <c:v>275.7070447074293</c:v>
                </c:pt>
                <c:pt idx="33">
                  <c:v>334.54287263535542</c:v>
                </c:pt>
                <c:pt idx="34">
                  <c:v>384.47977138643074</c:v>
                </c:pt>
                <c:pt idx="35">
                  <c:v>318.89260708534607</c:v>
                </c:pt>
                <c:pt idx="36">
                  <c:v>325.06104206500959</c:v>
                </c:pt>
                <c:pt idx="37">
                  <c:v>301.45679115128451</c:v>
                </c:pt>
                <c:pt idx="38">
                  <c:v>316.21382636910408</c:v>
                </c:pt>
                <c:pt idx="39">
                  <c:v>345.69939918851435</c:v>
                </c:pt>
                <c:pt idx="40">
                  <c:v>259.96250691881914</c:v>
                </c:pt>
                <c:pt idx="41">
                  <c:v>298.16705215936736</c:v>
                </c:pt>
                <c:pt idx="42">
                  <c:v>251.7879779525131</c:v>
                </c:pt>
                <c:pt idx="43">
                  <c:v>408.37807804354486</c:v>
                </c:pt>
                <c:pt idx="44">
                  <c:v>310.92600716681915</c:v>
                </c:pt>
                <c:pt idx="45">
                  <c:v>364.52357196969695</c:v>
                </c:pt>
                <c:pt idx="46">
                  <c:v>289.07945939781024</c:v>
                </c:pt>
                <c:pt idx="47">
                  <c:v>300.13052552552568</c:v>
                </c:pt>
                <c:pt idx="48">
                  <c:v>274.21921902268764</c:v>
                </c:pt>
                <c:pt idx="49">
                  <c:v>310.72440486791328</c:v>
                </c:pt>
                <c:pt idx="50">
                  <c:v>289.73657432231158</c:v>
                </c:pt>
                <c:pt idx="51">
                  <c:v>336.89048327412684</c:v>
                </c:pt>
                <c:pt idx="52">
                  <c:v>272.83706409117815</c:v>
                </c:pt>
                <c:pt idx="53">
                  <c:v>345.87124926513815</c:v>
                </c:pt>
                <c:pt idx="54">
                  <c:v>244.36500884955737</c:v>
                </c:pt>
                <c:pt idx="55">
                  <c:v>245.38479605263171</c:v>
                </c:pt>
                <c:pt idx="56">
                  <c:v>241.19920331281148</c:v>
                </c:pt>
                <c:pt idx="57">
                  <c:v>227.32582826967601</c:v>
                </c:pt>
                <c:pt idx="58">
                  <c:v>228.26930929626403</c:v>
                </c:pt>
                <c:pt idx="59">
                  <c:v>210.21406609195412</c:v>
                </c:pt>
                <c:pt idx="60">
                  <c:v>221.79810891938249</c:v>
                </c:pt>
                <c:pt idx="61">
                  <c:v>256.49385708227311</c:v>
                </c:pt>
                <c:pt idx="62">
                  <c:v>244.63007885763002</c:v>
                </c:pt>
                <c:pt idx="63">
                  <c:v>207.94497829131646</c:v>
                </c:pt>
                <c:pt idx="64">
                  <c:v>244.6521319148936</c:v>
                </c:pt>
                <c:pt idx="65">
                  <c:v>233.7074457593688</c:v>
                </c:pt>
                <c:pt idx="66">
                  <c:v>222.89155418788903</c:v>
                </c:pt>
                <c:pt idx="67">
                  <c:v>202.99843543046367</c:v>
                </c:pt>
                <c:pt idx="68">
                  <c:v>225.53764629477712</c:v>
                </c:pt>
                <c:pt idx="69">
                  <c:v>265.18715573770493</c:v>
                </c:pt>
                <c:pt idx="70">
                  <c:v>259.8879955320877</c:v>
                </c:pt>
                <c:pt idx="71">
                  <c:v>371.26572039561631</c:v>
                </c:pt>
                <c:pt idx="72">
                  <c:v>292.89273866666667</c:v>
                </c:pt>
                <c:pt idx="73">
                  <c:v>321.45343211349774</c:v>
                </c:pt>
                <c:pt idx="74">
                  <c:v>317.42952020202011</c:v>
                </c:pt>
                <c:pt idx="75">
                  <c:v>374.91753291205913</c:v>
                </c:pt>
                <c:pt idx="76">
                  <c:v>324.36787037037044</c:v>
                </c:pt>
                <c:pt idx="77">
                  <c:v>268.57712955779675</c:v>
                </c:pt>
                <c:pt idx="78">
                  <c:v>269.67950117370884</c:v>
                </c:pt>
                <c:pt idx="79">
                  <c:v>272.89499354005164</c:v>
                </c:pt>
                <c:pt idx="80">
                  <c:v>206.41192076292884</c:v>
                </c:pt>
                <c:pt idx="81">
                  <c:v>259.29038295165384</c:v>
                </c:pt>
                <c:pt idx="82">
                  <c:v>222.02050296239042</c:v>
                </c:pt>
                <c:pt idx="83">
                  <c:v>238.31294541484107</c:v>
                </c:pt>
                <c:pt idx="84">
                  <c:v>229.14506821738098</c:v>
                </c:pt>
                <c:pt idx="85">
                  <c:v>240.18883740792623</c:v>
                </c:pt>
                <c:pt idx="86">
                  <c:v>251.01924608619805</c:v>
                </c:pt>
                <c:pt idx="87">
                  <c:v>247.72163952839728</c:v>
                </c:pt>
                <c:pt idx="88">
                  <c:v>216.71822120215589</c:v>
                </c:pt>
                <c:pt idx="89">
                  <c:v>225.25827101204055</c:v>
                </c:pt>
                <c:pt idx="90">
                  <c:v>220.62847652814298</c:v>
                </c:pt>
                <c:pt idx="91">
                  <c:v>228.5852638684849</c:v>
                </c:pt>
                <c:pt idx="92">
                  <c:v>208.85431370394389</c:v>
                </c:pt>
                <c:pt idx="93">
                  <c:v>210.19066698339481</c:v>
                </c:pt>
                <c:pt idx="94">
                  <c:v>221.90252336477224</c:v>
                </c:pt>
                <c:pt idx="95">
                  <c:v>218.44835323505686</c:v>
                </c:pt>
                <c:pt idx="96">
                  <c:v>192.7798820752202</c:v>
                </c:pt>
                <c:pt idx="97">
                  <c:v>207.70845855383703</c:v>
                </c:pt>
                <c:pt idx="98">
                  <c:v>161.23045969653728</c:v>
                </c:pt>
                <c:pt idx="99">
                  <c:v>192.15464510090749</c:v>
                </c:pt>
                <c:pt idx="100">
                  <c:v>154.74785220638384</c:v>
                </c:pt>
                <c:pt idx="101">
                  <c:v>181.61909683535583</c:v>
                </c:pt>
                <c:pt idx="102">
                  <c:v>176.2765573913189</c:v>
                </c:pt>
                <c:pt idx="103">
                  <c:v>173.08753562785864</c:v>
                </c:pt>
                <c:pt idx="104">
                  <c:v>165.56562209277686</c:v>
                </c:pt>
                <c:pt idx="105">
                  <c:v>139.73986172737082</c:v>
                </c:pt>
                <c:pt idx="106">
                  <c:v>149.22398732744963</c:v>
                </c:pt>
                <c:pt idx="107">
                  <c:v>143.48919586702607</c:v>
                </c:pt>
                <c:pt idx="108">
                  <c:v>133.06615453128481</c:v>
                </c:pt>
                <c:pt idx="109">
                  <c:v>154.43532654934646</c:v>
                </c:pt>
                <c:pt idx="110">
                  <c:v>169.43672100322266</c:v>
                </c:pt>
                <c:pt idx="111">
                  <c:v>130.28241810835445</c:v>
                </c:pt>
                <c:pt idx="112">
                  <c:v>136.44232852373401</c:v>
                </c:pt>
                <c:pt idx="113">
                  <c:v>157.21263600167168</c:v>
                </c:pt>
                <c:pt idx="114">
                  <c:v>160.7200124451719</c:v>
                </c:pt>
                <c:pt idx="115">
                  <c:v>146.5322990549478</c:v>
                </c:pt>
                <c:pt idx="116">
                  <c:v>161.03321144530429</c:v>
                </c:pt>
                <c:pt idx="117">
                  <c:v>137.82355954381924</c:v>
                </c:pt>
                <c:pt idx="118">
                  <c:v>173.56078298231904</c:v>
                </c:pt>
                <c:pt idx="119">
                  <c:v>124.11635485779075</c:v>
                </c:pt>
                <c:pt idx="120">
                  <c:v>124.63389509166034</c:v>
                </c:pt>
                <c:pt idx="121">
                  <c:v>123.75058559321586</c:v>
                </c:pt>
                <c:pt idx="122">
                  <c:v>129.23688340774663</c:v>
                </c:pt>
                <c:pt idx="123">
                  <c:v>113.72458895286978</c:v>
                </c:pt>
                <c:pt idx="124">
                  <c:v>126.94750240691727</c:v>
                </c:pt>
                <c:pt idx="125">
                  <c:v>172.60508346654012</c:v>
                </c:pt>
                <c:pt idx="126">
                  <c:v>168.51888277522806</c:v>
                </c:pt>
                <c:pt idx="127">
                  <c:v>163.07194077209999</c:v>
                </c:pt>
                <c:pt idx="128">
                  <c:v>160.35651563668586</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'Tab2'!$K$103:$K$220</c:f>
              <c:numCache>
                <c:formatCode>General</c:formatCode>
                <c:ptCount val="11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'Tab2'!$R$103:$R$231</c:f>
              <c:numCache>
                <c:formatCode>#,##0</c:formatCode>
                <c:ptCount val="129"/>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pt idx="124" formatCode="0">
                  <c:v>6778.6444332298142</c:v>
                </c:pt>
                <c:pt idx="125" formatCode="0">
                  <c:v>11377.755536580467</c:v>
                </c:pt>
                <c:pt idx="126" formatCode="0">
                  <c:v>12116.405554623785</c:v>
                </c:pt>
                <c:pt idx="127" formatCode="0">
                  <c:v>10409.999344870157</c:v>
                </c:pt>
                <c:pt idx="128" formatCode="0">
                  <c:v>7838.5406661490688</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47.476768661491946</c:v>
                </c:pt>
                <c:pt idx="1">
                  <c:v>478.46245091077117</c:v>
                </c:pt>
                <c:pt idx="2">
                  <c:v>63.001375513191135</c:v>
                </c:pt>
                <c:pt idx="3">
                  <c:v>519.77764064758696</c:v>
                </c:pt>
                <c:pt idx="4" formatCode="0.000">
                  <c:v>4394.1476543808658</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2021</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2965.4204490303</c:v>
                </c:pt>
                <c:pt idx="1">
                  <c:v>1585.4037215067142</c:v>
                </c:pt>
                <c:pt idx="2">
                  <c:v>482.14262646559507</c:v>
                </c:pt>
                <c:pt idx="3">
                  <c:v>609.6751307627203</c:v>
                </c:pt>
                <c:pt idx="4">
                  <c:v>254.93649516953667</c:v>
                </c:pt>
                <c:pt idx="5">
                  <c:v>110.55182730182818</c:v>
                </c:pt>
                <c:pt idx="6">
                  <c:v>64.208836868916421</c:v>
                </c:pt>
                <c:pt idx="7">
                  <c:v>398.64248721138262</c:v>
                </c:pt>
                <c:pt idx="8">
                  <c:v>25.507322123697413</c:v>
                </c:pt>
                <c:pt idx="9">
                  <c:v>319.62647437515631</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2022</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2505.6769390314967</c:v>
                </c:pt>
                <c:pt idx="1">
                  <c:v>1689.9175000707487</c:v>
                </c:pt>
                <c:pt idx="2">
                  <c:v>455.45258046041744</c:v>
                </c:pt>
                <c:pt idx="3">
                  <c:v>759.55744125825504</c:v>
                </c:pt>
                <c:pt idx="4">
                  <c:v>283.75611025797389</c:v>
                </c:pt>
                <c:pt idx="5">
                  <c:v>414.36619515244865</c:v>
                </c:pt>
                <c:pt idx="6">
                  <c:v>81.147399862018034</c:v>
                </c:pt>
                <c:pt idx="7">
                  <c:v>414.92680469493013</c:v>
                </c:pt>
                <c:pt idx="8">
                  <c:v>25.872207222590546</c:v>
                </c:pt>
                <c:pt idx="9">
                  <c:v>360.98911460955628</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2023</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2558.3572859548399</c:v>
                </c:pt>
                <c:pt idx="1">
                  <c:v>2172.8590638677833</c:v>
                </c:pt>
                <c:pt idx="2">
                  <c:v>480.09060016829699</c:v>
                </c:pt>
                <c:pt idx="3">
                  <c:v>691.94667116029279</c:v>
                </c:pt>
                <c:pt idx="4">
                  <c:v>217.7168526859424</c:v>
                </c:pt>
                <c:pt idx="5">
                  <c:v>619.34148160607799</c:v>
                </c:pt>
                <c:pt idx="6">
                  <c:v>74.038735819343103</c:v>
                </c:pt>
                <c:pt idx="7">
                  <c:v>420.45726599679239</c:v>
                </c:pt>
                <c:pt idx="8">
                  <c:v>20.316945875929974</c:v>
                </c:pt>
                <c:pt idx="9">
                  <c:v>368.30294866867189</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2021</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8185.2405021739132</c:v>
                </c:pt>
                <c:pt idx="1">
                  <c:v>34994.274094861663</c:v>
                </c:pt>
                <c:pt idx="2">
                  <c:v>6121.5967593167697</c:v>
                </c:pt>
                <c:pt idx="3" formatCode="_ * #\ ##0_ ;_ * \-#\ ##0_ ;_ * &quot;-&quot;??_ ;_ @_ ">
                  <c:v>83362.541784050933</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2022</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6900.0468369565215</c:v>
                </c:pt>
                <c:pt idx="1">
                  <c:v>24505.067470355731</c:v>
                </c:pt>
                <c:pt idx="2">
                  <c:v>6778.6444332298142</c:v>
                </c:pt>
                <c:pt idx="3" formatCode="_ * #\ ##0_ ;_ * \-#\ ##0_ ;_ * &quot;-&quot;??_ ;_ @_ ">
                  <c:v>71207.251964443843</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2023</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6557.2362137681157</c:v>
                </c:pt>
                <c:pt idx="1">
                  <c:v>26844.315237154147</c:v>
                </c:pt>
                <c:pt idx="2">
                  <c:v>7838.5406661490688</c:v>
                </c:pt>
                <c:pt idx="3" formatCode="_ * #\ ##0_ ;_ * \-#\ ##0_ ;_ * &quot;-&quot;??_ ;_ @_ ">
                  <c:v>75674.261737361783</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2021</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1464.197591740502</c:v>
                </c:pt>
                <c:pt idx="1">
                  <c:v>1823.5241188431364</c:v>
                </c:pt>
                <c:pt idx="2">
                  <c:v>112.87324166947002</c:v>
                </c:pt>
                <c:pt idx="3">
                  <c:v>1150.2292182839069</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2022</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1583.5781374260632</c:v>
                </c:pt>
                <c:pt idx="1">
                  <c:v>1376.8794156428476</c:v>
                </c:pt>
                <c:pt idx="2">
                  <c:v>123.13727232676555</c:v>
                </c:pt>
                <c:pt idx="3">
                  <c:v>1111.9996137065696</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2023</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1683.6496945575759</c:v>
                </c:pt>
                <c:pt idx="1">
                  <c:v>1582.0941255005046</c:v>
                </c:pt>
                <c:pt idx="2">
                  <c:v>165.33913199150732</c:v>
                </c:pt>
                <c:pt idx="3">
                  <c:v>1300.133397773036</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2021</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34290.493589743593</c:v>
                </c:pt>
                <c:pt idx="1">
                  <c:v>44786.944784527106</c:v>
                </c:pt>
                <c:pt idx="2">
                  <c:v>57244.673067196847</c:v>
                </c:pt>
                <c:pt idx="3">
                  <c:v>14184.867654085045</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2022</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66033.36538461539</c:v>
                </c:pt>
                <c:pt idx="1">
                  <c:v>34271.789724271439</c:v>
                </c:pt>
                <c:pt idx="2">
                  <c:v>55060.821866443432</c:v>
                </c:pt>
                <c:pt idx="3">
                  <c:v>11825.08552317248</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2023</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85249</c:v>
                </c:pt>
                <c:pt idx="1">
                  <c:v>35963.894992936745</c:v>
                </c:pt>
                <c:pt idx="2">
                  <c:v>58109</c:v>
                </c:pt>
                <c:pt idx="3">
                  <c:v>14204.681955725435</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2021</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1433.3104738154614</c:v>
                </c:pt>
                <c:pt idx="1">
                  <c:v>3104.3150039000002</c:v>
                </c:pt>
                <c:pt idx="2">
                  <c:v>2405.7066122448982</c:v>
                </c:pt>
                <c:pt idx="3">
                  <c:v>6189.8587348924812</c:v>
                </c:pt>
                <c:pt idx="4">
                  <c:v>7214.3441666666668</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2022</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1816.3347880299252</c:v>
                </c:pt>
                <c:pt idx="1">
                  <c:v>3173.5819999999999</c:v>
                </c:pt>
                <c:pt idx="2">
                  <c:v>2424.5147755102039</c:v>
                </c:pt>
                <c:pt idx="3">
                  <c:v>4575</c:v>
                </c:pt>
                <c:pt idx="4">
                  <c:v>10160.966666666667</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2023</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1472.7774314214464</c:v>
                </c:pt>
                <c:pt idx="1">
                  <c:v>3674.7310000000002</c:v>
                </c:pt>
                <c:pt idx="2">
                  <c:v>2566.4587591836735</c:v>
                </c:pt>
                <c:pt idx="3">
                  <c:v>4666</c:v>
                </c:pt>
                <c:pt idx="4">
                  <c:v>10950.025</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'Tab2'!$K$71:$K$231</c:f>
              <c:numCache>
                <c:formatCode>General</c:formatCode>
                <c:ptCount val="16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'Tab2'!$N$71:$N$231</c:f>
              <c:numCache>
                <c:formatCode>#\ ##0.0</c:formatCode>
                <c:ptCount val="161"/>
                <c:pt idx="0">
                  <c:v>258.22462980173481</c:v>
                </c:pt>
                <c:pt idx="1">
                  <c:v>216.30338360755638</c:v>
                </c:pt>
                <c:pt idx="2">
                  <c:v>197.80885021097049</c:v>
                </c:pt>
                <c:pt idx="3">
                  <c:v>242.30829922894424</c:v>
                </c:pt>
                <c:pt idx="4">
                  <c:v>259.83394851657943</c:v>
                </c:pt>
                <c:pt idx="5">
                  <c:v>245.78390177548678</c:v>
                </c:pt>
                <c:pt idx="6">
                  <c:v>243.69034213515044</c:v>
                </c:pt>
                <c:pt idx="7">
                  <c:v>272.56889541387022</c:v>
                </c:pt>
                <c:pt idx="8">
                  <c:v>294.54674944812359</c:v>
                </c:pt>
                <c:pt idx="9">
                  <c:v>321.94790921409214</c:v>
                </c:pt>
                <c:pt idx="10">
                  <c:v>285.28369623655914</c:v>
                </c:pt>
                <c:pt idx="11">
                  <c:v>323.55013624338625</c:v>
                </c:pt>
                <c:pt idx="12">
                  <c:v>299.98065364583334</c:v>
                </c:pt>
                <c:pt idx="13">
                  <c:v>320.99209615384615</c:v>
                </c:pt>
                <c:pt idx="14">
                  <c:v>258.35516417910446</c:v>
                </c:pt>
                <c:pt idx="15">
                  <c:v>302.33481021897808</c:v>
                </c:pt>
                <c:pt idx="16">
                  <c:v>330.29499290780137</c:v>
                </c:pt>
                <c:pt idx="17">
                  <c:v>325.9401431564246</c:v>
                </c:pt>
                <c:pt idx="18">
                  <c:v>266.73062125403413</c:v>
                </c:pt>
                <c:pt idx="19">
                  <c:v>313.81658174818841</c:v>
                </c:pt>
                <c:pt idx="20">
                  <c:v>298.69043882978724</c:v>
                </c:pt>
                <c:pt idx="21">
                  <c:v>212.92005541069099</c:v>
                </c:pt>
                <c:pt idx="22">
                  <c:v>331.62835822510823</c:v>
                </c:pt>
                <c:pt idx="23">
                  <c:v>439.31483354673503</c:v>
                </c:pt>
                <c:pt idx="24">
                  <c:v>310.36585762568649</c:v>
                </c:pt>
                <c:pt idx="25">
                  <c:v>250.84987235367373</c:v>
                </c:pt>
                <c:pt idx="26">
                  <c:v>220.72734077750204</c:v>
                </c:pt>
                <c:pt idx="27">
                  <c:v>278.47162162162158</c:v>
                </c:pt>
                <c:pt idx="28">
                  <c:v>298.16990785743218</c:v>
                </c:pt>
                <c:pt idx="29">
                  <c:v>239.8784822142286</c:v>
                </c:pt>
                <c:pt idx="30">
                  <c:v>208.03859617682198</c:v>
                </c:pt>
                <c:pt idx="31">
                  <c:v>242.14923619271445</c:v>
                </c:pt>
                <c:pt idx="32">
                  <c:v>261.30191910331388</c:v>
                </c:pt>
                <c:pt idx="33">
                  <c:v>251.24078425712077</c:v>
                </c:pt>
                <c:pt idx="34">
                  <c:v>262.94023672055431</c:v>
                </c:pt>
                <c:pt idx="35">
                  <c:v>271.84742077128686</c:v>
                </c:pt>
                <c:pt idx="36">
                  <c:v>253.95551047619048</c:v>
                </c:pt>
                <c:pt idx="37">
                  <c:v>218.8223297592175</c:v>
                </c:pt>
                <c:pt idx="38">
                  <c:v>252.84302329951137</c:v>
                </c:pt>
                <c:pt idx="39">
                  <c:v>208.6458240014932</c:v>
                </c:pt>
                <c:pt idx="40">
                  <c:v>261.79330085374903</c:v>
                </c:pt>
                <c:pt idx="41">
                  <c:v>217.87030837004411</c:v>
                </c:pt>
                <c:pt idx="42">
                  <c:v>251.71047829286238</c:v>
                </c:pt>
                <c:pt idx="43">
                  <c:v>297.78102747252734</c:v>
                </c:pt>
                <c:pt idx="44">
                  <c:v>356.65788461538466</c:v>
                </c:pt>
                <c:pt idx="45">
                  <c:v>311.80014994547435</c:v>
                </c:pt>
                <c:pt idx="46">
                  <c:v>316.78540626131013</c:v>
                </c:pt>
                <c:pt idx="47">
                  <c:v>261.10974802015852</c:v>
                </c:pt>
                <c:pt idx="48">
                  <c:v>314.58249375446104</c:v>
                </c:pt>
                <c:pt idx="49">
                  <c:v>270.63436680835997</c:v>
                </c:pt>
                <c:pt idx="50">
                  <c:v>328.84904179950399</c:v>
                </c:pt>
                <c:pt idx="51">
                  <c:v>312.22575757575765</c:v>
                </c:pt>
                <c:pt idx="52">
                  <c:v>684.70909766454338</c:v>
                </c:pt>
                <c:pt idx="53">
                  <c:v>423.98353662811076</c:v>
                </c:pt>
                <c:pt idx="54">
                  <c:v>431.55811518324629</c:v>
                </c:pt>
                <c:pt idx="55">
                  <c:v>416.20374350986515</c:v>
                </c:pt>
                <c:pt idx="56">
                  <c:v>450.57738694758478</c:v>
                </c:pt>
                <c:pt idx="57">
                  <c:v>494.43201722961459</c:v>
                </c:pt>
                <c:pt idx="58">
                  <c:v>523.60930655066522</c:v>
                </c:pt>
                <c:pt idx="59">
                  <c:v>467.18048187669376</c:v>
                </c:pt>
                <c:pt idx="60">
                  <c:v>492.86392245720037</c:v>
                </c:pt>
                <c:pt idx="61">
                  <c:v>436.63065446339016</c:v>
                </c:pt>
                <c:pt idx="62">
                  <c:v>443.76415414161653</c:v>
                </c:pt>
                <c:pt idx="63">
                  <c:v>510.05658639523335</c:v>
                </c:pt>
                <c:pt idx="64">
                  <c:v>556.3253328402368</c:v>
                </c:pt>
                <c:pt idx="65">
                  <c:v>559.02769324853227</c:v>
                </c:pt>
                <c:pt idx="66">
                  <c:v>752.24303097345125</c:v>
                </c:pt>
                <c:pt idx="67">
                  <c:v>681.25548631239883</c:v>
                </c:pt>
                <c:pt idx="68">
                  <c:v>567.87179015296363</c:v>
                </c:pt>
                <c:pt idx="69">
                  <c:v>412.39942594354579</c:v>
                </c:pt>
                <c:pt idx="70">
                  <c:v>511.25855887939218</c:v>
                </c:pt>
                <c:pt idx="71">
                  <c:v>779.51194756554298</c:v>
                </c:pt>
                <c:pt idx="72">
                  <c:v>1069.7908648523983</c:v>
                </c:pt>
                <c:pt idx="73">
                  <c:v>708.20550486618004</c:v>
                </c:pt>
                <c:pt idx="74">
                  <c:v>636.06250077089135</c:v>
                </c:pt>
                <c:pt idx="75">
                  <c:v>804.74968261269521</c:v>
                </c:pt>
                <c:pt idx="76">
                  <c:v>732.93068389752966</c:v>
                </c:pt>
                <c:pt idx="77">
                  <c:v>637.72110984848484</c:v>
                </c:pt>
                <c:pt idx="78">
                  <c:v>788.11364811435521</c:v>
                </c:pt>
                <c:pt idx="79">
                  <c:v>718.14737087087087</c:v>
                </c:pt>
                <c:pt idx="80">
                  <c:v>939.23828679464793</c:v>
                </c:pt>
                <c:pt idx="81">
                  <c:v>620.99006307509671</c:v>
                </c:pt>
                <c:pt idx="82">
                  <c:v>660.65463583556743</c:v>
                </c:pt>
                <c:pt idx="83">
                  <c:v>719.68591696269959</c:v>
                </c:pt>
                <c:pt idx="84">
                  <c:v>789.53464550029594</c:v>
                </c:pt>
                <c:pt idx="85">
                  <c:v>521.98695105820093</c:v>
                </c:pt>
                <c:pt idx="86">
                  <c:v>690.08800073746295</c:v>
                </c:pt>
                <c:pt idx="87">
                  <c:v>645.02007163742735</c:v>
                </c:pt>
                <c:pt idx="88">
                  <c:v>631.31663734975075</c:v>
                </c:pt>
                <c:pt idx="89">
                  <c:v>481.78168981481485</c:v>
                </c:pt>
                <c:pt idx="90">
                  <c:v>668.84399580075285</c:v>
                </c:pt>
                <c:pt idx="91">
                  <c:v>708.80630172413782</c:v>
                </c:pt>
                <c:pt idx="92">
                  <c:v>861.56635934819906</c:v>
                </c:pt>
                <c:pt idx="93">
                  <c:v>631.84006361323145</c:v>
                </c:pt>
                <c:pt idx="94">
                  <c:v>727.00955811310018</c:v>
                </c:pt>
                <c:pt idx="95">
                  <c:v>758.47245378151274</c:v>
                </c:pt>
                <c:pt idx="96">
                  <c:v>949.37888226950349</c:v>
                </c:pt>
                <c:pt idx="97">
                  <c:v>746.41222738799661</c:v>
                </c:pt>
                <c:pt idx="98">
                  <c:v>953.66680673457881</c:v>
                </c:pt>
                <c:pt idx="99">
                  <c:v>806.30751103752709</c:v>
                </c:pt>
                <c:pt idx="100">
                  <c:v>833.82718826907285</c:v>
                </c:pt>
                <c:pt idx="101">
                  <c:v>771.91420491803274</c:v>
                </c:pt>
                <c:pt idx="102">
                  <c:v>1008.1645430544278</c:v>
                </c:pt>
                <c:pt idx="103">
                  <c:v>968.23786353916091</c:v>
                </c:pt>
                <c:pt idx="104">
                  <c:v>1016.0575493333332</c:v>
                </c:pt>
                <c:pt idx="105">
                  <c:v>824.87710289048016</c:v>
                </c:pt>
                <c:pt idx="106">
                  <c:v>1089.6405057150448</c:v>
                </c:pt>
                <c:pt idx="107">
                  <c:v>1029.9380706951029</c:v>
                </c:pt>
                <c:pt idx="108">
                  <c:v>2259.2670690624768</c:v>
                </c:pt>
                <c:pt idx="109">
                  <c:v>1152.3384193353972</c:v>
                </c:pt>
                <c:pt idx="110">
                  <c:v>1157.8819936479515</c:v>
                </c:pt>
                <c:pt idx="111">
                  <c:v>1184.5625522128623</c:v>
                </c:pt>
                <c:pt idx="112">
                  <c:v>1399.9357021733754</c:v>
                </c:pt>
                <c:pt idx="113">
                  <c:v>1018.000638693016</c:v>
                </c:pt>
                <c:pt idx="114">
                  <c:v>1213.8094437984032</c:v>
                </c:pt>
                <c:pt idx="115">
                  <c:v>1022.9551990190342</c:v>
                </c:pt>
                <c:pt idx="116">
                  <c:v>1133.2942477448194</c:v>
                </c:pt>
                <c:pt idx="117">
                  <c:v>828.54175350123683</c:v>
                </c:pt>
                <c:pt idx="118">
                  <c:v>1142.3272164274902</c:v>
                </c:pt>
                <c:pt idx="119">
                  <c:v>1075.6092497983868</c:v>
                </c:pt>
                <c:pt idx="120">
                  <c:v>1320.9606668485737</c:v>
                </c:pt>
                <c:pt idx="121">
                  <c:v>1293.4698472460532</c:v>
                </c:pt>
                <c:pt idx="122">
                  <c:v>941.18827584818212</c:v>
                </c:pt>
                <c:pt idx="123">
                  <c:v>1136.8455930002897</c:v>
                </c:pt>
                <c:pt idx="124">
                  <c:v>1121.2354871710336</c:v>
                </c:pt>
                <c:pt idx="125">
                  <c:v>920.75567342092279</c:v>
                </c:pt>
                <c:pt idx="126">
                  <c:v>1354.4804062267608</c:v>
                </c:pt>
                <c:pt idx="127">
                  <c:v>1082.9883124340633</c:v>
                </c:pt>
                <c:pt idx="128">
                  <c:v>1188.1788734274471</c:v>
                </c:pt>
                <c:pt idx="129">
                  <c:v>909.93613368260412</c:v>
                </c:pt>
                <c:pt idx="130">
                  <c:v>1204.4964852976252</c:v>
                </c:pt>
                <c:pt idx="131">
                  <c:v>1069.4548438440147</c:v>
                </c:pt>
                <c:pt idx="132">
                  <c:v>1229.4223263270042</c:v>
                </c:pt>
                <c:pt idx="133">
                  <c:v>946.33216270024968</c:v>
                </c:pt>
                <c:pt idx="134">
                  <c:v>1659.6982893280506</c:v>
                </c:pt>
                <c:pt idx="135">
                  <c:v>1126.1059823165513</c:v>
                </c:pt>
                <c:pt idx="136">
                  <c:v>1207.1698663254685</c:v>
                </c:pt>
                <c:pt idx="137">
                  <c:v>895.32806110240972</c:v>
                </c:pt>
                <c:pt idx="138">
                  <c:v>1057.3918477031002</c:v>
                </c:pt>
                <c:pt idx="139">
                  <c:v>1320.3320361635219</c:v>
                </c:pt>
                <c:pt idx="140">
                  <c:v>1347.8683756401692</c:v>
                </c:pt>
                <c:pt idx="141">
                  <c:v>1226.201139462886</c:v>
                </c:pt>
                <c:pt idx="142">
                  <c:v>1366.7895229317587</c:v>
                </c:pt>
                <c:pt idx="143">
                  <c:v>1205.9084852448686</c:v>
                </c:pt>
                <c:pt idx="144">
                  <c:v>1282.764882414637</c:v>
                </c:pt>
                <c:pt idx="145">
                  <c:v>1118.4782431426004</c:v>
                </c:pt>
                <c:pt idx="146">
                  <c:v>1556.671567881554</c:v>
                </c:pt>
                <c:pt idx="147">
                  <c:v>1449.6964825498819</c:v>
                </c:pt>
                <c:pt idx="148">
                  <c:v>1310.6849708888255</c:v>
                </c:pt>
                <c:pt idx="149">
                  <c:v>1100.9723712882096</c:v>
                </c:pt>
                <c:pt idx="150">
                  <c:v>1299.1083745153276</c:v>
                </c:pt>
                <c:pt idx="151">
                  <c:v>1366.0258642036858</c:v>
                </c:pt>
                <c:pt idx="152">
                  <c:v>2013.5234034523228</c:v>
                </c:pt>
                <c:pt idx="153">
                  <c:v>1134.3776554622568</c:v>
                </c:pt>
                <c:pt idx="154">
                  <c:v>1220.4416450263159</c:v>
                </c:pt>
                <c:pt idx="155">
                  <c:v>1345.3481169161016</c:v>
                </c:pt>
                <c:pt idx="156">
                  <c:v>1419.4841223014646</c:v>
                </c:pt>
                <c:pt idx="157">
                  <c:v>1071.0080771865894</c:v>
                </c:pt>
                <c:pt idx="158">
                  <c:v>1261.9752897180797</c:v>
                </c:pt>
                <c:pt idx="159">
                  <c:v>1575.3936724917862</c:v>
                </c:pt>
                <c:pt idx="160">
                  <c:v>1534.4165553473563</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'Tab2'!$K$71:$K$231</c:f>
              <c:numCache>
                <c:formatCode>General</c:formatCode>
                <c:ptCount val="16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'Tab2'!$L$71:$L$231</c:f>
              <c:numCache>
                <c:formatCode>#,##0</c:formatCode>
                <c:ptCount val="161"/>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pt idx="156" formatCode="0">
                  <c:v>24505.067470355731</c:v>
                </c:pt>
                <c:pt idx="157" formatCode="0">
                  <c:v>18109.505441201181</c:v>
                </c:pt>
                <c:pt idx="158" formatCode="0">
                  <c:v>22326.885249827203</c:v>
                </c:pt>
                <c:pt idx="159" formatCode="0">
                  <c:v>24565.831590744419</c:v>
                </c:pt>
                <c:pt idx="160" formatCode="0">
                  <c:v>26844.315237154147</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'Tab2'!$K$103:$K$231</c:f>
              <c:numCache>
                <c:formatCode>General</c:formatCode>
                <c:ptCount val="12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'Tab2'!$Q$103:$Q$231</c:f>
              <c:numCache>
                <c:formatCode>#\ ##0.0</c:formatCode>
                <c:ptCount val="129"/>
                <c:pt idx="0">
                  <c:v>756.99226218323577</c:v>
                </c:pt>
                <c:pt idx="1">
                  <c:v>732.30640588914537</c:v>
                </c:pt>
                <c:pt idx="2">
                  <c:v>854.45662143956883</c:v>
                </c:pt>
                <c:pt idx="3">
                  <c:v>839.93378197785466</c:v>
                </c:pt>
                <c:pt idx="4">
                  <c:v>803.66909999999996</c:v>
                </c:pt>
                <c:pt idx="5">
                  <c:v>798.53675696012033</c:v>
                </c:pt>
                <c:pt idx="6">
                  <c:v>852.61919954904192</c:v>
                </c:pt>
                <c:pt idx="7">
                  <c:v>818.43007092198559</c:v>
                </c:pt>
                <c:pt idx="8">
                  <c:v>859.38575167037857</c:v>
                </c:pt>
                <c:pt idx="9">
                  <c:v>667.41694291483111</c:v>
                </c:pt>
                <c:pt idx="10">
                  <c:v>736.36687362030943</c:v>
                </c:pt>
                <c:pt idx="11">
                  <c:v>881.26577838827802</c:v>
                </c:pt>
                <c:pt idx="12">
                  <c:v>806.9148754578755</c:v>
                </c:pt>
                <c:pt idx="13">
                  <c:v>925.66254725554347</c:v>
                </c:pt>
                <c:pt idx="14">
                  <c:v>793.3619209192907</c:v>
                </c:pt>
                <c:pt idx="15">
                  <c:v>724.35701403887686</c:v>
                </c:pt>
                <c:pt idx="16">
                  <c:v>998.35355995717339</c:v>
                </c:pt>
                <c:pt idx="17">
                  <c:v>843.83905065533145</c:v>
                </c:pt>
                <c:pt idx="18">
                  <c:v>890.37429241941174</c:v>
                </c:pt>
                <c:pt idx="19">
                  <c:v>671.46690539112035</c:v>
                </c:pt>
                <c:pt idx="20">
                  <c:v>874.84530343241329</c:v>
                </c:pt>
                <c:pt idx="21">
                  <c:v>1056.8891140904311</c:v>
                </c:pt>
                <c:pt idx="22">
                  <c:v>1046.348613438045</c:v>
                </c:pt>
                <c:pt idx="23">
                  <c:v>1187.2684337140884</c:v>
                </c:pt>
                <c:pt idx="24">
                  <c:v>1104.2940501884207</c:v>
                </c:pt>
                <c:pt idx="25">
                  <c:v>1167.7946400545884</c:v>
                </c:pt>
                <c:pt idx="26">
                  <c:v>1266.0482830092121</c:v>
                </c:pt>
                <c:pt idx="27">
                  <c:v>984.27266260162594</c:v>
                </c:pt>
                <c:pt idx="28">
                  <c:v>1036.916518966096</c:v>
                </c:pt>
                <c:pt idx="29">
                  <c:v>993.65769057171508</c:v>
                </c:pt>
                <c:pt idx="30">
                  <c:v>744.71161656646666</c:v>
                </c:pt>
                <c:pt idx="31">
                  <c:v>1259.5379294935442</c:v>
                </c:pt>
                <c:pt idx="32">
                  <c:v>1167.0130498027613</c:v>
                </c:pt>
                <c:pt idx="33">
                  <c:v>1469.5690427266798</c:v>
                </c:pt>
                <c:pt idx="34">
                  <c:v>957.40022123893766</c:v>
                </c:pt>
                <c:pt idx="35">
                  <c:v>1552.1541827697263</c:v>
                </c:pt>
                <c:pt idx="36">
                  <c:v>1346.0482241873806</c:v>
                </c:pt>
                <c:pt idx="37">
                  <c:v>1101.5835696162385</c:v>
                </c:pt>
                <c:pt idx="38">
                  <c:v>1151.6771747388418</c:v>
                </c:pt>
                <c:pt idx="39">
                  <c:v>1188.5627715355802</c:v>
                </c:pt>
                <c:pt idx="40">
                  <c:v>1389.3182118696186</c:v>
                </c:pt>
                <c:pt idx="41">
                  <c:v>1446.1807101581508</c:v>
                </c:pt>
                <c:pt idx="42">
                  <c:v>1862.1190394696266</c:v>
                </c:pt>
                <c:pt idx="43">
                  <c:v>1269.0526502606565</c:v>
                </c:pt>
                <c:pt idx="44">
                  <c:v>1288.952482464166</c:v>
                </c:pt>
                <c:pt idx="45">
                  <c:v>1075.7738477272726</c:v>
                </c:pt>
                <c:pt idx="46">
                  <c:v>1403.7197163929441</c:v>
                </c:pt>
                <c:pt idx="47">
                  <c:v>1451.9200938438439</c:v>
                </c:pt>
                <c:pt idx="48">
                  <c:v>1629.1318848167541</c:v>
                </c:pt>
                <c:pt idx="49">
                  <c:v>1250.5433971504897</c:v>
                </c:pt>
                <c:pt idx="50">
                  <c:v>1320.0815743223113</c:v>
                </c:pt>
                <c:pt idx="51">
                  <c:v>1162.5695581705154</c:v>
                </c:pt>
                <c:pt idx="52">
                  <c:v>1121.2398519834223</c:v>
                </c:pt>
                <c:pt idx="53">
                  <c:v>1072.5945965608464</c:v>
                </c:pt>
                <c:pt idx="54">
                  <c:v>991.89702286135673</c:v>
                </c:pt>
                <c:pt idx="55">
                  <c:v>1068.6063494152054</c:v>
                </c:pt>
                <c:pt idx="56">
                  <c:v>1080.1857871591908</c:v>
                </c:pt>
                <c:pt idx="57">
                  <c:v>1111.2879014756943</c:v>
                </c:pt>
                <c:pt idx="58">
                  <c:v>1241.4568121922969</c:v>
                </c:pt>
                <c:pt idx="59">
                  <c:v>1178.086998563218</c:v>
                </c:pt>
                <c:pt idx="60">
                  <c:v>1395.001120640366</c:v>
                </c:pt>
                <c:pt idx="61">
                  <c:v>1181.5321798134012</c:v>
                </c:pt>
                <c:pt idx="62">
                  <c:v>1253.0154667519182</c:v>
                </c:pt>
                <c:pt idx="63">
                  <c:v>1191.9677450980391</c:v>
                </c:pt>
                <c:pt idx="64">
                  <c:v>1596.2309347517728</c:v>
                </c:pt>
                <c:pt idx="65">
                  <c:v>1512.1307220343758</c:v>
                </c:pt>
                <c:pt idx="66">
                  <c:v>990.69391907187378</c:v>
                </c:pt>
                <c:pt idx="67">
                  <c:v>1296.0341287251654</c:v>
                </c:pt>
                <c:pt idx="68">
                  <c:v>1357.4520672682527</c:v>
                </c:pt>
                <c:pt idx="69">
                  <c:v>1624.0601926229513</c:v>
                </c:pt>
                <c:pt idx="70">
                  <c:v>2073.663474817221</c:v>
                </c:pt>
                <c:pt idx="71">
                  <c:v>1597.4341085271319</c:v>
                </c:pt>
                <c:pt idx="72">
                  <c:v>1442.3456206666667</c:v>
                </c:pt>
                <c:pt idx="73">
                  <c:v>1472.5654673826571</c:v>
                </c:pt>
                <c:pt idx="74">
                  <c:v>1750.244477006911</c:v>
                </c:pt>
                <c:pt idx="75">
                  <c:v>1617.1370576619279</c:v>
                </c:pt>
                <c:pt idx="76">
                  <c:v>2199.5904331779334</c:v>
                </c:pt>
                <c:pt idx="77">
                  <c:v>1840.739186061546</c:v>
                </c:pt>
                <c:pt idx="78">
                  <c:v>1728.2599621804902</c:v>
                </c:pt>
                <c:pt idx="79">
                  <c:v>1744.9305245478049</c:v>
                </c:pt>
                <c:pt idx="80">
                  <c:v>2240.4596153353814</c:v>
                </c:pt>
                <c:pt idx="81">
                  <c:v>2010.0903600508909</c:v>
                </c:pt>
                <c:pt idx="82">
                  <c:v>1705.828777691911</c:v>
                </c:pt>
                <c:pt idx="83">
                  <c:v>1693.3748991795592</c:v>
                </c:pt>
                <c:pt idx="84">
                  <c:v>1499.8991867432633</c:v>
                </c:pt>
                <c:pt idx="85">
                  <c:v>1353.1878239346688</c:v>
                </c:pt>
                <c:pt idx="86">
                  <c:v>1495.4016795158254</c:v>
                </c:pt>
                <c:pt idx="87">
                  <c:v>1393.3228693727156</c:v>
                </c:pt>
                <c:pt idx="88">
                  <c:v>1482.4883788633892</c:v>
                </c:pt>
                <c:pt idx="89">
                  <c:v>1449.6262631366687</c:v>
                </c:pt>
                <c:pt idx="90">
                  <c:v>1693.4267173772089</c:v>
                </c:pt>
                <c:pt idx="91">
                  <c:v>1539.124539494582</c:v>
                </c:pt>
                <c:pt idx="92">
                  <c:v>1877.7304571833063</c:v>
                </c:pt>
                <c:pt idx="93">
                  <c:v>1455.6578504187885</c:v>
                </c:pt>
                <c:pt idx="94">
                  <c:v>1579.2030743701985</c:v>
                </c:pt>
                <c:pt idx="95">
                  <c:v>1378.3395555712409</c:v>
                </c:pt>
                <c:pt idx="96">
                  <c:v>1587.9969085057683</c:v>
                </c:pt>
                <c:pt idx="97">
                  <c:v>1484.4309868814621</c:v>
                </c:pt>
                <c:pt idx="98">
                  <c:v>1648.5335287312373</c:v>
                </c:pt>
                <c:pt idx="99">
                  <c:v>1727.3459414196873</c:v>
                </c:pt>
                <c:pt idx="100">
                  <c:v>1524.9116935520087</c:v>
                </c:pt>
                <c:pt idx="101">
                  <c:v>1179.9560917801755</c:v>
                </c:pt>
                <c:pt idx="102">
                  <c:v>1763.8699725407973</c:v>
                </c:pt>
                <c:pt idx="103">
                  <c:v>1430.5839951634844</c:v>
                </c:pt>
                <c:pt idx="104">
                  <c:v>1520.7053265711932</c:v>
                </c:pt>
                <c:pt idx="105">
                  <c:v>1959.3553062056244</c:v>
                </c:pt>
                <c:pt idx="106">
                  <c:v>1112.1850305498981</c:v>
                </c:pt>
                <c:pt idx="107">
                  <c:v>1394.3909759658579</c:v>
                </c:pt>
                <c:pt idx="108">
                  <c:v>1447.667991538633</c:v>
                </c:pt>
                <c:pt idx="109">
                  <c:v>1676.2078807924263</c:v>
                </c:pt>
                <c:pt idx="110">
                  <c:v>2054.8851007785333</c:v>
                </c:pt>
                <c:pt idx="111">
                  <c:v>1623.4200510182068</c:v>
                </c:pt>
                <c:pt idx="112">
                  <c:v>1542.8464266289939</c:v>
                </c:pt>
                <c:pt idx="113">
                  <c:v>1495.9134469794897</c:v>
                </c:pt>
                <c:pt idx="114">
                  <c:v>1648.3954075161785</c:v>
                </c:pt>
                <c:pt idx="115">
                  <c:v>1350.62444982751</c:v>
                </c:pt>
                <c:pt idx="116">
                  <c:v>1958.1719427127741</c:v>
                </c:pt>
                <c:pt idx="117">
                  <c:v>1311.6199276320374</c:v>
                </c:pt>
                <c:pt idx="118">
                  <c:v>1140.353380655127</c:v>
                </c:pt>
                <c:pt idx="119">
                  <c:v>1311.5358826170566</c:v>
                </c:pt>
                <c:pt idx="120">
                  <c:v>1616.7574027583457</c:v>
                </c:pt>
                <c:pt idx="121">
                  <c:v>1573.1020233129996</c:v>
                </c:pt>
                <c:pt idx="122">
                  <c:v>1465.2867481892029</c:v>
                </c:pt>
                <c:pt idx="123">
                  <c:v>1338.1327252069937</c:v>
                </c:pt>
                <c:pt idx="124">
                  <c:v>1632.5787116590193</c:v>
                </c:pt>
                <c:pt idx="125">
                  <c:v>1397.1107577721607</c:v>
                </c:pt>
                <c:pt idx="126">
                  <c:v>1987.9320228732645</c:v>
                </c:pt>
                <c:pt idx="127">
                  <c:v>1932.5253249524062</c:v>
                </c:pt>
                <c:pt idx="128">
                  <c:v>1632.9116726335005</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'Tab2'!$K$103:$K$231</c:f>
              <c:numCache>
                <c:formatCode>General</c:formatCode>
                <c:ptCount val="12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'Tab2'!$O$103:$O$231</c:f>
              <c:numCache>
                <c:formatCode>#,##0</c:formatCode>
                <c:ptCount val="129"/>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pt idx="124" formatCode="0">
                  <c:v>6900.0468369565224</c:v>
                </c:pt>
                <c:pt idx="125" formatCode="0">
                  <c:v>6398.5711338452893</c:v>
                </c:pt>
                <c:pt idx="126" formatCode="0">
                  <c:v>9773.5265829437976</c:v>
                </c:pt>
                <c:pt idx="127" formatCode="0">
                  <c:v>7886.590696433057</c:v>
                </c:pt>
                <c:pt idx="128" formatCode="0">
                  <c:v>6557.2362137681157</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1. KVARTAL 2023 </a:t>
          </a:r>
          <a:r>
            <a:rPr lang="nb-NO" sz="1000">
              <a:effectLst/>
              <a:latin typeface="Arial"/>
              <a:ea typeface="ＭＳ 明朝"/>
              <a:cs typeface="Times New Roman"/>
            </a:rPr>
            <a:t>(</a:t>
          </a:r>
          <a:r>
            <a:rPr lang="nb-NO" sz="1000">
              <a:solidFill>
                <a:schemeClr val="dk1"/>
              </a:solidFill>
              <a:effectLst/>
              <a:latin typeface="Arial"/>
              <a:ea typeface="ＭＳ 明朝"/>
              <a:cs typeface="Times New Roman"/>
            </a:rPr>
            <a:t>7.juni 2023</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79375</xdr:colOff>
      <xdr:row>3</xdr:row>
      <xdr:rowOff>47625</xdr:rowOff>
    </xdr:from>
    <xdr:to>
      <xdr:col>6</xdr:col>
      <xdr:colOff>460375</xdr:colOff>
      <xdr:row>47</xdr:row>
      <xdr:rowOff>0</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79375" y="396875"/>
          <a:ext cx="5302250" cy="8334375"/>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000" b="1" i="0">
              <a:latin typeface="Times New Roman" pitchFamily="18" charset="0"/>
              <a:ea typeface="+mn-ea"/>
              <a:cs typeface="Times New Roman" pitchFamily="18" charset="0"/>
            </a:rPr>
            <a:t>HOVEDTREKK - Vinterskader i Sør-Norge – økt rentenivå/dyrtid/inflasjon og lav kronekurs </a:t>
          </a:r>
        </a:p>
        <a:p>
          <a:pPr rtl="0"/>
          <a:r>
            <a:rPr lang="en-US" sz="1000" b="0" i="1">
              <a:latin typeface="Times New Roman" pitchFamily="18" charset="0"/>
              <a:ea typeface="+mn-ea"/>
              <a:cs typeface="Times New Roman" pitchFamily="18" charset="0"/>
            </a:rPr>
            <a:t>Merk at korona-begrensende gjaldt mye av 1.kvartal 2021, mens de utover i 1.kvartal 2022 ble lempet på. Og første kvartal i år er det ingen koronarestriksjoner, men andre eksterne faktorer kan innvirke på skadeutviklingen. </a:t>
          </a:r>
          <a:r>
            <a:rPr lang="en-US" sz="1000" b="0" i="0">
              <a:latin typeface="Times New Roman" pitchFamily="18" charset="0"/>
              <a:ea typeface="+mn-ea"/>
              <a:cs typeface="Times New Roman" pitchFamily="18" charset="0"/>
            </a:rPr>
            <a:t>Erstatningene for landbasert forsikring totalt hittil i år ble på nesten 14,6 milliarder kr, mot 13,0 milliarder i fjor til samme tid. Økningen fra i fjor på 1,5 mrd.kr skyldes i stor grad motorvognskader (666 mill.kr), mer bygningsskader på næring (483 mill.kr) og mer reiseskader (205 mill.kr) og behandling (207 mill.kr). På private boliger og hytter er samlet erstatningsvekst på «bare» 2 % fra 1.kvartal i fjor (53 mill.kr). </a:t>
          </a:r>
        </a:p>
        <a:p>
          <a:pPr rtl="0"/>
          <a:r>
            <a:rPr lang="en-US" sz="600" b="1" i="0">
              <a:latin typeface="Times New Roman" pitchFamily="18" charset="0"/>
              <a:ea typeface="+mn-ea"/>
              <a:cs typeface="Times New Roman" pitchFamily="18" charset="0"/>
            </a:rPr>
            <a:t> </a:t>
          </a:r>
        </a:p>
        <a:p>
          <a:pPr rtl="0"/>
          <a:r>
            <a:rPr lang="en-US" sz="1000" b="1" i="0">
              <a:latin typeface="Times New Roman" pitchFamily="18" charset="0"/>
              <a:ea typeface="+mn-ea"/>
              <a:cs typeface="Times New Roman" pitchFamily="18" charset="0"/>
            </a:rPr>
            <a:t>Motor – glatt føre medførte mye kaskoskader </a:t>
          </a:r>
        </a:p>
        <a:p>
          <a:pPr rtl="0"/>
          <a:r>
            <a:rPr lang="en-US" sz="1000" b="0" i="0">
              <a:latin typeface="Times New Roman" pitchFamily="18" charset="0"/>
              <a:ea typeface="+mn-ea"/>
              <a:cs typeface="Times New Roman" pitchFamily="18" charset="0"/>
            </a:rPr>
            <a:t>Erstatning på motorvogn totalt ble på 5,5 mrd.kr som er en økning på nesten 14 % fra i fjor. Det er kasko som har økt mest i kroner. Mens tyveri fra kjøretøy har prosentvis økt mest fra i fjor med 33 %. Glasskadene er på nesten 479 mill.kr hittil i år, noe som er 17 % mer enn i fjor. (Merk at glasskadene for 1.kvartal 2021 var noe underrapportert - feil). Antall meldte skader har stor økning fra i fjor med 17 % totalt, og hvor det er kasko, redning og glass som økte mest. Hittil i år har det vært noe mer småskader enn i fjor til samme tid. Dette kan ha sammenheng med kjøreforholdene i sentrale strøk med mer varierende og ustabile kjøreforhold med is og snø. Tyveri av kjøretøy og fra kjøretøy har stor økning i antall fra i fjor, men det kan fortsatt ha vært en viss «koronaeffekt» i fjor. Men i gjennomsnitt ble det stjålet ting fra kjøretøy for rundt 24.000 kr som er en økning på 15 % fra i fjor. </a:t>
          </a:r>
        </a:p>
        <a:p>
          <a:pPr rtl="0"/>
          <a:r>
            <a:rPr lang="en-US" sz="600" b="1" i="0">
              <a:latin typeface="Times New Roman" pitchFamily="18" charset="0"/>
              <a:ea typeface="+mn-ea"/>
              <a:cs typeface="Times New Roman" pitchFamily="18" charset="0"/>
            </a:rPr>
            <a:t> </a:t>
          </a:r>
        </a:p>
        <a:p>
          <a:pPr rtl="0"/>
          <a:r>
            <a:rPr lang="en-US" sz="1000" b="1" i="0">
              <a:latin typeface="Times New Roman" pitchFamily="18" charset="0"/>
              <a:ea typeface="+mn-ea"/>
              <a:cs typeface="Times New Roman" pitchFamily="18" charset="0"/>
            </a:rPr>
            <a:t>Hus, hjem, hytte – mindre brann- og mer vannskader</a:t>
          </a:r>
        </a:p>
        <a:p>
          <a:pPr rtl="0"/>
          <a:r>
            <a:rPr lang="en-US" sz="1000" b="0" i="0">
              <a:latin typeface="Times New Roman" pitchFamily="18" charset="0"/>
              <a:ea typeface="+mn-ea"/>
              <a:cs typeface="Times New Roman" pitchFamily="18" charset="0"/>
            </a:rPr>
            <a:t>For hus, hjem og hytter ble de totale erstatningene hittil i år på 2,558 mrd.kr mot 2,506 i fjor, en økning på 2 %. Brannskadene ble på 680 mill.kr som er en reduksjon på 14 % fra i fjor, og vannskadeerstatningene økte fra 882 mill.kr i fjor til 971 mill.kr hittil i år. Første kvartal 2022 var en mer gunstig vinter enn hittil i år; så første kvartal i fjor hadde lite frostskader. Innbrudd/tyveri/ran hittil i år har tatt seg opp; antallsveksten fra i fjor er på 12 %, og erstatningene økte med 24 %. Samlet utgjør disse skadene nesten 106 mill.kr hittil i år; og det stjeles stadig for større verdier. I gjennomsnitt er det 15.500 kr og det er en økning på 38 % fra i fjor; økt inflasjon for gjenkjøp av varer kan også innvirke her.</a:t>
          </a:r>
        </a:p>
        <a:p>
          <a:pPr rtl="0"/>
          <a:r>
            <a:rPr lang="en-US" sz="600" b="1" i="0">
              <a:latin typeface="Times New Roman" pitchFamily="18" charset="0"/>
              <a:ea typeface="+mn-ea"/>
              <a:cs typeface="Times New Roman" pitchFamily="18" charset="0"/>
            </a:rPr>
            <a:t> </a:t>
          </a:r>
        </a:p>
        <a:p>
          <a:pPr rtl="0"/>
          <a:r>
            <a:rPr lang="en-US" sz="1000" b="1" i="0">
              <a:latin typeface="Times New Roman" pitchFamily="18" charset="0"/>
              <a:ea typeface="+mn-ea"/>
              <a:cs typeface="Times New Roman" pitchFamily="18" charset="0"/>
            </a:rPr>
            <a:t>Næringsbygg og landbruk – flere og større brannskader og mer vannskader og innbrudd  </a:t>
          </a:r>
        </a:p>
        <a:p>
          <a:pPr rtl="0"/>
          <a:r>
            <a:rPr lang="en-US" sz="1000" b="0" i="0">
              <a:latin typeface="Times New Roman" pitchFamily="18" charset="0"/>
              <a:ea typeface="+mn-ea"/>
              <a:cs typeface="Times New Roman" pitchFamily="18" charset="0"/>
            </a:rPr>
            <a:t>Hittil i år ble det erstattet skader for totalt 2,173 mrd.kr mot 1,690 mrd.kr i fjor. Økningen er på brannerstatning som utjør 1,004 mrd.kr hittil i år, en økning på hele 27 %; også i fjor var det flere store branner.  Vannskadene hittil i år ble på 611 mill.kr mot 495 mill.kr i fjor. Erstatning etter innbrudd/tyveri/ran har økt mye fra i fjor, men utgjør fortsatt «bare» 59,5 mill.kr. Økningen i antall innbrudd/tyveri/ran er på 55 % fra i fjor og erstatningene økte med 59 %. Det er ofte høye egenandeler på næring og strenge sikringstiltak, slik at forsikringsmeldte skader her utgjør bare 56 % av det som erstattes fra private boliger/hytter.     </a:t>
          </a:r>
        </a:p>
        <a:p>
          <a:pPr rtl="0"/>
          <a:r>
            <a:rPr lang="en-US" sz="600" b="1" i="0">
              <a:latin typeface="Times New Roman" pitchFamily="18" charset="0"/>
              <a:ea typeface="+mn-ea"/>
              <a:cs typeface="Times New Roman" pitchFamily="18" charset="0"/>
            </a:rPr>
            <a:t> </a:t>
          </a:r>
        </a:p>
        <a:p>
          <a:pPr rtl="0"/>
          <a:r>
            <a:rPr lang="en-US" sz="1000" b="1" i="0">
              <a:latin typeface="Times New Roman" pitchFamily="18" charset="0"/>
              <a:ea typeface="+mn-ea"/>
              <a:cs typeface="Times New Roman" pitchFamily="18" charset="0"/>
            </a:rPr>
            <a:t>Reiseforsikring – koronatiltak opphørt – dårlig kronekurs</a:t>
          </a:r>
        </a:p>
        <a:p>
          <a:pPr rtl="0"/>
          <a:r>
            <a:rPr lang="en-US" sz="1000" b="0" i="0">
              <a:latin typeface="Times New Roman" pitchFamily="18" charset="0"/>
              <a:ea typeface="+mn-ea"/>
              <a:cs typeface="Times New Roman" pitchFamily="18" charset="0"/>
            </a:rPr>
            <a:t>Hittil i år er det meldt rundt 85.250 reiseskader mot 66.000 i 1.kv. i fjor. Samlet erstatning hittil er på 619 mill.kr, mot fjorårets 414 mill.kr. I 1.kvartal 2019,</a:t>
          </a:r>
          <a:r>
            <a:rPr lang="en-US" sz="1000" b="0" i="0" baseline="0">
              <a:latin typeface="Times New Roman" pitchFamily="18" charset="0"/>
              <a:ea typeface="+mn-ea"/>
              <a:cs typeface="Times New Roman" pitchFamily="18" charset="0"/>
            </a:rPr>
            <a:t> </a:t>
          </a:r>
          <a:r>
            <a:rPr lang="en-US" sz="1000" b="0" i="0">
              <a:latin typeface="Times New Roman" pitchFamily="18" charset="0"/>
              <a:ea typeface="+mn-ea"/>
              <a:cs typeface="Times New Roman" pitchFamily="18" charset="0"/>
            </a:rPr>
            <a:t>det siste året før koronatiltak, var det 82.000 reiseskader med erstatning på 670 mill.kr. Hittil i år er tyveri av reisegods, ulykke og avbestilling over 2019-nivå, mens reisesyke fortsatt er noe lavere med 9 % færre tilfeller og 20 % mindre i erstatningsbeløp. I 1.kvartal 2019 utgjorde reisesykdom 47 % av de totale erstatningene (318 av 670 mill.kr), mens de nå utgjør 41 % (254 av 619 mill.kr). I den «verste koronaperioden» 1.kvartal 2021 var andelen nede i 22 %, men da var også samlet erstatning på 110 mill.kr! Hittil i år kan ugunstig kronekurs bety at erstatningene har økt litt ekstra, siden mange av skadene fortsatt skjer i utlandet.   </a:t>
          </a:r>
        </a:p>
        <a:p>
          <a:pPr rtl="0"/>
          <a:r>
            <a:rPr lang="en-US" sz="600" b="1" i="0">
              <a:latin typeface="Times New Roman" pitchFamily="18" charset="0"/>
              <a:ea typeface="+mn-ea"/>
              <a:cs typeface="Times New Roman" pitchFamily="18" charset="0"/>
            </a:rPr>
            <a:t> </a:t>
          </a:r>
        </a:p>
        <a:p>
          <a:pPr rtl="0"/>
          <a:r>
            <a:rPr lang="en-US" sz="1000" b="1" i="0">
              <a:latin typeface="Times New Roman" pitchFamily="18" charset="0"/>
              <a:ea typeface="+mn-ea"/>
              <a:cs typeface="Times New Roman" pitchFamily="18" charset="0"/>
            </a:rPr>
            <a:t>Behandlingsforsikring – stor vekst i bruk </a:t>
          </a:r>
        </a:p>
        <a:p>
          <a:pPr rtl="0"/>
          <a:r>
            <a:rPr lang="en-US" sz="1000" b="0" i="0">
              <a:latin typeface="Times New Roman" pitchFamily="18" charset="0"/>
              <a:ea typeface="+mn-ea"/>
              <a:cs typeface="Times New Roman" pitchFamily="18" charset="0"/>
            </a:rPr>
            <a:t>Det er fortsatt stor økning i porteføljen på behandlingsforsikring, som gjenspeiler seg i bruken av denne forsikringen; fra 1.kvartal 2022 til nå, økte antall forsikrede personer med 8 %. Antall meldte tilfeller har økt fra 103.000 1.kv.2022 til 142.900 hittil i år, og erstatningene har økt fra 492 mill.kr til 699 mill.kr hittil i år; en vekst på 42 %. Økningen kan også ha sammenheng med at flere avtaler nå inkluderer bruk av psykolog enn tidligere. Hittil i år er størst økning på fysioterapi-bruk; en økning på nesten 62 % fra i fjor og hvor beløpet nå er på 169 mill.kr. Antall bruk av fysioterapi økte med 54 % fra i fjor, og bruk av psykolog økte med 50 prosent. Bruk av fysioterapi kan også være «gjemt» under «annet-posten» hvor blant annet har rehabilitering inngår. </a:t>
          </a:r>
        </a:p>
        <a:p>
          <a:pPr rtl="0"/>
          <a:endParaRPr lang="nb-NO" sz="1000" b="0"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Codan Forsikring      </a:t>
          </a:r>
        </a:p>
        <a:p>
          <a:pPr algn="l" rtl="0">
            <a:defRPr sz="1000"/>
          </a:pPr>
          <a:r>
            <a:rPr lang="en-US" sz="1050" b="0" i="0" strike="noStrike">
              <a:solidFill>
                <a:srgbClr val="000000"/>
              </a:solidFill>
              <a:latin typeface="Times New Roman" pitchFamily="18" charset="0"/>
              <a:ea typeface="+mn-ea"/>
              <a:cs typeface="Times New Roman" pitchFamily="18" charset="0"/>
            </a:rPr>
            <a:t>   Danica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DNB Livsforsikring</a:t>
          </a:r>
        </a:p>
        <a:p>
          <a:pPr algn="l" rtl="0">
            <a:defRPr sz="1000"/>
          </a:pPr>
          <a:r>
            <a:rPr lang="en-US" sz="1050" b="0" i="0" strike="noStrike">
              <a:solidFill>
                <a:srgbClr val="000000"/>
              </a:solidFill>
              <a:latin typeface="Times New Roman" pitchFamily="18" charset="0"/>
              <a:ea typeface="+mn-ea"/>
              <a:cs typeface="Times New Roman" pitchFamily="18" charset="0"/>
            </a:rPr>
            <a:t>   Eika Forsikring </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 </a:t>
          </a:r>
        </a:p>
        <a:p>
          <a:pPr algn="l" rtl="0">
            <a:defRPr sz="1000"/>
          </a:pPr>
          <a:r>
            <a:rPr lang="en-US" sz="1050" b="0" i="0" strike="noStrike">
              <a:solidFill>
                <a:srgbClr val="000000"/>
              </a:solidFill>
              <a:latin typeface="Times New Roman" pitchFamily="18" charset="0"/>
              <a:ea typeface="+mn-ea"/>
              <a:cs typeface="Times New Roman" pitchFamily="18" charset="0"/>
            </a:rPr>
            <a:t>   Euro Accident      </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 </a:t>
          </a:r>
        </a:p>
        <a:p>
          <a:pPr algn="l" rtl="0">
            <a:defRPr sz="1000"/>
          </a:pPr>
          <a:r>
            <a:rPr lang="en-US" sz="1050" b="0" i="0" strike="noStrike">
              <a:solidFill>
                <a:srgbClr val="000000"/>
              </a:solidFill>
              <a:latin typeface="Times New Roman" pitchFamily="18" charset="0"/>
              <a:ea typeface="+mn-ea"/>
              <a:cs typeface="Times New Roman" pitchFamily="18" charset="0"/>
            </a:rPr>
            <a:t>   Fremtind </a:t>
          </a:r>
        </a:p>
        <a:p>
          <a:pPr algn="l" rtl="0">
            <a:defRPr sz="1000"/>
          </a:pPr>
          <a:r>
            <a:rPr lang="en-US" sz="1050" b="0" i="0" strike="noStrike">
              <a:solidFill>
                <a:srgbClr val="000000"/>
              </a:solidFill>
              <a:latin typeface="Times New Roman" pitchFamily="18" charset="0"/>
              <a:ea typeface="+mn-ea"/>
              <a:cs typeface="Times New Roman" pitchFamily="18" charset="0"/>
            </a:rPr>
            <a:t>   Frende Forsikring </a:t>
          </a:r>
        </a:p>
        <a:p>
          <a:pPr algn="l" rtl="0">
            <a:defRPr sz="1000"/>
          </a:pPr>
          <a:r>
            <a:rPr lang="en-US" sz="1050" b="0" i="0" strike="noStrike">
              <a:solidFill>
                <a:srgbClr val="000000"/>
              </a:solidFill>
              <a:latin typeface="Times New Roman" pitchFamily="18" charset="0"/>
              <a:ea typeface="+mn-ea"/>
              <a:cs typeface="Times New Roman" pitchFamily="18" charset="0"/>
            </a:rPr>
            <a:t>   Gjensidige </a:t>
          </a:r>
        </a:p>
        <a:p>
          <a:pPr algn="l" rtl="0">
            <a:defRPr sz="1000"/>
          </a:pPr>
          <a:r>
            <a:rPr lang="en-US" sz="1050" b="0" i="0" strike="noStrike">
              <a:solidFill>
                <a:srgbClr val="000000"/>
              </a:solidFill>
              <a:latin typeface="Times New Roman" pitchFamily="18" charset="0"/>
              <a:ea typeface="+mn-ea"/>
              <a:cs typeface="Times New Roman" pitchFamily="18" charset="0"/>
            </a:rPr>
            <a:t>   Granne forsikring (tidl. Møretrygd) </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 </a:t>
          </a:r>
        </a:p>
        <a:p>
          <a:pPr algn="l" rtl="0">
            <a:defRPr sz="1000"/>
          </a:pPr>
          <a:r>
            <a:rPr lang="en-US" sz="1050" b="0" i="0" strike="noStrike">
              <a:solidFill>
                <a:srgbClr val="000000"/>
              </a:solidFill>
              <a:latin typeface="Times New Roman" pitchFamily="18" charset="0"/>
              <a:ea typeface="+mn-ea"/>
              <a:cs typeface="Times New Roman" pitchFamily="18" charset="0"/>
            </a:rPr>
            <a:t>   If </a:t>
          </a:r>
        </a:p>
        <a:p>
          <a:pPr algn="l" rtl="0">
            <a:defRPr sz="1000"/>
          </a:pPr>
          <a:r>
            <a:rPr lang="en-US" sz="1050" b="0" i="0" strike="noStrike">
              <a:solidFill>
                <a:srgbClr val="000000"/>
              </a:solidFill>
              <a:latin typeface="Times New Roman" pitchFamily="18" charset="0"/>
              <a:ea typeface="+mn-ea"/>
              <a:cs typeface="Times New Roman" pitchFamily="18" charset="0"/>
            </a:rPr>
            <a:t>   Insr </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      </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 </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 AS </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 </a:t>
          </a:r>
        </a:p>
        <a:p>
          <a:pPr algn="l" rtl="0">
            <a:defRPr sz="1000"/>
          </a:pPr>
          <a:r>
            <a:rPr lang="en-US" sz="1050" b="0" i="0" strike="noStrike">
              <a:solidFill>
                <a:srgbClr val="000000"/>
              </a:solidFill>
              <a:latin typeface="Times New Roman" pitchFamily="18" charset="0"/>
              <a:ea typeface="+mn-ea"/>
              <a:cs typeface="Times New Roman" pitchFamily="18" charset="0"/>
            </a:rPr>
            <a:t>   Ly Forsikring </a:t>
          </a:r>
        </a:p>
        <a:p>
          <a:pPr algn="l" rtl="0">
            <a:defRPr sz="1000"/>
          </a:pPr>
          <a:r>
            <a:rPr lang="en-US" sz="1050" b="0" i="0" strike="noStrike">
              <a:solidFill>
                <a:srgbClr val="000000"/>
              </a:solidFill>
              <a:latin typeface="Times New Roman" pitchFamily="18" charset="0"/>
              <a:ea typeface="+mn-ea"/>
              <a:cs typeface="Times New Roman" pitchFamily="18" charset="0"/>
            </a:rPr>
            <a:t>   Nordea </a:t>
          </a:r>
        </a:p>
        <a:p>
          <a:pPr algn="l" rtl="0">
            <a:defRPr sz="1000"/>
          </a:pPr>
          <a:r>
            <a:rPr lang="en-US" sz="1050" b="0" i="0" strike="noStrike">
              <a:solidFill>
                <a:srgbClr val="000000"/>
              </a:solidFill>
              <a:latin typeface="Times New Roman" pitchFamily="18" charset="0"/>
              <a:ea typeface="+mn-ea"/>
              <a:cs typeface="Times New Roman" pitchFamily="18" charset="0"/>
            </a:rPr>
            <a:t>   Oslo Forsikring </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      </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 </a:t>
          </a:r>
        </a:p>
        <a:p>
          <a:pPr algn="l" rtl="0">
            <a:defRPr sz="1000"/>
          </a:pPr>
          <a:r>
            <a:rPr lang="en-US" sz="1050" b="0" i="0" strike="noStrike">
              <a:solidFill>
                <a:srgbClr val="000000"/>
              </a:solidFill>
              <a:latin typeface="Times New Roman" pitchFamily="18" charset="0"/>
              <a:ea typeface="+mn-ea"/>
              <a:cs typeface="Times New Roman" pitchFamily="18" charset="0"/>
            </a:rPr>
            <a:t>   Skogbrand </a:t>
          </a:r>
        </a:p>
        <a:p>
          <a:pPr algn="l" rtl="0">
            <a:defRPr sz="1000"/>
          </a:pPr>
          <a:r>
            <a:rPr lang="en-US" sz="1050" b="0" i="0" strike="noStrike">
              <a:solidFill>
                <a:srgbClr val="000000"/>
              </a:solidFill>
              <a:latin typeface="Times New Roman" pitchFamily="18" charset="0"/>
              <a:ea typeface="+mn-ea"/>
              <a:cs typeface="Times New Roman" pitchFamily="18" charset="0"/>
            </a:rPr>
            <a:t>   Storebrand      </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 </a:t>
          </a:r>
        </a:p>
        <a:p>
          <a:pPr algn="l" rtl="0">
            <a:defRPr sz="1000"/>
          </a:pPr>
          <a:r>
            <a:rPr lang="en-US" sz="1050" b="0" i="0" strike="noStrike">
              <a:solidFill>
                <a:srgbClr val="000000"/>
              </a:solidFill>
              <a:latin typeface="Times New Roman" pitchFamily="18" charset="0"/>
              <a:ea typeface="+mn-ea"/>
              <a:cs typeface="Times New Roman" pitchFamily="18" charset="0"/>
            </a:rPr>
            <a:t>   Tryg </a:t>
          </a:r>
        </a:p>
        <a:p>
          <a:pPr algn="l" rtl="0">
            <a:defRPr sz="1000"/>
          </a:pPr>
          <a:r>
            <a:rPr lang="en-US" sz="1050" b="0" i="0" strike="noStrike">
              <a:solidFill>
                <a:srgbClr val="000000"/>
              </a:solidFill>
              <a:latin typeface="Times New Roman" pitchFamily="18" charset="0"/>
              <a:ea typeface="+mn-ea"/>
              <a:cs typeface="Times New Roman" pitchFamily="18" charset="0"/>
            </a:rPr>
            <a:t>   W. R. Berkley </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  </a:t>
          </a:r>
        </a:p>
        <a:p>
          <a:pPr algn="l" rtl="0">
            <a:defRPr sz="1000"/>
          </a:pPr>
          <a:r>
            <a:rPr lang="en-US" sz="1050" b="0" i="0" strike="noStrike">
              <a:solidFill>
                <a:srgbClr val="000000"/>
              </a:solidFill>
              <a:latin typeface="Times New Roman" pitchFamily="18" charset="0"/>
              <a:ea typeface="+mn-ea"/>
              <a:cs typeface="Times New Roman" pitchFamily="18" charset="0"/>
            </a:rPr>
            <a:t>   YouPlus Livsforsikring  </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1">
              <a:effectLst/>
              <a:latin typeface="Times New Roman" panose="02020603050405020304" pitchFamily="18" charset="0"/>
              <a:ea typeface="+mn-ea"/>
              <a:cs typeface="Times New Roman" panose="02020603050405020304" pitchFamily="18" charset="0"/>
            </a:rPr>
            <a:t>Naturskadeutbetalingene</a:t>
          </a:r>
          <a:r>
            <a:rPr lang="en-US" sz="1200" b="0" i="0">
              <a:effectLst/>
              <a:latin typeface="Times New Roman" panose="02020603050405020304" pitchFamily="18" charset="0"/>
              <a:ea typeface="+mn-ea"/>
              <a:cs typeface="Times New Roman" panose="02020603050405020304" pitchFamily="18" charset="0"/>
            </a:rPr>
            <a:t> er holdt utenfor statistikken. Det samme gjelder </a:t>
          </a:r>
          <a:r>
            <a:rPr lang="en-US" sz="1200" b="0" i="1">
              <a:effectLst/>
              <a:latin typeface="Times New Roman" panose="02020603050405020304" pitchFamily="18" charset="0"/>
              <a:ea typeface="+mn-ea"/>
              <a:cs typeface="Times New Roman" panose="02020603050405020304" pitchFamily="18" charset="0"/>
            </a:rPr>
            <a:t>kreditt</a:t>
          </a:r>
          <a:r>
            <a:rPr lang="en-US" sz="1200" b="0" i="0">
              <a:effectLst/>
              <a:latin typeface="Times New Roman" panose="02020603050405020304" pitchFamily="18" charset="0"/>
              <a:ea typeface="+mn-ea"/>
              <a:cs typeface="Times New Roman" panose="02020603050405020304" pitchFamily="18" charset="0"/>
            </a:rPr>
            <a:t>- og </a:t>
          </a:r>
          <a:r>
            <a:rPr lang="en-US" sz="1200" b="0" i="1">
              <a:effectLst/>
              <a:latin typeface="Times New Roman" panose="02020603050405020304" pitchFamily="18" charset="0"/>
              <a:ea typeface="+mn-ea"/>
              <a:cs typeface="Times New Roman" panose="02020603050405020304" pitchFamily="18" charset="0"/>
            </a:rPr>
            <a:t>sjøforsikring.</a:t>
          </a:r>
          <a:endParaRPr lang="nb-NO" sz="120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a:t>
          </a:r>
          <a:r>
            <a:rPr lang="en-US" sz="1200" b="0" i="0" strike="noStrike">
              <a:solidFill>
                <a:srgbClr val="000000"/>
              </a:solidFill>
              <a:latin typeface="Times New Roman"/>
              <a:ea typeface="+mn-ea"/>
              <a:cs typeface="Times New Roman"/>
            </a:rPr>
            <a:t>tidsperiode statistikken omfatter (tall hittil i år). I </a:t>
          </a:r>
          <a:r>
            <a:rPr lang="en-US" sz="1200" b="0" i="0" strike="noStrike">
              <a:solidFill>
                <a:srgbClr val="000000"/>
              </a:solidFill>
              <a:latin typeface="Times New Roman"/>
              <a:cs typeface="Times New Roman"/>
            </a:rPr>
            <a:t>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defaultColWidth="11.42578125" defaultRowHeight="12.75" x14ac:dyDescent="0.2"/>
  <cols>
    <col min="1" max="1" width="16.28515625" style="151" customWidth="1"/>
    <col min="2" max="4" width="11.42578125" style="151"/>
    <col min="5" max="5" width="14.140625" style="151" bestFit="1" customWidth="1"/>
    <col min="6" max="7" width="11.42578125" style="151"/>
    <col min="8" max="8" width="13.42578125" style="151" customWidth="1"/>
    <col min="9" max="9" width="11.42578125" style="151"/>
    <col min="10" max="10" width="13.42578125" style="151" bestFit="1" customWidth="1"/>
    <col min="11" max="256" width="11.42578125" style="151"/>
    <col min="257" max="257" width="16.28515625" style="151" customWidth="1"/>
    <col min="258" max="260" width="11.42578125" style="151"/>
    <col min="261" max="261" width="14.140625" style="151" bestFit="1" customWidth="1"/>
    <col min="262" max="263" width="11.42578125" style="151"/>
    <col min="264" max="264" width="13.42578125" style="151" customWidth="1"/>
    <col min="265" max="265" width="11.42578125" style="151"/>
    <col min="266" max="266" width="13.42578125" style="151" bestFit="1" customWidth="1"/>
    <col min="267" max="512" width="11.42578125" style="151"/>
    <col min="513" max="513" width="16.28515625" style="151" customWidth="1"/>
    <col min="514" max="516" width="11.42578125" style="151"/>
    <col min="517" max="517" width="14.140625" style="151" bestFit="1" customWidth="1"/>
    <col min="518" max="519" width="11.42578125" style="151"/>
    <col min="520" max="520" width="13.42578125" style="151" customWidth="1"/>
    <col min="521" max="521" width="11.42578125" style="151"/>
    <col min="522" max="522" width="13.42578125" style="151" bestFit="1" customWidth="1"/>
    <col min="523" max="768" width="11.42578125" style="151"/>
    <col min="769" max="769" width="16.28515625" style="151" customWidth="1"/>
    <col min="770" max="772" width="11.42578125" style="151"/>
    <col min="773" max="773" width="14.140625" style="151" bestFit="1" customWidth="1"/>
    <col min="774" max="775" width="11.42578125" style="151"/>
    <col min="776" max="776" width="13.42578125" style="151" customWidth="1"/>
    <col min="777" max="777" width="11.42578125" style="151"/>
    <col min="778" max="778" width="13.42578125" style="151" bestFit="1" customWidth="1"/>
    <col min="779" max="1024" width="11.42578125" style="151"/>
    <col min="1025" max="1025" width="16.28515625" style="151" customWidth="1"/>
    <col min="1026" max="1028" width="11.42578125" style="151"/>
    <col min="1029" max="1029" width="14.140625" style="151" bestFit="1" customWidth="1"/>
    <col min="1030" max="1031" width="11.42578125" style="151"/>
    <col min="1032" max="1032" width="13.42578125" style="151" customWidth="1"/>
    <col min="1033" max="1033" width="11.42578125" style="151"/>
    <col min="1034" max="1034" width="13.42578125" style="151" bestFit="1" customWidth="1"/>
    <col min="1035" max="1280" width="11.42578125" style="151"/>
    <col min="1281" max="1281" width="16.28515625" style="151" customWidth="1"/>
    <col min="1282" max="1284" width="11.42578125" style="151"/>
    <col min="1285" max="1285" width="14.140625" style="151" bestFit="1" customWidth="1"/>
    <col min="1286" max="1287" width="11.42578125" style="151"/>
    <col min="1288" max="1288" width="13.42578125" style="151" customWidth="1"/>
    <col min="1289" max="1289" width="11.42578125" style="151"/>
    <col min="1290" max="1290" width="13.42578125" style="151" bestFit="1" customWidth="1"/>
    <col min="1291" max="1536" width="11.42578125" style="151"/>
    <col min="1537" max="1537" width="16.28515625" style="151" customWidth="1"/>
    <col min="1538" max="1540" width="11.42578125" style="151"/>
    <col min="1541" max="1541" width="14.140625" style="151" bestFit="1" customWidth="1"/>
    <col min="1542" max="1543" width="11.42578125" style="151"/>
    <col min="1544" max="1544" width="13.42578125" style="151" customWidth="1"/>
    <col min="1545" max="1545" width="11.42578125" style="151"/>
    <col min="1546" max="1546" width="13.42578125" style="151" bestFit="1" customWidth="1"/>
    <col min="1547" max="1792" width="11.42578125" style="151"/>
    <col min="1793" max="1793" width="16.28515625" style="151" customWidth="1"/>
    <col min="1794" max="1796" width="11.42578125" style="151"/>
    <col min="1797" max="1797" width="14.140625" style="151" bestFit="1" customWidth="1"/>
    <col min="1798" max="1799" width="11.42578125" style="151"/>
    <col min="1800" max="1800" width="13.42578125" style="151" customWidth="1"/>
    <col min="1801" max="1801" width="11.42578125" style="151"/>
    <col min="1802" max="1802" width="13.42578125" style="151" bestFit="1" customWidth="1"/>
    <col min="1803" max="2048" width="11.42578125" style="151"/>
    <col min="2049" max="2049" width="16.28515625" style="151" customWidth="1"/>
    <col min="2050" max="2052" width="11.42578125" style="151"/>
    <col min="2053" max="2053" width="14.140625" style="151" bestFit="1" customWidth="1"/>
    <col min="2054" max="2055" width="11.42578125" style="151"/>
    <col min="2056" max="2056" width="13.42578125" style="151" customWidth="1"/>
    <col min="2057" max="2057" width="11.42578125" style="151"/>
    <col min="2058" max="2058" width="13.42578125" style="151" bestFit="1" customWidth="1"/>
    <col min="2059" max="2304" width="11.42578125" style="151"/>
    <col min="2305" max="2305" width="16.28515625" style="151" customWidth="1"/>
    <col min="2306" max="2308" width="11.42578125" style="151"/>
    <col min="2309" max="2309" width="14.140625" style="151" bestFit="1" customWidth="1"/>
    <col min="2310" max="2311" width="11.42578125" style="151"/>
    <col min="2312" max="2312" width="13.42578125" style="151" customWidth="1"/>
    <col min="2313" max="2313" width="11.42578125" style="151"/>
    <col min="2314" max="2314" width="13.42578125" style="151" bestFit="1" customWidth="1"/>
    <col min="2315" max="2560" width="11.42578125" style="151"/>
    <col min="2561" max="2561" width="16.28515625" style="151" customWidth="1"/>
    <col min="2562" max="2564" width="11.42578125" style="151"/>
    <col min="2565" max="2565" width="14.140625" style="151" bestFit="1" customWidth="1"/>
    <col min="2566" max="2567" width="11.42578125" style="151"/>
    <col min="2568" max="2568" width="13.42578125" style="151" customWidth="1"/>
    <col min="2569" max="2569" width="11.42578125" style="151"/>
    <col min="2570" max="2570" width="13.42578125" style="151" bestFit="1" customWidth="1"/>
    <col min="2571" max="2816" width="11.42578125" style="151"/>
    <col min="2817" max="2817" width="16.28515625" style="151" customWidth="1"/>
    <col min="2818" max="2820" width="11.42578125" style="151"/>
    <col min="2821" max="2821" width="14.140625" style="151" bestFit="1" customWidth="1"/>
    <col min="2822" max="2823" width="11.42578125" style="151"/>
    <col min="2824" max="2824" width="13.42578125" style="151" customWidth="1"/>
    <col min="2825" max="2825" width="11.42578125" style="151"/>
    <col min="2826" max="2826" width="13.42578125" style="151" bestFit="1" customWidth="1"/>
    <col min="2827" max="3072" width="11.42578125" style="151"/>
    <col min="3073" max="3073" width="16.28515625" style="151" customWidth="1"/>
    <col min="3074" max="3076" width="11.42578125" style="151"/>
    <col min="3077" max="3077" width="14.140625" style="151" bestFit="1" customWidth="1"/>
    <col min="3078" max="3079" width="11.42578125" style="151"/>
    <col min="3080" max="3080" width="13.42578125" style="151" customWidth="1"/>
    <col min="3081" max="3081" width="11.42578125" style="151"/>
    <col min="3082" max="3082" width="13.42578125" style="151" bestFit="1" customWidth="1"/>
    <col min="3083" max="3328" width="11.42578125" style="151"/>
    <col min="3329" max="3329" width="16.28515625" style="151" customWidth="1"/>
    <col min="3330" max="3332" width="11.42578125" style="151"/>
    <col min="3333" max="3333" width="14.140625" style="151" bestFit="1" customWidth="1"/>
    <col min="3334" max="3335" width="11.42578125" style="151"/>
    <col min="3336" max="3336" width="13.42578125" style="151" customWidth="1"/>
    <col min="3337" max="3337" width="11.42578125" style="151"/>
    <col min="3338" max="3338" width="13.42578125" style="151" bestFit="1" customWidth="1"/>
    <col min="3339" max="3584" width="11.42578125" style="151"/>
    <col min="3585" max="3585" width="16.28515625" style="151" customWidth="1"/>
    <col min="3586" max="3588" width="11.42578125" style="151"/>
    <col min="3589" max="3589" width="14.140625" style="151" bestFit="1" customWidth="1"/>
    <col min="3590" max="3591" width="11.42578125" style="151"/>
    <col min="3592" max="3592" width="13.42578125" style="151" customWidth="1"/>
    <col min="3593" max="3593" width="11.42578125" style="151"/>
    <col min="3594" max="3594" width="13.42578125" style="151" bestFit="1" customWidth="1"/>
    <col min="3595" max="3840" width="11.42578125" style="151"/>
    <col min="3841" max="3841" width="16.28515625" style="151" customWidth="1"/>
    <col min="3842" max="3844" width="11.42578125" style="151"/>
    <col min="3845" max="3845" width="14.140625" style="151" bestFit="1" customWidth="1"/>
    <col min="3846" max="3847" width="11.42578125" style="151"/>
    <col min="3848" max="3848" width="13.42578125" style="151" customWidth="1"/>
    <col min="3849" max="3849" width="11.42578125" style="151"/>
    <col min="3850" max="3850" width="13.42578125" style="151" bestFit="1" customWidth="1"/>
    <col min="3851" max="4096" width="11.42578125" style="151"/>
    <col min="4097" max="4097" width="16.28515625" style="151" customWidth="1"/>
    <col min="4098" max="4100" width="11.42578125" style="151"/>
    <col min="4101" max="4101" width="14.140625" style="151" bestFit="1" customWidth="1"/>
    <col min="4102" max="4103" width="11.42578125" style="151"/>
    <col min="4104" max="4104" width="13.42578125" style="151" customWidth="1"/>
    <col min="4105" max="4105" width="11.42578125" style="151"/>
    <col min="4106" max="4106" width="13.42578125" style="151" bestFit="1" customWidth="1"/>
    <col min="4107" max="4352" width="11.42578125" style="151"/>
    <col min="4353" max="4353" width="16.28515625" style="151" customWidth="1"/>
    <col min="4354" max="4356" width="11.42578125" style="151"/>
    <col min="4357" max="4357" width="14.140625" style="151" bestFit="1" customWidth="1"/>
    <col min="4358" max="4359" width="11.42578125" style="151"/>
    <col min="4360" max="4360" width="13.42578125" style="151" customWidth="1"/>
    <col min="4361" max="4361" width="11.42578125" style="151"/>
    <col min="4362" max="4362" width="13.42578125" style="151" bestFit="1" customWidth="1"/>
    <col min="4363" max="4608" width="11.42578125" style="151"/>
    <col min="4609" max="4609" width="16.28515625" style="151" customWidth="1"/>
    <col min="4610" max="4612" width="11.42578125" style="151"/>
    <col min="4613" max="4613" width="14.140625" style="151" bestFit="1" customWidth="1"/>
    <col min="4614" max="4615" width="11.42578125" style="151"/>
    <col min="4616" max="4616" width="13.42578125" style="151" customWidth="1"/>
    <col min="4617" max="4617" width="11.42578125" style="151"/>
    <col min="4618" max="4618" width="13.42578125" style="151" bestFit="1" customWidth="1"/>
    <col min="4619" max="4864" width="11.42578125" style="151"/>
    <col min="4865" max="4865" width="16.28515625" style="151" customWidth="1"/>
    <col min="4866" max="4868" width="11.42578125" style="151"/>
    <col min="4869" max="4869" width="14.140625" style="151" bestFit="1" customWidth="1"/>
    <col min="4870" max="4871" width="11.42578125" style="151"/>
    <col min="4872" max="4872" width="13.42578125" style="151" customWidth="1"/>
    <col min="4873" max="4873" width="11.42578125" style="151"/>
    <col min="4874" max="4874" width="13.42578125" style="151" bestFit="1" customWidth="1"/>
    <col min="4875" max="5120" width="11.42578125" style="151"/>
    <col min="5121" max="5121" width="16.28515625" style="151" customWidth="1"/>
    <col min="5122" max="5124" width="11.42578125" style="151"/>
    <col min="5125" max="5125" width="14.140625" style="151" bestFit="1" customWidth="1"/>
    <col min="5126" max="5127" width="11.42578125" style="151"/>
    <col min="5128" max="5128" width="13.42578125" style="151" customWidth="1"/>
    <col min="5129" max="5129" width="11.42578125" style="151"/>
    <col min="5130" max="5130" width="13.42578125" style="151" bestFit="1" customWidth="1"/>
    <col min="5131" max="5376" width="11.42578125" style="151"/>
    <col min="5377" max="5377" width="16.28515625" style="151" customWidth="1"/>
    <col min="5378" max="5380" width="11.42578125" style="151"/>
    <col min="5381" max="5381" width="14.140625" style="151" bestFit="1" customWidth="1"/>
    <col min="5382" max="5383" width="11.42578125" style="151"/>
    <col min="5384" max="5384" width="13.42578125" style="151" customWidth="1"/>
    <col min="5385" max="5385" width="11.42578125" style="151"/>
    <col min="5386" max="5386" width="13.42578125" style="151" bestFit="1" customWidth="1"/>
    <col min="5387" max="5632" width="11.42578125" style="151"/>
    <col min="5633" max="5633" width="16.28515625" style="151" customWidth="1"/>
    <col min="5634" max="5636" width="11.42578125" style="151"/>
    <col min="5637" max="5637" width="14.140625" style="151" bestFit="1" customWidth="1"/>
    <col min="5638" max="5639" width="11.42578125" style="151"/>
    <col min="5640" max="5640" width="13.42578125" style="151" customWidth="1"/>
    <col min="5641" max="5641" width="11.42578125" style="151"/>
    <col min="5642" max="5642" width="13.42578125" style="151" bestFit="1" customWidth="1"/>
    <col min="5643" max="5888" width="11.42578125" style="151"/>
    <col min="5889" max="5889" width="16.28515625" style="151" customWidth="1"/>
    <col min="5890" max="5892" width="11.42578125" style="151"/>
    <col min="5893" max="5893" width="14.140625" style="151" bestFit="1" customWidth="1"/>
    <col min="5894" max="5895" width="11.42578125" style="151"/>
    <col min="5896" max="5896" width="13.42578125" style="151" customWidth="1"/>
    <col min="5897" max="5897" width="11.42578125" style="151"/>
    <col min="5898" max="5898" width="13.42578125" style="151" bestFit="1" customWidth="1"/>
    <col min="5899" max="6144" width="11.42578125" style="151"/>
    <col min="6145" max="6145" width="16.28515625" style="151" customWidth="1"/>
    <col min="6146" max="6148" width="11.42578125" style="151"/>
    <col min="6149" max="6149" width="14.140625" style="151" bestFit="1" customWidth="1"/>
    <col min="6150" max="6151" width="11.42578125" style="151"/>
    <col min="6152" max="6152" width="13.42578125" style="151" customWidth="1"/>
    <col min="6153" max="6153" width="11.42578125" style="151"/>
    <col min="6154" max="6154" width="13.42578125" style="151" bestFit="1" customWidth="1"/>
    <col min="6155" max="6400" width="11.42578125" style="151"/>
    <col min="6401" max="6401" width="16.28515625" style="151" customWidth="1"/>
    <col min="6402" max="6404" width="11.42578125" style="151"/>
    <col min="6405" max="6405" width="14.140625" style="151" bestFit="1" customWidth="1"/>
    <col min="6406" max="6407" width="11.42578125" style="151"/>
    <col min="6408" max="6408" width="13.42578125" style="151" customWidth="1"/>
    <col min="6409" max="6409" width="11.42578125" style="151"/>
    <col min="6410" max="6410" width="13.42578125" style="151" bestFit="1" customWidth="1"/>
    <col min="6411" max="6656" width="11.42578125" style="151"/>
    <col min="6657" max="6657" width="16.28515625" style="151" customWidth="1"/>
    <col min="6658" max="6660" width="11.42578125" style="151"/>
    <col min="6661" max="6661" width="14.140625" style="151" bestFit="1" customWidth="1"/>
    <col min="6662" max="6663" width="11.42578125" style="151"/>
    <col min="6664" max="6664" width="13.42578125" style="151" customWidth="1"/>
    <col min="6665" max="6665" width="11.42578125" style="151"/>
    <col min="6666" max="6666" width="13.42578125" style="151" bestFit="1" customWidth="1"/>
    <col min="6667" max="6912" width="11.42578125" style="151"/>
    <col min="6913" max="6913" width="16.28515625" style="151" customWidth="1"/>
    <col min="6914" max="6916" width="11.42578125" style="151"/>
    <col min="6917" max="6917" width="14.140625" style="151" bestFit="1" customWidth="1"/>
    <col min="6918" max="6919" width="11.42578125" style="151"/>
    <col min="6920" max="6920" width="13.42578125" style="151" customWidth="1"/>
    <col min="6921" max="6921" width="11.42578125" style="151"/>
    <col min="6922" max="6922" width="13.42578125" style="151" bestFit="1" customWidth="1"/>
    <col min="6923" max="7168" width="11.42578125" style="151"/>
    <col min="7169" max="7169" width="16.28515625" style="151" customWidth="1"/>
    <col min="7170" max="7172" width="11.42578125" style="151"/>
    <col min="7173" max="7173" width="14.140625" style="151" bestFit="1" customWidth="1"/>
    <col min="7174" max="7175" width="11.42578125" style="151"/>
    <col min="7176" max="7176" width="13.42578125" style="151" customWidth="1"/>
    <col min="7177" max="7177" width="11.42578125" style="151"/>
    <col min="7178" max="7178" width="13.42578125" style="151" bestFit="1" customWidth="1"/>
    <col min="7179" max="7424" width="11.42578125" style="151"/>
    <col min="7425" max="7425" width="16.28515625" style="151" customWidth="1"/>
    <col min="7426" max="7428" width="11.42578125" style="151"/>
    <col min="7429" max="7429" width="14.140625" style="151" bestFit="1" customWidth="1"/>
    <col min="7430" max="7431" width="11.42578125" style="151"/>
    <col min="7432" max="7432" width="13.42578125" style="151" customWidth="1"/>
    <col min="7433" max="7433" width="11.42578125" style="151"/>
    <col min="7434" max="7434" width="13.42578125" style="151" bestFit="1" customWidth="1"/>
    <col min="7435" max="7680" width="11.42578125" style="151"/>
    <col min="7681" max="7681" width="16.28515625" style="151" customWidth="1"/>
    <col min="7682" max="7684" width="11.42578125" style="151"/>
    <col min="7685" max="7685" width="14.140625" style="151" bestFit="1" customWidth="1"/>
    <col min="7686" max="7687" width="11.42578125" style="151"/>
    <col min="7688" max="7688" width="13.42578125" style="151" customWidth="1"/>
    <col min="7689" max="7689" width="11.42578125" style="151"/>
    <col min="7690" max="7690" width="13.42578125" style="151" bestFit="1" customWidth="1"/>
    <col min="7691" max="7936" width="11.42578125" style="151"/>
    <col min="7937" max="7937" width="16.28515625" style="151" customWidth="1"/>
    <col min="7938" max="7940" width="11.42578125" style="151"/>
    <col min="7941" max="7941" width="14.140625" style="151" bestFit="1" customWidth="1"/>
    <col min="7942" max="7943" width="11.42578125" style="151"/>
    <col min="7944" max="7944" width="13.42578125" style="151" customWidth="1"/>
    <col min="7945" max="7945" width="11.42578125" style="151"/>
    <col min="7946" max="7946" width="13.42578125" style="151" bestFit="1" customWidth="1"/>
    <col min="7947" max="8192" width="11.42578125" style="151"/>
    <col min="8193" max="8193" width="16.28515625" style="151" customWidth="1"/>
    <col min="8194" max="8196" width="11.42578125" style="151"/>
    <col min="8197" max="8197" width="14.140625" style="151" bestFit="1" customWidth="1"/>
    <col min="8198" max="8199" width="11.42578125" style="151"/>
    <col min="8200" max="8200" width="13.42578125" style="151" customWidth="1"/>
    <col min="8201" max="8201" width="11.42578125" style="151"/>
    <col min="8202" max="8202" width="13.42578125" style="151" bestFit="1" customWidth="1"/>
    <col min="8203" max="8448" width="11.42578125" style="151"/>
    <col min="8449" max="8449" width="16.28515625" style="151" customWidth="1"/>
    <col min="8450" max="8452" width="11.42578125" style="151"/>
    <col min="8453" max="8453" width="14.140625" style="151" bestFit="1" customWidth="1"/>
    <col min="8454" max="8455" width="11.42578125" style="151"/>
    <col min="8456" max="8456" width="13.42578125" style="151" customWidth="1"/>
    <col min="8457" max="8457" width="11.42578125" style="151"/>
    <col min="8458" max="8458" width="13.42578125" style="151" bestFit="1" customWidth="1"/>
    <col min="8459" max="8704" width="11.42578125" style="151"/>
    <col min="8705" max="8705" width="16.28515625" style="151" customWidth="1"/>
    <col min="8706" max="8708" width="11.42578125" style="151"/>
    <col min="8709" max="8709" width="14.140625" style="151" bestFit="1" customWidth="1"/>
    <col min="8710" max="8711" width="11.42578125" style="151"/>
    <col min="8712" max="8712" width="13.42578125" style="151" customWidth="1"/>
    <col min="8713" max="8713" width="11.42578125" style="151"/>
    <col min="8714" max="8714" width="13.42578125" style="151" bestFit="1" customWidth="1"/>
    <col min="8715" max="8960" width="11.42578125" style="151"/>
    <col min="8961" max="8961" width="16.28515625" style="151" customWidth="1"/>
    <col min="8962" max="8964" width="11.42578125" style="151"/>
    <col min="8965" max="8965" width="14.140625" style="151" bestFit="1" customWidth="1"/>
    <col min="8966" max="8967" width="11.42578125" style="151"/>
    <col min="8968" max="8968" width="13.42578125" style="151" customWidth="1"/>
    <col min="8969" max="8969" width="11.42578125" style="151"/>
    <col min="8970" max="8970" width="13.42578125" style="151" bestFit="1" customWidth="1"/>
    <col min="8971" max="9216" width="11.42578125" style="151"/>
    <col min="9217" max="9217" width="16.28515625" style="151" customWidth="1"/>
    <col min="9218" max="9220" width="11.42578125" style="151"/>
    <col min="9221" max="9221" width="14.140625" style="151" bestFit="1" customWidth="1"/>
    <col min="9222" max="9223" width="11.42578125" style="151"/>
    <col min="9224" max="9224" width="13.42578125" style="151" customWidth="1"/>
    <col min="9225" max="9225" width="11.42578125" style="151"/>
    <col min="9226" max="9226" width="13.42578125" style="151" bestFit="1" customWidth="1"/>
    <col min="9227" max="9472" width="11.42578125" style="151"/>
    <col min="9473" max="9473" width="16.28515625" style="151" customWidth="1"/>
    <col min="9474" max="9476" width="11.42578125" style="151"/>
    <col min="9477" max="9477" width="14.140625" style="151" bestFit="1" customWidth="1"/>
    <col min="9478" max="9479" width="11.42578125" style="151"/>
    <col min="9480" max="9480" width="13.42578125" style="151" customWidth="1"/>
    <col min="9481" max="9481" width="11.42578125" style="151"/>
    <col min="9482" max="9482" width="13.42578125" style="151" bestFit="1" customWidth="1"/>
    <col min="9483" max="9728" width="11.42578125" style="151"/>
    <col min="9729" max="9729" width="16.28515625" style="151" customWidth="1"/>
    <col min="9730" max="9732" width="11.42578125" style="151"/>
    <col min="9733" max="9733" width="14.140625" style="151" bestFit="1" customWidth="1"/>
    <col min="9734" max="9735" width="11.42578125" style="151"/>
    <col min="9736" max="9736" width="13.42578125" style="151" customWidth="1"/>
    <col min="9737" max="9737" width="11.42578125" style="151"/>
    <col min="9738" max="9738" width="13.42578125" style="151" bestFit="1" customWidth="1"/>
    <col min="9739" max="9984" width="11.42578125" style="151"/>
    <col min="9985" max="9985" width="16.28515625" style="151" customWidth="1"/>
    <col min="9986" max="9988" width="11.42578125" style="151"/>
    <col min="9989" max="9989" width="14.140625" style="151" bestFit="1" customWidth="1"/>
    <col min="9990" max="9991" width="11.42578125" style="151"/>
    <col min="9992" max="9992" width="13.42578125" style="151" customWidth="1"/>
    <col min="9993" max="9993" width="11.42578125" style="151"/>
    <col min="9994" max="9994" width="13.42578125" style="151" bestFit="1" customWidth="1"/>
    <col min="9995" max="10240" width="11.42578125" style="151"/>
    <col min="10241" max="10241" width="16.28515625" style="151" customWidth="1"/>
    <col min="10242" max="10244" width="11.42578125" style="151"/>
    <col min="10245" max="10245" width="14.140625" style="151" bestFit="1" customWidth="1"/>
    <col min="10246" max="10247" width="11.42578125" style="151"/>
    <col min="10248" max="10248" width="13.42578125" style="151" customWidth="1"/>
    <col min="10249" max="10249" width="11.42578125" style="151"/>
    <col min="10250" max="10250" width="13.42578125" style="151" bestFit="1" customWidth="1"/>
    <col min="10251" max="10496" width="11.42578125" style="151"/>
    <col min="10497" max="10497" width="16.28515625" style="151" customWidth="1"/>
    <col min="10498" max="10500" width="11.42578125" style="151"/>
    <col min="10501" max="10501" width="14.140625" style="151" bestFit="1" customWidth="1"/>
    <col min="10502" max="10503" width="11.42578125" style="151"/>
    <col min="10504" max="10504" width="13.42578125" style="151" customWidth="1"/>
    <col min="10505" max="10505" width="11.42578125" style="151"/>
    <col min="10506" max="10506" width="13.42578125" style="151" bestFit="1" customWidth="1"/>
    <col min="10507" max="10752" width="11.42578125" style="151"/>
    <col min="10753" max="10753" width="16.28515625" style="151" customWidth="1"/>
    <col min="10754" max="10756" width="11.42578125" style="151"/>
    <col min="10757" max="10757" width="14.140625" style="151" bestFit="1" customWidth="1"/>
    <col min="10758" max="10759" width="11.42578125" style="151"/>
    <col min="10760" max="10760" width="13.42578125" style="151" customWidth="1"/>
    <col min="10761" max="10761" width="11.42578125" style="151"/>
    <col min="10762" max="10762" width="13.42578125" style="151" bestFit="1" customWidth="1"/>
    <col min="10763" max="11008" width="11.42578125" style="151"/>
    <col min="11009" max="11009" width="16.28515625" style="151" customWidth="1"/>
    <col min="11010" max="11012" width="11.42578125" style="151"/>
    <col min="11013" max="11013" width="14.140625" style="151" bestFit="1" customWidth="1"/>
    <col min="11014" max="11015" width="11.42578125" style="151"/>
    <col min="11016" max="11016" width="13.42578125" style="151" customWidth="1"/>
    <col min="11017" max="11017" width="11.42578125" style="151"/>
    <col min="11018" max="11018" width="13.42578125" style="151" bestFit="1" customWidth="1"/>
    <col min="11019" max="11264" width="11.42578125" style="151"/>
    <col min="11265" max="11265" width="16.28515625" style="151" customWidth="1"/>
    <col min="11266" max="11268" width="11.42578125" style="151"/>
    <col min="11269" max="11269" width="14.140625" style="151" bestFit="1" customWidth="1"/>
    <col min="11270" max="11271" width="11.42578125" style="151"/>
    <col min="11272" max="11272" width="13.42578125" style="151" customWidth="1"/>
    <col min="11273" max="11273" width="11.42578125" style="151"/>
    <col min="11274" max="11274" width="13.42578125" style="151" bestFit="1" customWidth="1"/>
    <col min="11275" max="11520" width="11.42578125" style="151"/>
    <col min="11521" max="11521" width="16.28515625" style="151" customWidth="1"/>
    <col min="11522" max="11524" width="11.42578125" style="151"/>
    <col min="11525" max="11525" width="14.140625" style="151" bestFit="1" customWidth="1"/>
    <col min="11526" max="11527" width="11.42578125" style="151"/>
    <col min="11528" max="11528" width="13.42578125" style="151" customWidth="1"/>
    <col min="11529" max="11529" width="11.42578125" style="151"/>
    <col min="11530" max="11530" width="13.42578125" style="151" bestFit="1" customWidth="1"/>
    <col min="11531" max="11776" width="11.42578125" style="151"/>
    <col min="11777" max="11777" width="16.28515625" style="151" customWidth="1"/>
    <col min="11778" max="11780" width="11.42578125" style="151"/>
    <col min="11781" max="11781" width="14.140625" style="151" bestFit="1" customWidth="1"/>
    <col min="11782" max="11783" width="11.42578125" style="151"/>
    <col min="11784" max="11784" width="13.42578125" style="151" customWidth="1"/>
    <col min="11785" max="11785" width="11.42578125" style="151"/>
    <col min="11786" max="11786" width="13.42578125" style="151" bestFit="1" customWidth="1"/>
    <col min="11787" max="12032" width="11.42578125" style="151"/>
    <col min="12033" max="12033" width="16.28515625" style="151" customWidth="1"/>
    <col min="12034" max="12036" width="11.42578125" style="151"/>
    <col min="12037" max="12037" width="14.140625" style="151" bestFit="1" customWidth="1"/>
    <col min="12038" max="12039" width="11.42578125" style="151"/>
    <col min="12040" max="12040" width="13.42578125" style="151" customWidth="1"/>
    <col min="12041" max="12041" width="11.42578125" style="151"/>
    <col min="12042" max="12042" width="13.42578125" style="151" bestFit="1" customWidth="1"/>
    <col min="12043" max="12288" width="11.42578125" style="151"/>
    <col min="12289" max="12289" width="16.28515625" style="151" customWidth="1"/>
    <col min="12290" max="12292" width="11.42578125" style="151"/>
    <col min="12293" max="12293" width="14.140625" style="151" bestFit="1" customWidth="1"/>
    <col min="12294" max="12295" width="11.42578125" style="151"/>
    <col min="12296" max="12296" width="13.42578125" style="151" customWidth="1"/>
    <col min="12297" max="12297" width="11.42578125" style="151"/>
    <col min="12298" max="12298" width="13.42578125" style="151" bestFit="1" customWidth="1"/>
    <col min="12299" max="12544" width="11.42578125" style="151"/>
    <col min="12545" max="12545" width="16.28515625" style="151" customWidth="1"/>
    <col min="12546" max="12548" width="11.42578125" style="151"/>
    <col min="12549" max="12549" width="14.140625" style="151" bestFit="1" customWidth="1"/>
    <col min="12550" max="12551" width="11.42578125" style="151"/>
    <col min="12552" max="12552" width="13.42578125" style="151" customWidth="1"/>
    <col min="12553" max="12553" width="11.42578125" style="151"/>
    <col min="12554" max="12554" width="13.42578125" style="151" bestFit="1" customWidth="1"/>
    <col min="12555" max="12800" width="11.42578125" style="151"/>
    <col min="12801" max="12801" width="16.28515625" style="151" customWidth="1"/>
    <col min="12802" max="12804" width="11.42578125" style="151"/>
    <col min="12805" max="12805" width="14.140625" style="151" bestFit="1" customWidth="1"/>
    <col min="12806" max="12807" width="11.42578125" style="151"/>
    <col min="12808" max="12808" width="13.42578125" style="151" customWidth="1"/>
    <col min="12809" max="12809" width="11.42578125" style="151"/>
    <col min="12810" max="12810" width="13.42578125" style="151" bestFit="1" customWidth="1"/>
    <col min="12811" max="13056" width="11.42578125" style="151"/>
    <col min="13057" max="13057" width="16.28515625" style="151" customWidth="1"/>
    <col min="13058" max="13060" width="11.42578125" style="151"/>
    <col min="13061" max="13061" width="14.140625" style="151" bestFit="1" customWidth="1"/>
    <col min="13062" max="13063" width="11.42578125" style="151"/>
    <col min="13064" max="13064" width="13.42578125" style="151" customWidth="1"/>
    <col min="13065" max="13065" width="11.42578125" style="151"/>
    <col min="13066" max="13066" width="13.42578125" style="151" bestFit="1" customWidth="1"/>
    <col min="13067" max="13312" width="11.42578125" style="151"/>
    <col min="13313" max="13313" width="16.28515625" style="151" customWidth="1"/>
    <col min="13314" max="13316" width="11.42578125" style="151"/>
    <col min="13317" max="13317" width="14.140625" style="151" bestFit="1" customWidth="1"/>
    <col min="13318" max="13319" width="11.42578125" style="151"/>
    <col min="13320" max="13320" width="13.42578125" style="151" customWidth="1"/>
    <col min="13321" max="13321" width="11.42578125" style="151"/>
    <col min="13322" max="13322" width="13.42578125" style="151" bestFit="1" customWidth="1"/>
    <col min="13323" max="13568" width="11.42578125" style="151"/>
    <col min="13569" max="13569" width="16.28515625" style="151" customWidth="1"/>
    <col min="13570" max="13572" width="11.42578125" style="151"/>
    <col min="13573" max="13573" width="14.140625" style="151" bestFit="1" customWidth="1"/>
    <col min="13574" max="13575" width="11.42578125" style="151"/>
    <col min="13576" max="13576" width="13.42578125" style="151" customWidth="1"/>
    <col min="13577" max="13577" width="11.42578125" style="151"/>
    <col min="13578" max="13578" width="13.42578125" style="151" bestFit="1" customWidth="1"/>
    <col min="13579" max="13824" width="11.42578125" style="151"/>
    <col min="13825" max="13825" width="16.28515625" style="151" customWidth="1"/>
    <col min="13826" max="13828" width="11.42578125" style="151"/>
    <col min="13829" max="13829" width="14.140625" style="151" bestFit="1" customWidth="1"/>
    <col min="13830" max="13831" width="11.42578125" style="151"/>
    <col min="13832" max="13832" width="13.42578125" style="151" customWidth="1"/>
    <col min="13833" max="13833" width="11.42578125" style="151"/>
    <col min="13834" max="13834" width="13.42578125" style="151" bestFit="1" customWidth="1"/>
    <col min="13835" max="14080" width="11.42578125" style="151"/>
    <col min="14081" max="14081" width="16.28515625" style="151" customWidth="1"/>
    <col min="14082" max="14084" width="11.42578125" style="151"/>
    <col min="14085" max="14085" width="14.140625" style="151" bestFit="1" customWidth="1"/>
    <col min="14086" max="14087" width="11.42578125" style="151"/>
    <col min="14088" max="14088" width="13.42578125" style="151" customWidth="1"/>
    <col min="14089" max="14089" width="11.42578125" style="151"/>
    <col min="14090" max="14090" width="13.42578125" style="151" bestFit="1" customWidth="1"/>
    <col min="14091" max="14336" width="11.42578125" style="151"/>
    <col min="14337" max="14337" width="16.28515625" style="151" customWidth="1"/>
    <col min="14338" max="14340" width="11.42578125" style="151"/>
    <col min="14341" max="14341" width="14.140625" style="151" bestFit="1" customWidth="1"/>
    <col min="14342" max="14343" width="11.42578125" style="151"/>
    <col min="14344" max="14344" width="13.42578125" style="151" customWidth="1"/>
    <col min="14345" max="14345" width="11.42578125" style="151"/>
    <col min="14346" max="14346" width="13.42578125" style="151" bestFit="1" customWidth="1"/>
    <col min="14347" max="14592" width="11.42578125" style="151"/>
    <col min="14593" max="14593" width="16.28515625" style="151" customWidth="1"/>
    <col min="14594" max="14596" width="11.42578125" style="151"/>
    <col min="14597" max="14597" width="14.140625" style="151" bestFit="1" customWidth="1"/>
    <col min="14598" max="14599" width="11.42578125" style="151"/>
    <col min="14600" max="14600" width="13.42578125" style="151" customWidth="1"/>
    <col min="14601" max="14601" width="11.42578125" style="151"/>
    <col min="14602" max="14602" width="13.42578125" style="151" bestFit="1" customWidth="1"/>
    <col min="14603" max="14848" width="11.42578125" style="151"/>
    <col min="14849" max="14849" width="16.28515625" style="151" customWidth="1"/>
    <col min="14850" max="14852" width="11.42578125" style="151"/>
    <col min="14853" max="14853" width="14.140625" style="151" bestFit="1" customWidth="1"/>
    <col min="14854" max="14855" width="11.42578125" style="151"/>
    <col min="14856" max="14856" width="13.42578125" style="151" customWidth="1"/>
    <col min="14857" max="14857" width="11.42578125" style="151"/>
    <col min="14858" max="14858" width="13.42578125" style="151" bestFit="1" customWidth="1"/>
    <col min="14859" max="15104" width="11.42578125" style="151"/>
    <col min="15105" max="15105" width="16.28515625" style="151" customWidth="1"/>
    <col min="15106" max="15108" width="11.42578125" style="151"/>
    <col min="15109" max="15109" width="14.140625" style="151" bestFit="1" customWidth="1"/>
    <col min="15110" max="15111" width="11.42578125" style="151"/>
    <col min="15112" max="15112" width="13.42578125" style="151" customWidth="1"/>
    <col min="15113" max="15113" width="11.42578125" style="151"/>
    <col min="15114" max="15114" width="13.42578125" style="151" bestFit="1" customWidth="1"/>
    <col min="15115" max="15360" width="11.42578125" style="151"/>
    <col min="15361" max="15361" width="16.28515625" style="151" customWidth="1"/>
    <col min="15362" max="15364" width="11.42578125" style="151"/>
    <col min="15365" max="15365" width="14.140625" style="151" bestFit="1" customWidth="1"/>
    <col min="15366" max="15367" width="11.42578125" style="151"/>
    <col min="15368" max="15368" width="13.42578125" style="151" customWidth="1"/>
    <col min="15369" max="15369" width="11.42578125" style="151"/>
    <col min="15370" max="15370" width="13.42578125" style="151" bestFit="1" customWidth="1"/>
    <col min="15371" max="15616" width="11.42578125" style="151"/>
    <col min="15617" max="15617" width="16.28515625" style="151" customWidth="1"/>
    <col min="15618" max="15620" width="11.42578125" style="151"/>
    <col min="15621" max="15621" width="14.140625" style="151" bestFit="1" customWidth="1"/>
    <col min="15622" max="15623" width="11.42578125" style="151"/>
    <col min="15624" max="15624" width="13.42578125" style="151" customWidth="1"/>
    <col min="15625" max="15625" width="11.42578125" style="151"/>
    <col min="15626" max="15626" width="13.42578125" style="151" bestFit="1" customWidth="1"/>
    <col min="15627" max="15872" width="11.42578125" style="151"/>
    <col min="15873" max="15873" width="16.28515625" style="151" customWidth="1"/>
    <col min="15874" max="15876" width="11.42578125" style="151"/>
    <col min="15877" max="15877" width="14.140625" style="151" bestFit="1" customWidth="1"/>
    <col min="15878" max="15879" width="11.42578125" style="151"/>
    <col min="15880" max="15880" width="13.42578125" style="151" customWidth="1"/>
    <col min="15881" max="15881" width="11.42578125" style="151"/>
    <col min="15882" max="15882" width="13.42578125" style="151" bestFit="1" customWidth="1"/>
    <col min="15883" max="16128" width="11.42578125" style="151"/>
    <col min="16129" max="16129" width="16.28515625" style="151" customWidth="1"/>
    <col min="16130" max="16132" width="11.42578125" style="151"/>
    <col min="16133" max="16133" width="14.140625" style="151" bestFit="1" customWidth="1"/>
    <col min="16134" max="16135" width="11.42578125" style="151"/>
    <col min="16136" max="16136" width="13.42578125" style="151" customWidth="1"/>
    <col min="16137" max="16137" width="11.42578125" style="151"/>
    <col min="16138" max="16138" width="13.42578125" style="151" bestFit="1" customWidth="1"/>
    <col min="16139" max="16384" width="11.42578125" style="151"/>
  </cols>
  <sheetData>
    <row r="5" spans="2:9" x14ac:dyDescent="0.2">
      <c r="B5" s="150"/>
      <c r="C5" s="150"/>
      <c r="D5" s="150"/>
      <c r="E5" s="150"/>
      <c r="F5" s="150"/>
      <c r="G5" s="150"/>
      <c r="H5" s="150"/>
    </row>
    <row r="6" spans="2:9" ht="23.25" x14ac:dyDescent="0.35">
      <c r="B6" s="152"/>
      <c r="C6" s="150"/>
      <c r="D6" s="150"/>
      <c r="E6" s="150"/>
      <c r="F6" s="150"/>
      <c r="G6" s="150"/>
      <c r="H6" s="150"/>
      <c r="I6" s="153"/>
    </row>
    <row r="7" spans="2:9" x14ac:dyDescent="0.2">
      <c r="B7" s="150"/>
      <c r="C7" s="150"/>
      <c r="D7" s="150"/>
      <c r="E7" s="150"/>
      <c r="F7" s="150"/>
      <c r="G7" s="150"/>
      <c r="H7" s="150"/>
      <c r="I7" s="150"/>
    </row>
    <row r="8" spans="2:9" x14ac:dyDescent="0.2">
      <c r="B8" s="150"/>
      <c r="C8" s="150"/>
      <c r="D8" s="150"/>
      <c r="F8" s="150"/>
      <c r="G8" s="150"/>
      <c r="H8" s="150"/>
    </row>
    <row r="9" spans="2:9" x14ac:dyDescent="0.2">
      <c r="B9" s="150"/>
      <c r="C9" s="150"/>
      <c r="D9" s="150"/>
      <c r="E9" s="150"/>
      <c r="F9" s="150"/>
      <c r="G9" s="150"/>
      <c r="H9" s="150"/>
    </row>
    <row r="10" spans="2:9" ht="23.25" x14ac:dyDescent="0.35">
      <c r="B10" s="150"/>
      <c r="C10" s="150"/>
      <c r="D10" s="150"/>
      <c r="I10" s="153"/>
    </row>
    <row r="11" spans="2:9" x14ac:dyDescent="0.2">
      <c r="B11" s="150"/>
      <c r="C11" s="150"/>
      <c r="D11" s="150"/>
    </row>
    <row r="12" spans="2:9" ht="27" customHeight="1" x14ac:dyDescent="0.35">
      <c r="B12" s="150"/>
      <c r="C12" s="150"/>
      <c r="D12" s="150"/>
      <c r="E12" s="150"/>
      <c r="F12" s="150"/>
      <c r="G12" s="150"/>
      <c r="H12" s="150"/>
      <c r="I12" s="153"/>
    </row>
    <row r="13" spans="2:9" ht="19.5" customHeight="1" x14ac:dyDescent="0.35">
      <c r="B13" s="150"/>
      <c r="C13" s="154"/>
      <c r="D13" s="154"/>
      <c r="E13" s="154"/>
      <c r="F13" s="154"/>
      <c r="G13" s="154"/>
      <c r="H13" s="154"/>
      <c r="I13" s="153"/>
    </row>
    <row r="14" spans="2:9" x14ac:dyDescent="0.2">
      <c r="B14" s="150"/>
      <c r="C14" s="150"/>
      <c r="D14" s="150"/>
      <c r="F14" s="150"/>
      <c r="G14" s="150"/>
      <c r="H14" s="150"/>
    </row>
    <row r="15" spans="2:9" x14ac:dyDescent="0.2">
      <c r="B15" s="150"/>
      <c r="C15" s="150"/>
      <c r="D15" s="150"/>
      <c r="F15" s="150"/>
      <c r="G15" s="150"/>
      <c r="H15" s="150"/>
      <c r="I15" s="150"/>
    </row>
    <row r="16" spans="2:9" ht="34.5" x14ac:dyDescent="0.45">
      <c r="B16" s="150"/>
      <c r="C16" s="150"/>
      <c r="D16" s="150"/>
      <c r="E16" s="155"/>
      <c r="F16" s="150"/>
      <c r="G16" s="150"/>
      <c r="H16" s="150"/>
      <c r="I16" s="150"/>
    </row>
    <row r="17" spans="2:9" ht="33" x14ac:dyDescent="0.45">
      <c r="B17" s="150"/>
      <c r="C17" s="150"/>
      <c r="D17" s="150"/>
      <c r="E17" s="156"/>
      <c r="F17" s="150"/>
      <c r="G17" s="150"/>
      <c r="H17" s="150"/>
      <c r="I17" s="150"/>
    </row>
    <row r="18" spans="2:9" ht="33" x14ac:dyDescent="0.45">
      <c r="D18" s="156"/>
    </row>
    <row r="19" spans="2:9" ht="18.75" x14ac:dyDescent="0.3">
      <c r="E19" s="157"/>
      <c r="I19" s="158"/>
    </row>
    <row r="21" spans="2:9" x14ac:dyDescent="0.2">
      <c r="E21" s="159"/>
    </row>
    <row r="22" spans="2:9" ht="26.25" x14ac:dyDescent="0.4">
      <c r="E22" s="160"/>
    </row>
    <row r="25" spans="2:9" ht="18.75" x14ac:dyDescent="0.3">
      <c r="E25" s="161"/>
    </row>
    <row r="26" spans="2:9" ht="18.75" x14ac:dyDescent="0.3">
      <c r="E26" s="162"/>
    </row>
    <row r="28" spans="2:9" x14ac:dyDescent="0.2">
      <c r="D28" s="154"/>
      <c r="E28" s="154"/>
      <c r="F28" s="154"/>
      <c r="G28" s="154"/>
      <c r="H28" s="154"/>
    </row>
    <row r="33" spans="1:9" ht="35.25" x14ac:dyDescent="0.2">
      <c r="A33" s="163"/>
    </row>
    <row r="36" spans="1:9" ht="33" x14ac:dyDescent="0.2">
      <c r="B36" s="164"/>
    </row>
    <row r="39" spans="1:9" ht="18" x14ac:dyDescent="0.25">
      <c r="B39" s="165"/>
    </row>
    <row r="41" spans="1:9" ht="18.75" x14ac:dyDescent="0.3">
      <c r="I41" s="166"/>
    </row>
    <row r="43" spans="1:9" ht="18.75" x14ac:dyDescent="0.3">
      <c r="B43" s="199"/>
      <c r="C43" s="199"/>
      <c r="D43" s="199"/>
    </row>
    <row r="57" spans="10:10" ht="18.75" x14ac:dyDescent="0.3">
      <c r="J57" s="167"/>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42</v>
      </c>
      <c r="B7" s="19" t="s">
        <v>3</v>
      </c>
      <c r="C7" s="20">
        <v>251790</v>
      </c>
      <c r="D7" s="20">
        <v>249832.07214984566</v>
      </c>
      <c r="E7" s="21">
        <v>260972.46099882311</v>
      </c>
      <c r="F7" s="22" t="s">
        <v>240</v>
      </c>
      <c r="G7" s="23">
        <v>3.6468727903503435</v>
      </c>
      <c r="H7" s="24">
        <v>4.4591508020217674</v>
      </c>
    </row>
    <row r="8" spans="1:8" x14ac:dyDescent="0.2">
      <c r="A8" s="206"/>
      <c r="B8" s="25" t="s">
        <v>241</v>
      </c>
      <c r="C8" s="26">
        <v>57244.673067196847</v>
      </c>
      <c r="D8" s="26">
        <v>55060.821866443432</v>
      </c>
      <c r="E8" s="26">
        <v>58109</v>
      </c>
      <c r="F8" s="27"/>
      <c r="G8" s="28">
        <v>1.5098818571093204</v>
      </c>
      <c r="H8" s="29">
        <v>5.5360200415284169</v>
      </c>
    </row>
    <row r="9" spans="1:8" x14ac:dyDescent="0.2">
      <c r="A9" s="30" t="s">
        <v>18</v>
      </c>
      <c r="B9" s="31" t="s">
        <v>3</v>
      </c>
      <c r="C9" s="20">
        <v>13010</v>
      </c>
      <c r="D9" s="20">
        <v>12845.532191304348</v>
      </c>
      <c r="E9" s="21">
        <v>11297.842485934187</v>
      </c>
      <c r="F9" s="22" t="s">
        <v>240</v>
      </c>
      <c r="G9" s="32">
        <v>-13.160319093511248</v>
      </c>
      <c r="H9" s="33">
        <v>-12.048466986971974</v>
      </c>
    </row>
    <row r="10" spans="1:8" x14ac:dyDescent="0.2">
      <c r="A10" s="34"/>
      <c r="B10" s="25" t="s">
        <v>241</v>
      </c>
      <c r="C10" s="26">
        <v>2656.4708304347823</v>
      </c>
      <c r="D10" s="26">
        <v>2409.0737608695654</v>
      </c>
      <c r="E10" s="26">
        <v>2178</v>
      </c>
      <c r="F10" s="27"/>
      <c r="G10" s="35">
        <v>-18.011522089872585</v>
      </c>
      <c r="H10" s="29">
        <v>-9.5918092929690175</v>
      </c>
    </row>
    <row r="11" spans="1:8" x14ac:dyDescent="0.2">
      <c r="A11" s="30" t="s">
        <v>19</v>
      </c>
      <c r="B11" s="31" t="s">
        <v>3</v>
      </c>
      <c r="C11" s="20">
        <v>8966</v>
      </c>
      <c r="D11" s="20">
        <v>10764.107304347826</v>
      </c>
      <c r="E11" s="21">
        <v>12890.036534957853</v>
      </c>
      <c r="F11" s="22" t="s">
        <v>240</v>
      </c>
      <c r="G11" s="37">
        <v>43.765743196050124</v>
      </c>
      <c r="H11" s="33">
        <v>19.750167575450718</v>
      </c>
    </row>
    <row r="12" spans="1:8" x14ac:dyDescent="0.2">
      <c r="A12" s="34"/>
      <c r="B12" s="25" t="s">
        <v>241</v>
      </c>
      <c r="C12" s="26">
        <v>3025.5694347826088</v>
      </c>
      <c r="D12" s="26">
        <v>2362.2458695652176</v>
      </c>
      <c r="E12" s="26">
        <v>3202</v>
      </c>
      <c r="F12" s="27"/>
      <c r="G12" s="28">
        <v>5.8313176749178695</v>
      </c>
      <c r="H12" s="29">
        <v>35.548972325617541</v>
      </c>
    </row>
    <row r="13" spans="1:8" x14ac:dyDescent="0.2">
      <c r="A13" s="30" t="s">
        <v>20</v>
      </c>
      <c r="B13" s="31" t="s">
        <v>3</v>
      </c>
      <c r="C13" s="20">
        <v>23780</v>
      </c>
      <c r="D13" s="20">
        <v>31657.432049689443</v>
      </c>
      <c r="E13" s="21">
        <v>34676.290780036063</v>
      </c>
      <c r="F13" s="22" t="s">
        <v>240</v>
      </c>
      <c r="G13" s="23">
        <v>45.821239613271928</v>
      </c>
      <c r="H13" s="24">
        <v>9.536018984762336</v>
      </c>
    </row>
    <row r="14" spans="1:8" x14ac:dyDescent="0.2">
      <c r="A14" s="34"/>
      <c r="B14" s="25" t="s">
        <v>241</v>
      </c>
      <c r="C14" s="26">
        <v>4507.5092546583855</v>
      </c>
      <c r="D14" s="26">
        <v>5045.1170807453418</v>
      </c>
      <c r="E14" s="26">
        <v>5836</v>
      </c>
      <c r="F14" s="27"/>
      <c r="G14" s="38">
        <v>29.472834558656899</v>
      </c>
      <c r="H14" s="24">
        <v>15.676205459592964</v>
      </c>
    </row>
    <row r="15" spans="1:8" x14ac:dyDescent="0.2">
      <c r="A15" s="30" t="s">
        <v>21</v>
      </c>
      <c r="B15" s="31" t="s">
        <v>3</v>
      </c>
      <c r="C15" s="20">
        <v>2400</v>
      </c>
      <c r="D15" s="20">
        <v>2829.7093478260867</v>
      </c>
      <c r="E15" s="21">
        <v>3411.1305907730489</v>
      </c>
      <c r="F15" s="22" t="s">
        <v>240</v>
      </c>
      <c r="G15" s="37">
        <v>42.13044128221037</v>
      </c>
      <c r="H15" s="33">
        <v>20.547030506636204</v>
      </c>
    </row>
    <row r="16" spans="1:8" x14ac:dyDescent="0.2">
      <c r="A16" s="34"/>
      <c r="B16" s="25" t="s">
        <v>241</v>
      </c>
      <c r="C16" s="26">
        <v>613.606865942029</v>
      </c>
      <c r="D16" s="26">
        <v>576.03414855072469</v>
      </c>
      <c r="E16" s="26">
        <v>745</v>
      </c>
      <c r="F16" s="27"/>
      <c r="G16" s="28">
        <v>21.413243780486724</v>
      </c>
      <c r="H16" s="29">
        <v>29.332610206250024</v>
      </c>
    </row>
    <row r="17" spans="1:8" x14ac:dyDescent="0.2">
      <c r="A17" s="30" t="s">
        <v>22</v>
      </c>
      <c r="B17" s="31" t="s">
        <v>3</v>
      </c>
      <c r="C17" s="20">
        <v>7183</v>
      </c>
      <c r="D17" s="20">
        <v>7941.7093478260867</v>
      </c>
      <c r="E17" s="21">
        <v>8493.6962758199297</v>
      </c>
      <c r="F17" s="22" t="s">
        <v>240</v>
      </c>
      <c r="G17" s="37">
        <v>18.247198605317138</v>
      </c>
      <c r="H17" s="33">
        <v>6.9504801021827944</v>
      </c>
    </row>
    <row r="18" spans="1:8" x14ac:dyDescent="0.2">
      <c r="A18" s="34"/>
      <c r="B18" s="25" t="s">
        <v>241</v>
      </c>
      <c r="C18" s="26">
        <v>1258.6068659420289</v>
      </c>
      <c r="D18" s="26">
        <v>1461.0341485507247</v>
      </c>
      <c r="E18" s="26">
        <v>1537</v>
      </c>
      <c r="F18" s="27"/>
      <c r="G18" s="28">
        <v>22.119149481168805</v>
      </c>
      <c r="H18" s="29">
        <v>5.1994576255886926</v>
      </c>
    </row>
    <row r="19" spans="1:8" x14ac:dyDescent="0.2">
      <c r="A19" s="30" t="s">
        <v>189</v>
      </c>
      <c r="B19" s="31" t="s">
        <v>3</v>
      </c>
      <c r="C19" s="20">
        <v>182208</v>
      </c>
      <c r="D19" s="20">
        <v>174752.0801242236</v>
      </c>
      <c r="E19" s="21">
        <v>161869.39735776716</v>
      </c>
      <c r="F19" s="22" t="s">
        <v>240</v>
      </c>
      <c r="G19" s="23">
        <v>-11.162299483136223</v>
      </c>
      <c r="H19" s="24">
        <v>-7.3719767783586292</v>
      </c>
    </row>
    <row r="20" spans="1:8" x14ac:dyDescent="0.2">
      <c r="A20" s="30"/>
      <c r="B20" s="25" t="s">
        <v>241</v>
      </c>
      <c r="C20" s="26">
        <v>42110.773136645963</v>
      </c>
      <c r="D20" s="26">
        <v>40958.292701863356</v>
      </c>
      <c r="E20" s="26">
        <v>37761</v>
      </c>
      <c r="F20" s="27"/>
      <c r="G20" s="38">
        <v>-10.329359478942152</v>
      </c>
      <c r="H20" s="24">
        <v>-7.8062157647452324</v>
      </c>
    </row>
    <row r="21" spans="1:8" x14ac:dyDescent="0.2">
      <c r="A21" s="39" t="s">
        <v>12</v>
      </c>
      <c r="B21" s="31" t="s">
        <v>3</v>
      </c>
      <c r="C21" s="20">
        <v>2004</v>
      </c>
      <c r="D21" s="20">
        <v>1887.4256086956523</v>
      </c>
      <c r="E21" s="21">
        <v>1456.4631361811171</v>
      </c>
      <c r="F21" s="22" t="s">
        <v>240</v>
      </c>
      <c r="G21" s="37">
        <v>-27.32219879335743</v>
      </c>
      <c r="H21" s="33">
        <v>-22.83334879684935</v>
      </c>
    </row>
    <row r="22" spans="1:8" x14ac:dyDescent="0.2">
      <c r="A22" s="34"/>
      <c r="B22" s="25" t="s">
        <v>241</v>
      </c>
      <c r="C22" s="26">
        <v>345.9641195652174</v>
      </c>
      <c r="D22" s="26">
        <v>407.02048913043478</v>
      </c>
      <c r="E22" s="26">
        <v>290</v>
      </c>
      <c r="F22" s="27"/>
      <c r="G22" s="28">
        <v>-16.176278521468944</v>
      </c>
      <c r="H22" s="29">
        <v>-28.750515577345809</v>
      </c>
    </row>
    <row r="23" spans="1:8" x14ac:dyDescent="0.2">
      <c r="A23" s="39" t="s">
        <v>23</v>
      </c>
      <c r="B23" s="31" t="s">
        <v>3</v>
      </c>
      <c r="C23" s="20">
        <v>5327</v>
      </c>
      <c r="D23" s="20">
        <v>5248.7093478260867</v>
      </c>
      <c r="E23" s="21">
        <v>5198.5361500510135</v>
      </c>
      <c r="F23" s="22" t="s">
        <v>240</v>
      </c>
      <c r="G23" s="23">
        <v>-2.4115609151302237</v>
      </c>
      <c r="H23" s="24">
        <v>-0.95591495832883311</v>
      </c>
    </row>
    <row r="24" spans="1:8" x14ac:dyDescent="0.2">
      <c r="A24" s="34"/>
      <c r="B24" s="25" t="s">
        <v>241</v>
      </c>
      <c r="C24" s="26">
        <v>1532.6068659420289</v>
      </c>
      <c r="D24" s="26">
        <v>1364.0341485507247</v>
      </c>
      <c r="E24" s="26">
        <v>1396</v>
      </c>
      <c r="F24" s="27"/>
      <c r="G24" s="28">
        <v>-8.9133664332152449</v>
      </c>
      <c r="H24" s="29">
        <v>2.3434788258958719</v>
      </c>
    </row>
    <row r="25" spans="1:8" x14ac:dyDescent="0.2">
      <c r="A25" s="30" t="s">
        <v>24</v>
      </c>
      <c r="B25" s="31" t="s">
        <v>3</v>
      </c>
      <c r="C25" s="20">
        <v>9544</v>
      </c>
      <c r="D25" s="20">
        <v>6306.4186956521735</v>
      </c>
      <c r="E25" s="21">
        <v>22205.051546146326</v>
      </c>
      <c r="F25" s="22" t="s">
        <v>240</v>
      </c>
      <c r="G25" s="23">
        <v>132.65980245333532</v>
      </c>
      <c r="H25" s="24">
        <v>252.10239944035317</v>
      </c>
    </row>
    <row r="26" spans="1:8" ht="13.5" thickBot="1" x14ac:dyDescent="0.25">
      <c r="A26" s="41"/>
      <c r="B26" s="42" t="s">
        <v>241</v>
      </c>
      <c r="C26" s="43">
        <v>2223.2137318840578</v>
      </c>
      <c r="D26" s="43">
        <v>1903.0682971014494</v>
      </c>
      <c r="E26" s="43">
        <v>6100</v>
      </c>
      <c r="F26" s="44"/>
      <c r="G26" s="45">
        <v>174.37757839101539</v>
      </c>
      <c r="H26" s="46">
        <v>220.53500178059136</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42</v>
      </c>
      <c r="B35" s="19" t="s">
        <v>3</v>
      </c>
      <c r="C35" s="80">
        <v>1815.0056375781719</v>
      </c>
      <c r="D35" s="80">
        <v>1971.5021411937803</v>
      </c>
      <c r="E35" s="83">
        <v>1920.7510508601142</v>
      </c>
      <c r="F35" s="22" t="s">
        <v>240</v>
      </c>
      <c r="G35" s="23">
        <v>5.8261754725479733</v>
      </c>
      <c r="H35" s="24">
        <v>-2.5742346038201731</v>
      </c>
    </row>
    <row r="36" spans="1:8" ht="12.75" customHeight="1" x14ac:dyDescent="0.2">
      <c r="A36" s="206"/>
      <c r="B36" s="25" t="s">
        <v>241</v>
      </c>
      <c r="C36" s="82">
        <v>438.95562754655737</v>
      </c>
      <c r="D36" s="82">
        <v>471.72309693838349</v>
      </c>
      <c r="E36" s="82">
        <v>461.21811219021293</v>
      </c>
      <c r="F36" s="27"/>
      <c r="G36" s="28">
        <v>5.0716936397618753</v>
      </c>
      <c r="H36" s="29">
        <v>-2.2269388156634449</v>
      </c>
    </row>
    <row r="37" spans="1:8" x14ac:dyDescent="0.2">
      <c r="A37" s="30" t="s">
        <v>18</v>
      </c>
      <c r="B37" s="31" t="s">
        <v>3</v>
      </c>
      <c r="C37" s="80">
        <v>481.52034743058613</v>
      </c>
      <c r="D37" s="80">
        <v>566.07669651839944</v>
      </c>
      <c r="E37" s="83">
        <v>404.2954864832285</v>
      </c>
      <c r="F37" s="22" t="s">
        <v>240</v>
      </c>
      <c r="G37" s="32">
        <v>-16.037714991574688</v>
      </c>
      <c r="H37" s="33">
        <v>-28.57937997274766</v>
      </c>
    </row>
    <row r="38" spans="1:8" x14ac:dyDescent="0.2">
      <c r="A38" s="34"/>
      <c r="B38" s="25" t="s">
        <v>241</v>
      </c>
      <c r="C38" s="82">
        <v>129.96964512813375</v>
      </c>
      <c r="D38" s="82">
        <v>127.87776231427846</v>
      </c>
      <c r="E38" s="82">
        <v>96.580688656485222</v>
      </c>
      <c r="F38" s="27"/>
      <c r="G38" s="35">
        <v>-25.689811216096814</v>
      </c>
      <c r="H38" s="29">
        <v>-24.474211224369142</v>
      </c>
    </row>
    <row r="39" spans="1:8" x14ac:dyDescent="0.2">
      <c r="A39" s="30" t="s">
        <v>19</v>
      </c>
      <c r="B39" s="31" t="s">
        <v>3</v>
      </c>
      <c r="C39" s="80">
        <v>119.49627791210958</v>
      </c>
      <c r="D39" s="80">
        <v>149.6795137442426</v>
      </c>
      <c r="E39" s="83">
        <v>175.40219187019062</v>
      </c>
      <c r="F39" s="22" t="s">
        <v>240</v>
      </c>
      <c r="G39" s="37">
        <v>46.784648806551331</v>
      </c>
      <c r="H39" s="33">
        <v>17.185169488124046</v>
      </c>
    </row>
    <row r="40" spans="1:8" x14ac:dyDescent="0.2">
      <c r="A40" s="34"/>
      <c r="B40" s="25" t="s">
        <v>241</v>
      </c>
      <c r="C40" s="82">
        <v>35.740254800936057</v>
      </c>
      <c r="D40" s="82">
        <v>35.65278862952583</v>
      </c>
      <c r="E40" s="82">
        <v>44.821777966443172</v>
      </c>
      <c r="F40" s="27"/>
      <c r="G40" s="28">
        <v>25.409788531416027</v>
      </c>
      <c r="H40" s="29">
        <v>25.717453499062486</v>
      </c>
    </row>
    <row r="41" spans="1:8" x14ac:dyDescent="0.2">
      <c r="A41" s="30" t="s">
        <v>20</v>
      </c>
      <c r="B41" s="31" t="s">
        <v>3</v>
      </c>
      <c r="C41" s="80">
        <v>238.26323056774183</v>
      </c>
      <c r="D41" s="80">
        <v>346.31558031625724</v>
      </c>
      <c r="E41" s="83">
        <v>418.03173677057657</v>
      </c>
      <c r="F41" s="22" t="s">
        <v>240</v>
      </c>
      <c r="G41" s="23">
        <v>75.449537796694926</v>
      </c>
      <c r="H41" s="24">
        <v>20.708325160776127</v>
      </c>
    </row>
    <row r="42" spans="1:8" x14ac:dyDescent="0.2">
      <c r="A42" s="34"/>
      <c r="B42" s="25" t="s">
        <v>241</v>
      </c>
      <c r="C42" s="82">
        <v>50.938599117950773</v>
      </c>
      <c r="D42" s="82">
        <v>62.201657249406949</v>
      </c>
      <c r="E42" s="82">
        <v>79.309305995968145</v>
      </c>
      <c r="F42" s="27"/>
      <c r="G42" s="38">
        <v>55.695891464002841</v>
      </c>
      <c r="H42" s="24">
        <v>27.50352563431791</v>
      </c>
    </row>
    <row r="43" spans="1:8" x14ac:dyDescent="0.2">
      <c r="A43" s="30" t="s">
        <v>21</v>
      </c>
      <c r="B43" s="31" t="s">
        <v>3</v>
      </c>
      <c r="C43" s="80">
        <v>16.424174814858887</v>
      </c>
      <c r="D43" s="80">
        <v>17.439241986789913</v>
      </c>
      <c r="E43" s="83">
        <v>19.760000312193963</v>
      </c>
      <c r="F43" s="22" t="s">
        <v>240</v>
      </c>
      <c r="G43" s="37">
        <v>20.310460251051182</v>
      </c>
      <c r="H43" s="33">
        <v>13.30767889545892</v>
      </c>
    </row>
    <row r="44" spans="1:8" x14ac:dyDescent="0.2">
      <c r="A44" s="34"/>
      <c r="B44" s="25" t="s">
        <v>241</v>
      </c>
      <c r="C44" s="82">
        <v>3.5259915235981683</v>
      </c>
      <c r="D44" s="82">
        <v>3.5565640712723212</v>
      </c>
      <c r="E44" s="82">
        <v>4.0982184543170153</v>
      </c>
      <c r="F44" s="27"/>
      <c r="G44" s="28">
        <v>16.228823208709997</v>
      </c>
      <c r="H44" s="29">
        <v>15.229709691436071</v>
      </c>
    </row>
    <row r="45" spans="1:8" x14ac:dyDescent="0.2">
      <c r="A45" s="30" t="s">
        <v>22</v>
      </c>
      <c r="B45" s="31" t="s">
        <v>3</v>
      </c>
      <c r="C45" s="80">
        <v>34.15859753709514</v>
      </c>
      <c r="D45" s="80">
        <v>40.107064810112547</v>
      </c>
      <c r="E45" s="83">
        <v>51.364158077136658</v>
      </c>
      <c r="F45" s="22" t="s">
        <v>240</v>
      </c>
      <c r="G45" s="37">
        <v>50.369633944592806</v>
      </c>
      <c r="H45" s="33">
        <v>28.067606842637275</v>
      </c>
    </row>
    <row r="46" spans="1:8" x14ac:dyDescent="0.2">
      <c r="A46" s="34"/>
      <c r="B46" s="25" t="s">
        <v>241</v>
      </c>
      <c r="C46" s="82">
        <v>5.554936656414788</v>
      </c>
      <c r="D46" s="82">
        <v>7.6661289372722328</v>
      </c>
      <c r="E46" s="82">
        <v>9.2755944919701907</v>
      </c>
      <c r="F46" s="27"/>
      <c r="G46" s="28">
        <v>66.979302657912797</v>
      </c>
      <c r="H46" s="29">
        <v>20.994501499613946</v>
      </c>
    </row>
    <row r="47" spans="1:8" x14ac:dyDescent="0.2">
      <c r="A47" s="30" t="s">
        <v>189</v>
      </c>
      <c r="B47" s="31" t="s">
        <v>3</v>
      </c>
      <c r="C47" s="80">
        <v>666.41657354977121</v>
      </c>
      <c r="D47" s="80">
        <v>610.93892424519834</v>
      </c>
      <c r="E47" s="83">
        <v>570.436014973738</v>
      </c>
      <c r="F47" s="22" t="s">
        <v>240</v>
      </c>
      <c r="G47" s="23">
        <v>-14.40248673060124</v>
      </c>
      <c r="H47" s="24">
        <v>-6.6296167528531242</v>
      </c>
    </row>
    <row r="48" spans="1:8" x14ac:dyDescent="0.2">
      <c r="A48" s="30"/>
      <c r="B48" s="25" t="s">
        <v>241</v>
      </c>
      <c r="C48" s="82">
        <v>158.43054998249056</v>
      </c>
      <c r="D48" s="82">
        <v>165.10485556229833</v>
      </c>
      <c r="E48" s="82">
        <v>147.43782139271156</v>
      </c>
      <c r="F48" s="27"/>
      <c r="G48" s="38">
        <v>-6.9385157035646898</v>
      </c>
      <c r="H48" s="24">
        <v>-10.70049339822144</v>
      </c>
    </row>
    <row r="49" spans="1:8" x14ac:dyDescent="0.2">
      <c r="A49" s="39" t="s">
        <v>12</v>
      </c>
      <c r="B49" s="31" t="s">
        <v>3</v>
      </c>
      <c r="C49" s="80">
        <v>26.189544232373748</v>
      </c>
      <c r="D49" s="80">
        <v>19.607835616954734</v>
      </c>
      <c r="E49" s="83">
        <v>19.431605072050811</v>
      </c>
      <c r="F49" s="22" t="s">
        <v>240</v>
      </c>
      <c r="G49" s="37">
        <v>-25.803958634641788</v>
      </c>
      <c r="H49" s="33">
        <v>-0.89877612372238502</v>
      </c>
    </row>
    <row r="50" spans="1:8" x14ac:dyDescent="0.2">
      <c r="A50" s="34"/>
      <c r="B50" s="25" t="s">
        <v>241</v>
      </c>
      <c r="C50" s="82">
        <v>3.6375693569683016</v>
      </c>
      <c r="D50" s="82">
        <v>6.1923446108610891</v>
      </c>
      <c r="E50" s="82">
        <v>4.3077113280821928</v>
      </c>
      <c r="F50" s="27"/>
      <c r="G50" s="28">
        <v>18.422795700929669</v>
      </c>
      <c r="H50" s="29">
        <v>-30.434890194472302</v>
      </c>
    </row>
    <row r="51" spans="1:8" x14ac:dyDescent="0.2">
      <c r="A51" s="39" t="s">
        <v>23</v>
      </c>
      <c r="B51" s="31" t="s">
        <v>3</v>
      </c>
      <c r="C51" s="80">
        <v>120.7193540524718</v>
      </c>
      <c r="D51" s="80">
        <v>127.51268385238707</v>
      </c>
      <c r="E51" s="83">
        <v>126.9883284788759</v>
      </c>
      <c r="F51" s="22" t="s">
        <v>240</v>
      </c>
      <c r="G51" s="23">
        <v>5.1930152174929844</v>
      </c>
      <c r="H51" s="24">
        <v>-0.41121820800053399</v>
      </c>
    </row>
    <row r="52" spans="1:8" x14ac:dyDescent="0.2">
      <c r="A52" s="34"/>
      <c r="B52" s="25" t="s">
        <v>241</v>
      </c>
      <c r="C52" s="82">
        <v>27.158631490038211</v>
      </c>
      <c r="D52" s="82">
        <v>27.579849861635587</v>
      </c>
      <c r="E52" s="82">
        <v>27.824373343774049</v>
      </c>
      <c r="F52" s="27"/>
      <c r="G52" s="38">
        <v>2.4513085424795236</v>
      </c>
      <c r="H52" s="24">
        <v>0.88660193353192085</v>
      </c>
    </row>
    <row r="53" spans="1:8" x14ac:dyDescent="0.2">
      <c r="A53" s="30" t="s">
        <v>24</v>
      </c>
      <c r="B53" s="31" t="s">
        <v>3</v>
      </c>
      <c r="C53" s="80">
        <v>111.81753748116357</v>
      </c>
      <c r="D53" s="80">
        <v>93.824600103438158</v>
      </c>
      <c r="E53" s="83">
        <v>156.76010834659888</v>
      </c>
      <c r="F53" s="22" t="s">
        <v>240</v>
      </c>
      <c r="G53" s="37">
        <v>40.19277465577008</v>
      </c>
      <c r="H53" s="33">
        <v>67.077832651326673</v>
      </c>
    </row>
    <row r="54" spans="1:8" ht="13.5" thickBot="1" x14ac:dyDescent="0.25">
      <c r="A54" s="41"/>
      <c r="B54" s="42" t="s">
        <v>241</v>
      </c>
      <c r="C54" s="86">
        <v>23.999449490026731</v>
      </c>
      <c r="D54" s="86">
        <v>35.890145701832665</v>
      </c>
      <c r="E54" s="86">
        <v>47.562620560461419</v>
      </c>
      <c r="F54" s="44"/>
      <c r="G54" s="45">
        <v>98.182131553586913</v>
      </c>
      <c r="H54" s="46">
        <v>32.522784821218266</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14</v>
      </c>
    </row>
    <row r="62" spans="1:8"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44</v>
      </c>
      <c r="B7" s="19" t="s">
        <v>3</v>
      </c>
      <c r="C7" s="20">
        <v>143670.22691942658</v>
      </c>
      <c r="D7" s="20">
        <v>126288.32491710703</v>
      </c>
      <c r="E7" s="21">
        <v>126804.75679500861</v>
      </c>
      <c r="F7" s="22" t="s">
        <v>240</v>
      </c>
      <c r="G7" s="23">
        <v>-11.739015442549899</v>
      </c>
      <c r="H7" s="24">
        <v>0.40893081624176375</v>
      </c>
    </row>
    <row r="8" spans="1:8" x14ac:dyDescent="0.2">
      <c r="A8" s="206"/>
      <c r="B8" s="25" t="s">
        <v>241</v>
      </c>
      <c r="C8" s="26">
        <v>44786.944784527106</v>
      </c>
      <c r="D8" s="26">
        <v>34271.789724271439</v>
      </c>
      <c r="E8" s="26">
        <v>35963.894992936745</v>
      </c>
      <c r="F8" s="27"/>
      <c r="G8" s="28">
        <v>-19.70004838248876</v>
      </c>
      <c r="H8" s="29">
        <v>4.9373122392465802</v>
      </c>
    </row>
    <row r="9" spans="1:8" x14ac:dyDescent="0.2">
      <c r="A9" s="30" t="s">
        <v>18</v>
      </c>
      <c r="B9" s="31" t="s">
        <v>3</v>
      </c>
      <c r="C9" s="20">
        <v>13581.382797564696</v>
      </c>
      <c r="D9" s="20">
        <v>11472.379164660522</v>
      </c>
      <c r="E9" s="21">
        <v>10740.115156117326</v>
      </c>
      <c r="F9" s="22" t="s">
        <v>240</v>
      </c>
      <c r="G9" s="32">
        <v>-20.920311898997824</v>
      </c>
      <c r="H9" s="33">
        <v>-6.3828435064180837</v>
      </c>
    </row>
    <row r="10" spans="1:8" x14ac:dyDescent="0.2">
      <c r="A10" s="34"/>
      <c r="B10" s="25" t="s">
        <v>241</v>
      </c>
      <c r="C10" s="26">
        <v>3667.5490565217392</v>
      </c>
      <c r="D10" s="26">
        <v>2891.0974521739131</v>
      </c>
      <c r="E10" s="26">
        <v>2768.196647826087</v>
      </c>
      <c r="F10" s="27"/>
      <c r="G10" s="35">
        <v>-24.521891727566626</v>
      </c>
      <c r="H10" s="29">
        <v>-4.251008704511591</v>
      </c>
    </row>
    <row r="11" spans="1:8" x14ac:dyDescent="0.2">
      <c r="A11" s="30" t="s">
        <v>19</v>
      </c>
      <c r="B11" s="31" t="s">
        <v>3</v>
      </c>
      <c r="C11" s="20">
        <v>61405.609325215657</v>
      </c>
      <c r="D11" s="20">
        <v>51142.26388220174</v>
      </c>
      <c r="E11" s="21">
        <v>49205.921927681033</v>
      </c>
      <c r="F11" s="22" t="s">
        <v>240</v>
      </c>
      <c r="G11" s="37">
        <v>-19.867382689621707</v>
      </c>
      <c r="H11" s="33">
        <v>-3.786187406526949</v>
      </c>
    </row>
    <row r="12" spans="1:8" x14ac:dyDescent="0.2">
      <c r="A12" s="34"/>
      <c r="B12" s="25" t="s">
        <v>241</v>
      </c>
      <c r="C12" s="26">
        <v>21263.163521739127</v>
      </c>
      <c r="D12" s="26">
        <v>14328.658173913043</v>
      </c>
      <c r="E12" s="26">
        <v>14722.988826086956</v>
      </c>
      <c r="F12" s="27"/>
      <c r="G12" s="28">
        <v>-30.758239191292475</v>
      </c>
      <c r="H12" s="29">
        <v>2.7520417291539303</v>
      </c>
    </row>
    <row r="13" spans="1:8" x14ac:dyDescent="0.2">
      <c r="A13" s="30" t="s">
        <v>20</v>
      </c>
      <c r="B13" s="31" t="s">
        <v>3</v>
      </c>
      <c r="C13" s="20">
        <v>2890.7187262931675</v>
      </c>
      <c r="D13" s="20">
        <v>3345.4113724770186</v>
      </c>
      <c r="E13" s="21">
        <v>3198.8676521200678</v>
      </c>
      <c r="F13" s="22" t="s">
        <v>240</v>
      </c>
      <c r="G13" s="23">
        <v>10.65994152333343</v>
      </c>
      <c r="H13" s="24">
        <v>-4.3804394748753026</v>
      </c>
    </row>
    <row r="14" spans="1:8" x14ac:dyDescent="0.2">
      <c r="A14" s="34"/>
      <c r="B14" s="25" t="s">
        <v>241</v>
      </c>
      <c r="C14" s="26">
        <v>535.17310559006205</v>
      </c>
      <c r="D14" s="26">
        <v>621.3134161490683</v>
      </c>
      <c r="E14" s="26">
        <v>593.47086956521741</v>
      </c>
      <c r="F14" s="27"/>
      <c r="G14" s="38">
        <v>10.893253671796231</v>
      </c>
      <c r="H14" s="24">
        <v>-4.4812402018324917</v>
      </c>
    </row>
    <row r="15" spans="1:8" x14ac:dyDescent="0.2">
      <c r="A15" s="30" t="s">
        <v>21</v>
      </c>
      <c r="B15" s="31" t="s">
        <v>3</v>
      </c>
      <c r="C15" s="20">
        <v>4815.5846285021735</v>
      </c>
      <c r="D15" s="20">
        <v>4331.2866503057976</v>
      </c>
      <c r="E15" s="21">
        <v>4035.4498174129917</v>
      </c>
      <c r="F15" s="22" t="s">
        <v>240</v>
      </c>
      <c r="G15" s="37">
        <v>-16.200209762108003</v>
      </c>
      <c r="H15" s="33">
        <v>-6.8302298318657648</v>
      </c>
    </row>
    <row r="16" spans="1:8" x14ac:dyDescent="0.2">
      <c r="A16" s="34"/>
      <c r="B16" s="25" t="s">
        <v>241</v>
      </c>
      <c r="C16" s="26">
        <v>1215.7171557971014</v>
      </c>
      <c r="D16" s="26">
        <v>1002.8414130434783</v>
      </c>
      <c r="E16" s="26">
        <v>960.88733695652172</v>
      </c>
      <c r="F16" s="27"/>
      <c r="G16" s="28">
        <v>-20.961275213188628</v>
      </c>
      <c r="H16" s="29">
        <v>-4.1835204989821904</v>
      </c>
    </row>
    <row r="17" spans="1:8" x14ac:dyDescent="0.2">
      <c r="A17" s="30" t="s">
        <v>22</v>
      </c>
      <c r="B17" s="31" t="s">
        <v>3</v>
      </c>
      <c r="C17" s="20">
        <v>401.58462850217393</v>
      </c>
      <c r="D17" s="20">
        <v>413.28665030579714</v>
      </c>
      <c r="E17" s="21">
        <v>251.75658841610982</v>
      </c>
      <c r="F17" s="22" t="s">
        <v>240</v>
      </c>
      <c r="G17" s="37">
        <v>-37.309206939740477</v>
      </c>
      <c r="H17" s="33">
        <v>-39.084267969983721</v>
      </c>
    </row>
    <row r="18" spans="1:8" x14ac:dyDescent="0.2">
      <c r="A18" s="34"/>
      <c r="B18" s="25" t="s">
        <v>241</v>
      </c>
      <c r="C18" s="26">
        <v>87.717155797101455</v>
      </c>
      <c r="D18" s="26">
        <v>82.841413043478255</v>
      </c>
      <c r="E18" s="26">
        <v>51.887336956521743</v>
      </c>
      <c r="F18" s="27"/>
      <c r="G18" s="28">
        <v>-40.846991121620114</v>
      </c>
      <c r="H18" s="29">
        <v>-37.365461246672197</v>
      </c>
    </row>
    <row r="19" spans="1:8" x14ac:dyDescent="0.2">
      <c r="A19" s="30" t="s">
        <v>189</v>
      </c>
      <c r="B19" s="31" t="s">
        <v>3</v>
      </c>
      <c r="C19" s="20">
        <v>40060.296815732916</v>
      </c>
      <c r="D19" s="20">
        <v>36406.02843119255</v>
      </c>
      <c r="E19" s="21">
        <v>33417.725657136019</v>
      </c>
      <c r="F19" s="22" t="s">
        <v>240</v>
      </c>
      <c r="G19" s="23">
        <v>-16.581432706679678</v>
      </c>
      <c r="H19" s="24">
        <v>-8.208263583885369</v>
      </c>
    </row>
    <row r="20" spans="1:8" x14ac:dyDescent="0.2">
      <c r="A20" s="30"/>
      <c r="B20" s="25" t="s">
        <v>241</v>
      </c>
      <c r="C20" s="26">
        <v>11109.432763975154</v>
      </c>
      <c r="D20" s="26">
        <v>9630.7835403726713</v>
      </c>
      <c r="E20" s="26">
        <v>8978.1771739130436</v>
      </c>
      <c r="F20" s="27"/>
      <c r="G20" s="38">
        <v>-19.184198107514433</v>
      </c>
      <c r="H20" s="24">
        <v>-6.7762541201748832</v>
      </c>
    </row>
    <row r="21" spans="1:8" x14ac:dyDescent="0.2">
      <c r="A21" s="39" t="s">
        <v>12</v>
      </c>
      <c r="B21" s="31" t="s">
        <v>3</v>
      </c>
      <c r="C21" s="20">
        <v>458.55077710130433</v>
      </c>
      <c r="D21" s="20">
        <v>410.77199018347824</v>
      </c>
      <c r="E21" s="21">
        <v>257.65259908181395</v>
      </c>
      <c r="F21" s="22" t="s">
        <v>240</v>
      </c>
      <c r="G21" s="37">
        <v>-43.8115445555351</v>
      </c>
      <c r="H21" s="33">
        <v>-37.276005852607163</v>
      </c>
    </row>
    <row r="22" spans="1:8" x14ac:dyDescent="0.2">
      <c r="A22" s="34"/>
      <c r="B22" s="25" t="s">
        <v>241</v>
      </c>
      <c r="C22" s="26">
        <v>90.430293478260865</v>
      </c>
      <c r="D22" s="26">
        <v>118.30484782608696</v>
      </c>
      <c r="E22" s="26">
        <v>64.332402173913039</v>
      </c>
      <c r="F22" s="27"/>
      <c r="G22" s="28">
        <v>-28.85967777006239</v>
      </c>
      <c r="H22" s="29">
        <v>-45.621499578373701</v>
      </c>
    </row>
    <row r="23" spans="1:8" x14ac:dyDescent="0.2">
      <c r="A23" s="39" t="s">
        <v>23</v>
      </c>
      <c r="B23" s="31" t="s">
        <v>3</v>
      </c>
      <c r="C23" s="20">
        <v>6214.5846285021735</v>
      </c>
      <c r="D23" s="20">
        <v>5476.2866503057976</v>
      </c>
      <c r="E23" s="21">
        <v>5476.4361415975936</v>
      </c>
      <c r="F23" s="22" t="s">
        <v>240</v>
      </c>
      <c r="G23" s="23">
        <v>-11.877680183470076</v>
      </c>
      <c r="H23" s="24">
        <v>2.729793039364381E-3</v>
      </c>
    </row>
    <row r="24" spans="1:8" x14ac:dyDescent="0.2">
      <c r="A24" s="34"/>
      <c r="B24" s="25" t="s">
        <v>241</v>
      </c>
      <c r="C24" s="26">
        <v>1663.7171557971014</v>
      </c>
      <c r="D24" s="26">
        <v>1444.8414130434783</v>
      </c>
      <c r="E24" s="26">
        <v>1451.8873369565217</v>
      </c>
      <c r="F24" s="27"/>
      <c r="G24" s="28">
        <v>-12.732321603012522</v>
      </c>
      <c r="H24" s="29">
        <v>0.48766071137190181</v>
      </c>
    </row>
    <row r="25" spans="1:8" x14ac:dyDescent="0.2">
      <c r="A25" s="30" t="s">
        <v>24</v>
      </c>
      <c r="B25" s="31" t="s">
        <v>3</v>
      </c>
      <c r="C25" s="20">
        <v>23165.169257004349</v>
      </c>
      <c r="D25" s="20">
        <v>21547.573300611595</v>
      </c>
      <c r="E25" s="21">
        <v>26571.615108046379</v>
      </c>
      <c r="F25" s="22" t="s">
        <v>240</v>
      </c>
      <c r="G25" s="23">
        <v>14.705033290495123</v>
      </c>
      <c r="H25" s="24">
        <v>23.316044629917471</v>
      </c>
    </row>
    <row r="26" spans="1:8" ht="13.5" thickBot="1" x14ac:dyDescent="0.25">
      <c r="A26" s="41"/>
      <c r="B26" s="42" t="s">
        <v>241</v>
      </c>
      <c r="C26" s="43">
        <v>7898.4343115942029</v>
      </c>
      <c r="D26" s="43">
        <v>6515.6828260869561</v>
      </c>
      <c r="E26" s="43">
        <v>8349.7746739130434</v>
      </c>
      <c r="F26" s="44"/>
      <c r="G26" s="45">
        <v>5.7143016516110379</v>
      </c>
      <c r="H26" s="46">
        <v>28.148881656468916</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44</v>
      </c>
      <c r="B35" s="19" t="s">
        <v>3</v>
      </c>
      <c r="C35" s="80">
        <v>6314.5080110263807</v>
      </c>
      <c r="D35" s="80">
        <v>6768.6013750581606</v>
      </c>
      <c r="E35" s="83">
        <v>6269.6992648123723</v>
      </c>
      <c r="F35" s="22" t="s">
        <v>240</v>
      </c>
      <c r="G35" s="23">
        <v>-0.70961579486102266</v>
      </c>
      <c r="H35" s="24">
        <v>-7.370830140539951</v>
      </c>
    </row>
    <row r="36" spans="1:8" ht="12.75" customHeight="1" x14ac:dyDescent="0.2">
      <c r="A36" s="206"/>
      <c r="B36" s="25" t="s">
        <v>241</v>
      </c>
      <c r="C36" s="82">
        <v>2148.1939960511395</v>
      </c>
      <c r="D36" s="82">
        <v>1792.8925098154734</v>
      </c>
      <c r="E36" s="82">
        <v>1793.0619913407113</v>
      </c>
      <c r="F36" s="27"/>
      <c r="G36" s="28">
        <v>-16.531654280909464</v>
      </c>
      <c r="H36" s="29">
        <v>9.4529663273306141E-3</v>
      </c>
    </row>
    <row r="37" spans="1:8" x14ac:dyDescent="0.2">
      <c r="A37" s="30" t="s">
        <v>18</v>
      </c>
      <c r="B37" s="31" t="s">
        <v>3</v>
      </c>
      <c r="C37" s="80">
        <v>2013.4504213424714</v>
      </c>
      <c r="D37" s="80">
        <v>2372.6297229042652</v>
      </c>
      <c r="E37" s="83">
        <v>1841.8281253679772</v>
      </c>
      <c r="F37" s="22" t="s">
        <v>240</v>
      </c>
      <c r="G37" s="32">
        <v>-8.5237905118152639</v>
      </c>
      <c r="H37" s="33">
        <v>-22.371868328723025</v>
      </c>
    </row>
    <row r="38" spans="1:8" x14ac:dyDescent="0.2">
      <c r="A38" s="34"/>
      <c r="B38" s="25" t="s">
        <v>241</v>
      </c>
      <c r="C38" s="82">
        <v>665.6469303750838</v>
      </c>
      <c r="D38" s="82">
        <v>603.34239358630612</v>
      </c>
      <c r="E38" s="82">
        <v>507.40207514663416</v>
      </c>
      <c r="F38" s="27"/>
      <c r="G38" s="35">
        <v>-23.773091710838443</v>
      </c>
      <c r="H38" s="29">
        <v>-15.901471446320301</v>
      </c>
    </row>
    <row r="39" spans="1:8" x14ac:dyDescent="0.2">
      <c r="A39" s="30" t="s">
        <v>19</v>
      </c>
      <c r="B39" s="31" t="s">
        <v>3</v>
      </c>
      <c r="C39" s="80">
        <v>2877.8540346858599</v>
      </c>
      <c r="D39" s="80">
        <v>2908.0764623204486</v>
      </c>
      <c r="E39" s="83">
        <v>2836.7969111775601</v>
      </c>
      <c r="F39" s="22" t="s">
        <v>240</v>
      </c>
      <c r="G39" s="37">
        <v>-1.4266576071423742</v>
      </c>
      <c r="H39" s="33">
        <v>-2.4510893047843751</v>
      </c>
    </row>
    <row r="40" spans="1:8" x14ac:dyDescent="0.2">
      <c r="A40" s="34"/>
      <c r="B40" s="25" t="s">
        <v>241</v>
      </c>
      <c r="C40" s="82">
        <v>1002.5167610637537</v>
      </c>
      <c r="D40" s="82">
        <v>757.3874552070107</v>
      </c>
      <c r="E40" s="82">
        <v>806.68281607054303</v>
      </c>
      <c r="F40" s="27"/>
      <c r="G40" s="28">
        <v>-19.534231506056273</v>
      </c>
      <c r="H40" s="29">
        <v>6.5086054072626354</v>
      </c>
    </row>
    <row r="41" spans="1:8" x14ac:dyDescent="0.2">
      <c r="A41" s="30" t="s">
        <v>20</v>
      </c>
      <c r="B41" s="31" t="s">
        <v>3</v>
      </c>
      <c r="C41" s="80">
        <v>52.663228653419623</v>
      </c>
      <c r="D41" s="80">
        <v>70.301307691330777</v>
      </c>
      <c r="E41" s="83">
        <v>75.271410998299785</v>
      </c>
      <c r="F41" s="22" t="s">
        <v>240</v>
      </c>
      <c r="G41" s="23">
        <v>42.929730901358511</v>
      </c>
      <c r="H41" s="24">
        <v>7.0697167238923129</v>
      </c>
    </row>
    <row r="42" spans="1:8" x14ac:dyDescent="0.2">
      <c r="A42" s="34"/>
      <c r="B42" s="25" t="s">
        <v>241</v>
      </c>
      <c r="C42" s="82">
        <v>12.799347043955473</v>
      </c>
      <c r="D42" s="82">
        <v>12.992380517740536</v>
      </c>
      <c r="E42" s="82">
        <v>15.118330186834017</v>
      </c>
      <c r="F42" s="27"/>
      <c r="G42" s="38">
        <v>18.117980041596667</v>
      </c>
      <c r="H42" s="24">
        <v>16.363049605810033</v>
      </c>
    </row>
    <row r="43" spans="1:8" x14ac:dyDescent="0.2">
      <c r="A43" s="30" t="s">
        <v>21</v>
      </c>
      <c r="B43" s="31" t="s">
        <v>3</v>
      </c>
      <c r="C43" s="80">
        <v>49.684795302046474</v>
      </c>
      <c r="D43" s="80">
        <v>58.003566588679632</v>
      </c>
      <c r="E43" s="83">
        <v>56.647311716071457</v>
      </c>
      <c r="F43" s="22" t="s">
        <v>240</v>
      </c>
      <c r="G43" s="37">
        <v>14.013374457312494</v>
      </c>
      <c r="H43" s="33">
        <v>-2.3382266856550018</v>
      </c>
    </row>
    <row r="44" spans="1:8" x14ac:dyDescent="0.2">
      <c r="A44" s="34"/>
      <c r="B44" s="25" t="s">
        <v>241</v>
      </c>
      <c r="C44" s="82">
        <v>12.400325484604762</v>
      </c>
      <c r="D44" s="82">
        <v>11.954219747160998</v>
      </c>
      <c r="E44" s="82">
        <v>12.394554233428433</v>
      </c>
      <c r="F44" s="27"/>
      <c r="G44" s="28">
        <v>-4.6541126549414003E-2</v>
      </c>
      <c r="H44" s="29">
        <v>3.6835067079305617</v>
      </c>
    </row>
    <row r="45" spans="1:8" x14ac:dyDescent="0.2">
      <c r="A45" s="30" t="s">
        <v>22</v>
      </c>
      <c r="B45" s="31" t="s">
        <v>3</v>
      </c>
      <c r="C45" s="80">
        <v>3.0031009673376188</v>
      </c>
      <c r="D45" s="80">
        <v>3.0874763808887988</v>
      </c>
      <c r="E45" s="83">
        <v>1.9930782610650355</v>
      </c>
      <c r="F45" s="22" t="s">
        <v>240</v>
      </c>
      <c r="G45" s="37">
        <v>-33.632658950125574</v>
      </c>
      <c r="H45" s="33">
        <v>-35.446364111414397</v>
      </c>
    </row>
    <row r="46" spans="1:8" x14ac:dyDescent="0.2">
      <c r="A46" s="34"/>
      <c r="B46" s="25" t="s">
        <v>241</v>
      </c>
      <c r="C46" s="82">
        <v>0.93099183156131482</v>
      </c>
      <c r="D46" s="82">
        <v>0.87775092347717931</v>
      </c>
      <c r="E46" s="82">
        <v>0.58273324283529815</v>
      </c>
      <c r="F46" s="27"/>
      <c r="G46" s="28">
        <v>-37.407265769665401</v>
      </c>
      <c r="H46" s="29">
        <v>-33.610637454322358</v>
      </c>
    </row>
    <row r="47" spans="1:8" x14ac:dyDescent="0.2">
      <c r="A47" s="30" t="s">
        <v>189</v>
      </c>
      <c r="B47" s="31" t="s">
        <v>3</v>
      </c>
      <c r="C47" s="80">
        <v>515.02188171698697</v>
      </c>
      <c r="D47" s="80">
        <v>523.4890545770088</v>
      </c>
      <c r="E47" s="83">
        <v>461.36185649407548</v>
      </c>
      <c r="F47" s="22" t="s">
        <v>240</v>
      </c>
      <c r="G47" s="23">
        <v>-10.418979683740616</v>
      </c>
      <c r="H47" s="24">
        <v>-11.867907750837986</v>
      </c>
    </row>
    <row r="48" spans="1:8" x14ac:dyDescent="0.2">
      <c r="A48" s="30"/>
      <c r="B48" s="25" t="s">
        <v>241</v>
      </c>
      <c r="C48" s="82">
        <v>176.09860254731979</v>
      </c>
      <c r="D48" s="82">
        <v>161.99258460335395</v>
      </c>
      <c r="E48" s="82">
        <v>147.435346897062</v>
      </c>
      <c r="F48" s="27"/>
      <c r="G48" s="38">
        <v>-16.276821755332008</v>
      </c>
      <c r="H48" s="24">
        <v>-8.9863605435619149</v>
      </c>
    </row>
    <row r="49" spans="1:8" x14ac:dyDescent="0.2">
      <c r="A49" s="39" t="s">
        <v>12</v>
      </c>
      <c r="B49" s="31" t="s">
        <v>3</v>
      </c>
      <c r="C49" s="80">
        <v>4.3824626567413736</v>
      </c>
      <c r="D49" s="80">
        <v>5.8164067181343819</v>
      </c>
      <c r="E49" s="83">
        <v>3.6344662216814787</v>
      </c>
      <c r="F49" s="22" t="s">
        <v>240</v>
      </c>
      <c r="G49" s="37">
        <v>-17.067947719058836</v>
      </c>
      <c r="H49" s="33">
        <v>-37.513547490584756</v>
      </c>
    </row>
    <row r="50" spans="1:8" x14ac:dyDescent="0.2">
      <c r="A50" s="34"/>
      <c r="B50" s="25" t="s">
        <v>241</v>
      </c>
      <c r="C50" s="82">
        <v>1.3161913809930017</v>
      </c>
      <c r="D50" s="82">
        <v>1.5511748882756271</v>
      </c>
      <c r="E50" s="82">
        <v>1.0068692899054366</v>
      </c>
      <c r="F50" s="27"/>
      <c r="G50" s="28">
        <v>-23.50130046089474</v>
      </c>
      <c r="H50" s="29">
        <v>-35.089892344458406</v>
      </c>
    </row>
    <row r="51" spans="1:8" x14ac:dyDescent="0.2">
      <c r="A51" s="39" t="s">
        <v>23</v>
      </c>
      <c r="B51" s="31" t="s">
        <v>3</v>
      </c>
      <c r="C51" s="80">
        <v>188.64827610238564</v>
      </c>
      <c r="D51" s="80">
        <v>196.56652088791506</v>
      </c>
      <c r="E51" s="83">
        <v>193.33146907732083</v>
      </c>
      <c r="F51" s="22" t="s">
        <v>240</v>
      </c>
      <c r="G51" s="23">
        <v>2.4824997459258498</v>
      </c>
      <c r="H51" s="24">
        <v>-1.6457796556509692</v>
      </c>
    </row>
    <row r="52" spans="1:8" x14ac:dyDescent="0.2">
      <c r="A52" s="34"/>
      <c r="B52" s="25" t="s">
        <v>241</v>
      </c>
      <c r="C52" s="82">
        <v>45.533767906760666</v>
      </c>
      <c r="D52" s="82">
        <v>45.978111062345008</v>
      </c>
      <c r="E52" s="82">
        <v>45.692307441905108</v>
      </c>
      <c r="F52" s="27"/>
      <c r="G52" s="28">
        <v>0.34818013626521349</v>
      </c>
      <c r="H52" s="29">
        <v>-0.62160800832457141</v>
      </c>
    </row>
    <row r="53" spans="1:8" x14ac:dyDescent="0.2">
      <c r="A53" s="30" t="s">
        <v>24</v>
      </c>
      <c r="B53" s="31" t="s">
        <v>3</v>
      </c>
      <c r="C53" s="80">
        <v>609.79980959913178</v>
      </c>
      <c r="D53" s="80">
        <v>630.63085698948919</v>
      </c>
      <c r="E53" s="83">
        <v>774.40874130761495</v>
      </c>
      <c r="F53" s="22" t="s">
        <v>240</v>
      </c>
      <c r="G53" s="23">
        <v>26.993929666310208</v>
      </c>
      <c r="H53" s="24">
        <v>22.799056329798688</v>
      </c>
    </row>
    <row r="54" spans="1:8" ht="13.5" thickBot="1" x14ac:dyDescent="0.25">
      <c r="A54" s="41"/>
      <c r="B54" s="42" t="s">
        <v>241</v>
      </c>
      <c r="C54" s="86">
        <v>230.95107841710657</v>
      </c>
      <c r="D54" s="86">
        <v>196.81643927980298</v>
      </c>
      <c r="E54" s="86">
        <v>256.74695883156386</v>
      </c>
      <c r="F54" s="44"/>
      <c r="G54" s="45">
        <v>11.169413276290882</v>
      </c>
      <c r="H54" s="46">
        <v>30.449956198303653</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15</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45</v>
      </c>
      <c r="B7" s="19" t="s">
        <v>3</v>
      </c>
      <c r="C7" s="20">
        <v>22199</v>
      </c>
      <c r="D7" s="20">
        <v>18907.302359650501</v>
      </c>
      <c r="E7" s="21">
        <v>18433.557755023859</v>
      </c>
      <c r="F7" s="22" t="s">
        <v>240</v>
      </c>
      <c r="G7" s="23">
        <v>-16.962215617713142</v>
      </c>
      <c r="H7" s="24">
        <v>-2.5056171187997904</v>
      </c>
    </row>
    <row r="8" spans="1:8" ht="12.75" customHeight="1" x14ac:dyDescent="0.2">
      <c r="A8" s="206"/>
      <c r="B8" s="25" t="s">
        <v>241</v>
      </c>
      <c r="C8" s="26">
        <v>6189.8587348924812</v>
      </c>
      <c r="D8" s="26">
        <v>4575</v>
      </c>
      <c r="E8" s="26">
        <v>4666</v>
      </c>
      <c r="F8" s="27"/>
      <c r="G8" s="28">
        <v>-24.618635095861379</v>
      </c>
      <c r="H8" s="29">
        <v>1.9890710382513674</v>
      </c>
    </row>
    <row r="9" spans="1:8" x14ac:dyDescent="0.2">
      <c r="A9" s="30" t="s">
        <v>18</v>
      </c>
      <c r="B9" s="31" t="s">
        <v>3</v>
      </c>
      <c r="C9" s="20">
        <v>2884</v>
      </c>
      <c r="D9" s="20">
        <v>2233.5276521739133</v>
      </c>
      <c r="E9" s="21">
        <v>2127.6698906792667</v>
      </c>
      <c r="F9" s="22" t="s">
        <v>240</v>
      </c>
      <c r="G9" s="32">
        <v>-26.225038464657885</v>
      </c>
      <c r="H9" s="33">
        <v>-4.7394873930311263</v>
      </c>
    </row>
    <row r="10" spans="1:8" x14ac:dyDescent="0.2">
      <c r="A10" s="34"/>
      <c r="B10" s="25" t="s">
        <v>241</v>
      </c>
      <c r="C10" s="26">
        <v>592.96212173913045</v>
      </c>
      <c r="D10" s="26">
        <v>494</v>
      </c>
      <c r="E10" s="26">
        <v>459</v>
      </c>
      <c r="F10" s="27"/>
      <c r="G10" s="35">
        <v>-22.592020101760596</v>
      </c>
      <c r="H10" s="29">
        <v>-7.0850202429149789</v>
      </c>
    </row>
    <row r="11" spans="1:8" x14ac:dyDescent="0.2">
      <c r="A11" s="30" t="s">
        <v>19</v>
      </c>
      <c r="B11" s="31" t="s">
        <v>3</v>
      </c>
      <c r="C11" s="20">
        <v>7881</v>
      </c>
      <c r="D11" s="20">
        <v>5664.0921739130436</v>
      </c>
      <c r="E11" s="21">
        <v>6146.3049853136217</v>
      </c>
      <c r="F11" s="22" t="s">
        <v>240</v>
      </c>
      <c r="G11" s="37">
        <v>-22.011102838299436</v>
      </c>
      <c r="H11" s="33">
        <v>8.5135057233265456</v>
      </c>
    </row>
    <row r="12" spans="1:8" x14ac:dyDescent="0.2">
      <c r="A12" s="34"/>
      <c r="B12" s="25" t="s">
        <v>241</v>
      </c>
      <c r="C12" s="26">
        <v>3029.8737391304348</v>
      </c>
      <c r="D12" s="26">
        <v>1469</v>
      </c>
      <c r="E12" s="26">
        <v>1788</v>
      </c>
      <c r="F12" s="27"/>
      <c r="G12" s="28">
        <v>-40.987639949869624</v>
      </c>
      <c r="H12" s="29">
        <v>21.715452688904023</v>
      </c>
    </row>
    <row r="13" spans="1:8" x14ac:dyDescent="0.2">
      <c r="A13" s="30" t="s">
        <v>20</v>
      </c>
      <c r="B13" s="31" t="s">
        <v>3</v>
      </c>
      <c r="C13" s="20">
        <v>805</v>
      </c>
      <c r="D13" s="20">
        <v>1056.710559006211</v>
      </c>
      <c r="E13" s="21">
        <v>965.71925091870548</v>
      </c>
      <c r="F13" s="22" t="s">
        <v>240</v>
      </c>
      <c r="G13" s="23">
        <v>19.965124337727389</v>
      </c>
      <c r="H13" s="24">
        <v>-8.6108071232938954</v>
      </c>
    </row>
    <row r="14" spans="1:8" x14ac:dyDescent="0.2">
      <c r="A14" s="34"/>
      <c r="B14" s="25" t="s">
        <v>241</v>
      </c>
      <c r="C14" s="26">
        <v>155.22559006211179</v>
      </c>
      <c r="D14" s="26">
        <v>189</v>
      </c>
      <c r="E14" s="26">
        <v>177</v>
      </c>
      <c r="F14" s="27"/>
      <c r="G14" s="38">
        <v>14.027590379379731</v>
      </c>
      <c r="H14" s="24">
        <v>-6.3492063492063551</v>
      </c>
    </row>
    <row r="15" spans="1:8" x14ac:dyDescent="0.2">
      <c r="A15" s="30" t="s">
        <v>21</v>
      </c>
      <c r="B15" s="31" t="s">
        <v>3</v>
      </c>
      <c r="C15" s="20">
        <v>625</v>
      </c>
      <c r="D15" s="20">
        <v>638.8739130434783</v>
      </c>
      <c r="E15" s="21">
        <v>696.92693587840972</v>
      </c>
      <c r="F15" s="22" t="s">
        <v>240</v>
      </c>
      <c r="G15" s="37">
        <v>11.508309740545556</v>
      </c>
      <c r="H15" s="33">
        <v>9.0867730939861815</v>
      </c>
    </row>
    <row r="16" spans="1:8" x14ac:dyDescent="0.2">
      <c r="A16" s="34"/>
      <c r="B16" s="25" t="s">
        <v>241</v>
      </c>
      <c r="C16" s="26">
        <v>129.14913043478259</v>
      </c>
      <c r="D16" s="26">
        <v>120</v>
      </c>
      <c r="E16" s="26">
        <v>135</v>
      </c>
      <c r="F16" s="27"/>
      <c r="G16" s="28">
        <v>4.5303205259844788</v>
      </c>
      <c r="H16" s="29">
        <v>12.5</v>
      </c>
    </row>
    <row r="17" spans="1:8" x14ac:dyDescent="0.2">
      <c r="A17" s="30" t="s">
        <v>22</v>
      </c>
      <c r="B17" s="31" t="s">
        <v>3</v>
      </c>
      <c r="C17" s="20">
        <v>405</v>
      </c>
      <c r="D17" s="20">
        <v>448.8739130434783</v>
      </c>
      <c r="E17" s="21">
        <v>440.97621518613823</v>
      </c>
      <c r="F17" s="22" t="s">
        <v>240</v>
      </c>
      <c r="G17" s="37">
        <v>8.8830160953427679</v>
      </c>
      <c r="H17" s="33">
        <v>-1.7594468352575205</v>
      </c>
    </row>
    <row r="18" spans="1:8" x14ac:dyDescent="0.2">
      <c r="A18" s="34"/>
      <c r="B18" s="25" t="s">
        <v>241</v>
      </c>
      <c r="C18" s="26">
        <v>67.149130434782606</v>
      </c>
      <c r="D18" s="26">
        <v>96</v>
      </c>
      <c r="E18" s="26">
        <v>86</v>
      </c>
      <c r="F18" s="27"/>
      <c r="G18" s="28">
        <v>28.073140252390857</v>
      </c>
      <c r="H18" s="29">
        <v>-10.416666666666657</v>
      </c>
    </row>
    <row r="19" spans="1:8" x14ac:dyDescent="0.2">
      <c r="A19" s="30" t="s">
        <v>189</v>
      </c>
      <c r="B19" s="31" t="s">
        <v>3</v>
      </c>
      <c r="C19" s="20">
        <v>6216</v>
      </c>
      <c r="D19" s="20">
        <v>5612.7763975155285</v>
      </c>
      <c r="E19" s="21">
        <v>4820.9487653734031</v>
      </c>
      <c r="F19" s="22" t="s">
        <v>240</v>
      </c>
      <c r="G19" s="23">
        <v>-22.442909179964559</v>
      </c>
      <c r="H19" s="24">
        <v>-14.107592678956976</v>
      </c>
    </row>
    <row r="20" spans="1:8" x14ac:dyDescent="0.2">
      <c r="A20" s="30"/>
      <c r="B20" s="25" t="s">
        <v>241</v>
      </c>
      <c r="C20" s="26">
        <v>1390.5639751552794</v>
      </c>
      <c r="D20" s="26">
        <v>1125</v>
      </c>
      <c r="E20" s="26">
        <v>1001</v>
      </c>
      <c r="F20" s="27"/>
      <c r="G20" s="38">
        <v>-28.014818599897794</v>
      </c>
      <c r="H20" s="24">
        <v>-11.022222222222226</v>
      </c>
    </row>
    <row r="21" spans="1:8" x14ac:dyDescent="0.2">
      <c r="A21" s="39" t="s">
        <v>12</v>
      </c>
      <c r="B21" s="31" t="s">
        <v>3</v>
      </c>
      <c r="C21" s="20">
        <v>63</v>
      </c>
      <c r="D21" s="20">
        <v>51.924347826086958</v>
      </c>
      <c r="E21" s="21">
        <v>41.186585077253604</v>
      </c>
      <c r="F21" s="22" t="s">
        <v>240</v>
      </c>
      <c r="G21" s="37">
        <v>-34.624468131343491</v>
      </c>
      <c r="H21" s="33">
        <v>-20.679629496354821</v>
      </c>
    </row>
    <row r="22" spans="1:8" x14ac:dyDescent="0.2">
      <c r="A22" s="34"/>
      <c r="B22" s="25" t="s">
        <v>241</v>
      </c>
      <c r="C22" s="26">
        <v>13.489478260869566</v>
      </c>
      <c r="D22" s="26">
        <v>8</v>
      </c>
      <c r="E22" s="26">
        <v>7</v>
      </c>
      <c r="F22" s="27"/>
      <c r="G22" s="28">
        <v>-48.107703910938639</v>
      </c>
      <c r="H22" s="29">
        <v>-12.5</v>
      </c>
    </row>
    <row r="23" spans="1:8" x14ac:dyDescent="0.2">
      <c r="A23" s="39" t="s">
        <v>23</v>
      </c>
      <c r="B23" s="31" t="s">
        <v>3</v>
      </c>
      <c r="C23" s="20">
        <v>1708</v>
      </c>
      <c r="D23" s="20">
        <v>1697.8739130434783</v>
      </c>
      <c r="E23" s="21">
        <v>1837.1645638709456</v>
      </c>
      <c r="F23" s="22" t="s">
        <v>240</v>
      </c>
      <c r="G23" s="23">
        <v>7.5623280954886241</v>
      </c>
      <c r="H23" s="24">
        <v>8.2038277258047714</v>
      </c>
    </row>
    <row r="24" spans="1:8" x14ac:dyDescent="0.2">
      <c r="A24" s="34"/>
      <c r="B24" s="25" t="s">
        <v>241</v>
      </c>
      <c r="C24" s="26">
        <v>337.14913043478259</v>
      </c>
      <c r="D24" s="26">
        <v>450</v>
      </c>
      <c r="E24" s="26">
        <v>437</v>
      </c>
      <c r="F24" s="27"/>
      <c r="G24" s="28">
        <v>29.61623226981223</v>
      </c>
      <c r="H24" s="29">
        <v>-2.8888888888888857</v>
      </c>
    </row>
    <row r="25" spans="1:8" x14ac:dyDescent="0.2">
      <c r="A25" s="30" t="s">
        <v>24</v>
      </c>
      <c r="B25" s="31" t="s">
        <v>3</v>
      </c>
      <c r="C25" s="20">
        <v>2750</v>
      </c>
      <c r="D25" s="20">
        <v>2505.7478260869566</v>
      </c>
      <c r="E25" s="21">
        <v>2483.5441644232124</v>
      </c>
      <c r="F25" s="22" t="s">
        <v>240</v>
      </c>
      <c r="G25" s="23">
        <v>-9.6893031118831914</v>
      </c>
      <c r="H25" s="24">
        <v>-0.88610918595180976</v>
      </c>
    </row>
    <row r="26" spans="1:8" ht="13.5" thickBot="1" x14ac:dyDescent="0.25">
      <c r="A26" s="41"/>
      <c r="B26" s="42" t="s">
        <v>241</v>
      </c>
      <c r="C26" s="43">
        <v>770.29826086956518</v>
      </c>
      <c r="D26" s="43">
        <v>814</v>
      </c>
      <c r="E26" s="43">
        <v>766</v>
      </c>
      <c r="F26" s="44"/>
      <c r="G26" s="45">
        <v>-0.55799955522591915</v>
      </c>
      <c r="H26" s="46">
        <v>-5.8968058968059012</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45</v>
      </c>
      <c r="B35" s="19" t="s">
        <v>3</v>
      </c>
      <c r="C35" s="80">
        <v>1025.3048651070953</v>
      </c>
      <c r="D35" s="80">
        <v>920.69793862427082</v>
      </c>
      <c r="E35" s="83">
        <v>1068.4994568348304</v>
      </c>
      <c r="F35" s="22" t="s">
        <v>240</v>
      </c>
      <c r="G35" s="23">
        <v>4.2128534836537028</v>
      </c>
      <c r="H35" s="24">
        <v>16.05320398907466</v>
      </c>
    </row>
    <row r="36" spans="1:8" ht="12.75" customHeight="1" x14ac:dyDescent="0.2">
      <c r="A36" s="206"/>
      <c r="B36" s="25" t="s">
        <v>241</v>
      </c>
      <c r="C36" s="82">
        <v>323.01415185402277</v>
      </c>
      <c r="D36" s="82">
        <v>214.90358172041334</v>
      </c>
      <c r="E36" s="82">
        <v>272.97903669560264</v>
      </c>
      <c r="F36" s="27"/>
      <c r="G36" s="28">
        <v>-15.490069048439736</v>
      </c>
      <c r="H36" s="29">
        <v>27.02395860984052</v>
      </c>
    </row>
    <row r="37" spans="1:8" x14ac:dyDescent="0.2">
      <c r="A37" s="30" t="s">
        <v>18</v>
      </c>
      <c r="B37" s="31" t="s">
        <v>3</v>
      </c>
      <c r="C37" s="80">
        <v>352.08131989731572</v>
      </c>
      <c r="D37" s="80">
        <v>342.37821156408762</v>
      </c>
      <c r="E37" s="83">
        <v>387.74985269590945</v>
      </c>
      <c r="F37" s="22" t="s">
        <v>240</v>
      </c>
      <c r="G37" s="32">
        <v>10.130765474577402</v>
      </c>
      <c r="H37" s="33">
        <v>13.251906692470399</v>
      </c>
    </row>
    <row r="38" spans="1:8" x14ac:dyDescent="0.2">
      <c r="A38" s="34"/>
      <c r="B38" s="25" t="s">
        <v>241</v>
      </c>
      <c r="C38" s="82">
        <v>88.237440975303059</v>
      </c>
      <c r="D38" s="82">
        <v>59.334403437206333</v>
      </c>
      <c r="E38" s="82">
        <v>74.899582281471623</v>
      </c>
      <c r="F38" s="27"/>
      <c r="G38" s="35">
        <v>-15.115872067917962</v>
      </c>
      <c r="H38" s="29">
        <v>26.232974366613362</v>
      </c>
    </row>
    <row r="39" spans="1:8" x14ac:dyDescent="0.2">
      <c r="A39" s="30" t="s">
        <v>19</v>
      </c>
      <c r="B39" s="31" t="s">
        <v>3</v>
      </c>
      <c r="C39" s="80">
        <v>385.89841356658553</v>
      </c>
      <c r="D39" s="80">
        <v>303.71060912703126</v>
      </c>
      <c r="E39" s="83">
        <v>375.05738766454368</v>
      </c>
      <c r="F39" s="22" t="s">
        <v>240</v>
      </c>
      <c r="G39" s="37">
        <v>-2.8092952758851624</v>
      </c>
      <c r="H39" s="33">
        <v>23.491697818060288</v>
      </c>
    </row>
    <row r="40" spans="1:8" x14ac:dyDescent="0.2">
      <c r="A40" s="34"/>
      <c r="B40" s="25" t="s">
        <v>241</v>
      </c>
      <c r="C40" s="82">
        <v>151.1685035968332</v>
      </c>
      <c r="D40" s="82">
        <v>87.487527788327924</v>
      </c>
      <c r="E40" s="82">
        <v>118.49260429148903</v>
      </c>
      <c r="F40" s="27"/>
      <c r="G40" s="28">
        <v>-21.615547238921465</v>
      </c>
      <c r="H40" s="29">
        <v>35.439424666538144</v>
      </c>
    </row>
    <row r="41" spans="1:8" x14ac:dyDescent="0.2">
      <c r="A41" s="30" t="s">
        <v>20</v>
      </c>
      <c r="B41" s="31" t="s">
        <v>3</v>
      </c>
      <c r="C41" s="80">
        <v>25.875430763534151</v>
      </c>
      <c r="D41" s="80">
        <v>33.909776236108357</v>
      </c>
      <c r="E41" s="83">
        <v>36.671852410829487</v>
      </c>
      <c r="F41" s="22" t="s">
        <v>240</v>
      </c>
      <c r="G41" s="23">
        <v>41.724606426690173</v>
      </c>
      <c r="H41" s="24">
        <v>8.1453683312129073</v>
      </c>
    </row>
    <row r="42" spans="1:8" x14ac:dyDescent="0.2">
      <c r="A42" s="34"/>
      <c r="B42" s="25" t="s">
        <v>241</v>
      </c>
      <c r="C42" s="82">
        <v>7.5018666208325824</v>
      </c>
      <c r="D42" s="82">
        <v>6.3715424477888787</v>
      </c>
      <c r="E42" s="82">
        <v>7.806212785264691</v>
      </c>
      <c r="F42" s="27"/>
      <c r="G42" s="38">
        <v>4.0569391568085535</v>
      </c>
      <c r="H42" s="24">
        <v>22.516845006246285</v>
      </c>
    </row>
    <row r="43" spans="1:8" x14ac:dyDescent="0.2">
      <c r="A43" s="30" t="s">
        <v>21</v>
      </c>
      <c r="B43" s="31" t="s">
        <v>3</v>
      </c>
      <c r="C43" s="80">
        <v>10.001865350056425</v>
      </c>
      <c r="D43" s="80">
        <v>10.163603263999788</v>
      </c>
      <c r="E43" s="83">
        <v>11.244396280447774</v>
      </c>
      <c r="F43" s="22" t="s">
        <v>240</v>
      </c>
      <c r="G43" s="37">
        <v>12.422991981034201</v>
      </c>
      <c r="H43" s="33">
        <v>10.63395518670265</v>
      </c>
    </row>
    <row r="44" spans="1:8" x14ac:dyDescent="0.2">
      <c r="A44" s="34"/>
      <c r="B44" s="25" t="s">
        <v>241</v>
      </c>
      <c r="C44" s="82">
        <v>2.6231515251540145</v>
      </c>
      <c r="D44" s="82">
        <v>1.9913936280445972</v>
      </c>
      <c r="E44" s="82">
        <v>2.4059994302439778</v>
      </c>
      <c r="F44" s="27"/>
      <c r="G44" s="28">
        <v>-8.2782901722494699</v>
      </c>
      <c r="H44" s="29">
        <v>20.819881933964666</v>
      </c>
    </row>
    <row r="45" spans="1:8" x14ac:dyDescent="0.2">
      <c r="A45" s="30" t="s">
        <v>22</v>
      </c>
      <c r="B45" s="31" t="s">
        <v>3</v>
      </c>
      <c r="C45" s="80">
        <v>2.2821018177074857</v>
      </c>
      <c r="D45" s="80">
        <v>3.1169390507021411</v>
      </c>
      <c r="E45" s="83">
        <v>3.4188535599649783</v>
      </c>
      <c r="F45" s="22" t="s">
        <v>240</v>
      </c>
      <c r="G45" s="37">
        <v>49.811613725431016</v>
      </c>
      <c r="H45" s="33">
        <v>9.686250014892849</v>
      </c>
    </row>
    <row r="46" spans="1:8" x14ac:dyDescent="0.2">
      <c r="A46" s="34"/>
      <c r="B46" s="25" t="s">
        <v>241</v>
      </c>
      <c r="C46" s="82">
        <v>0.49604290557541775</v>
      </c>
      <c r="D46" s="82">
        <v>0.53681124598597851</v>
      </c>
      <c r="E46" s="82">
        <v>0.63259748981103814</v>
      </c>
      <c r="F46" s="27"/>
      <c r="G46" s="28">
        <v>27.528784849208733</v>
      </c>
      <c r="H46" s="29">
        <v>17.843561315323413</v>
      </c>
    </row>
    <row r="47" spans="1:8" x14ac:dyDescent="0.2">
      <c r="A47" s="30" t="s">
        <v>189</v>
      </c>
      <c r="B47" s="31" t="s">
        <v>3</v>
      </c>
      <c r="C47" s="80">
        <v>113.70571797914418</v>
      </c>
      <c r="D47" s="80">
        <v>100.45196290747262</v>
      </c>
      <c r="E47" s="83">
        <v>94.567039620623959</v>
      </c>
      <c r="F47" s="22" t="s">
        <v>240</v>
      </c>
      <c r="G47" s="23">
        <v>-16.831764223177075</v>
      </c>
      <c r="H47" s="24">
        <v>-5.8584452871959627</v>
      </c>
    </row>
    <row r="48" spans="1:8" x14ac:dyDescent="0.2">
      <c r="A48" s="30"/>
      <c r="B48" s="25" t="s">
        <v>241</v>
      </c>
      <c r="C48" s="82">
        <v>33.177373025319497</v>
      </c>
      <c r="D48" s="82">
        <v>24.55226607315079</v>
      </c>
      <c r="E48" s="82">
        <v>24.436115322362568</v>
      </c>
      <c r="F48" s="27"/>
      <c r="G48" s="38">
        <v>-26.347045910735574</v>
      </c>
      <c r="H48" s="24">
        <v>-0.47307548086259033</v>
      </c>
    </row>
    <row r="49" spans="1:8" x14ac:dyDescent="0.2">
      <c r="A49" s="39" t="s">
        <v>12</v>
      </c>
      <c r="B49" s="31" t="s">
        <v>3</v>
      </c>
      <c r="C49" s="80">
        <v>0.71547073751679258</v>
      </c>
      <c r="D49" s="80">
        <v>0.5151113756760981</v>
      </c>
      <c r="E49" s="83">
        <v>0.20048776285234171</v>
      </c>
      <c r="F49" s="22" t="s">
        <v>240</v>
      </c>
      <c r="G49" s="37">
        <v>-71.978202274466028</v>
      </c>
      <c r="H49" s="33">
        <v>-61.078754552994305</v>
      </c>
    </row>
    <row r="50" spans="1:8" x14ac:dyDescent="0.2">
      <c r="A50" s="34"/>
      <c r="B50" s="25" t="s">
        <v>241</v>
      </c>
      <c r="C50" s="82">
        <v>0.30014388003872289</v>
      </c>
      <c r="D50" s="82">
        <v>0.19274381917935315</v>
      </c>
      <c r="E50" s="82">
        <v>7.7821087561366548E-2</v>
      </c>
      <c r="F50" s="27"/>
      <c r="G50" s="28">
        <v>-74.072072516912044</v>
      </c>
      <c r="H50" s="29">
        <v>-59.624600211458926</v>
      </c>
    </row>
    <row r="51" spans="1:8" x14ac:dyDescent="0.2">
      <c r="A51" s="39" t="s">
        <v>23</v>
      </c>
      <c r="B51" s="31" t="s">
        <v>3</v>
      </c>
      <c r="C51" s="80">
        <v>55.653365350551766</v>
      </c>
      <c r="D51" s="80">
        <v>57.82285143122315</v>
      </c>
      <c r="E51" s="83">
        <v>60.582795381052115</v>
      </c>
      <c r="F51" s="22" t="s">
        <v>240</v>
      </c>
      <c r="G51" s="23">
        <v>8.8573799615722066</v>
      </c>
      <c r="H51" s="24">
        <v>4.7731024698976654</v>
      </c>
    </row>
    <row r="52" spans="1:8" x14ac:dyDescent="0.2">
      <c r="A52" s="34"/>
      <c r="B52" s="25" t="s">
        <v>241</v>
      </c>
      <c r="C52" s="82">
        <v>12.240760743340941</v>
      </c>
      <c r="D52" s="82">
        <v>13.714465490660309</v>
      </c>
      <c r="E52" s="82">
        <v>14.003320098737285</v>
      </c>
      <c r="F52" s="27"/>
      <c r="G52" s="28">
        <v>14.399099797414053</v>
      </c>
      <c r="H52" s="29">
        <v>2.1062039076454653</v>
      </c>
    </row>
    <row r="53" spans="1:8" x14ac:dyDescent="0.2">
      <c r="A53" s="30" t="s">
        <v>24</v>
      </c>
      <c r="B53" s="31" t="s">
        <v>3</v>
      </c>
      <c r="C53" s="80">
        <v>79.09117964468345</v>
      </c>
      <c r="D53" s="80">
        <v>68.628873667969899</v>
      </c>
      <c r="E53" s="83">
        <v>95.954146367363094</v>
      </c>
      <c r="F53" s="22" t="s">
        <v>240</v>
      </c>
      <c r="G53" s="23">
        <v>21.320919473494257</v>
      </c>
      <c r="H53" s="24">
        <v>39.816000524202536</v>
      </c>
    </row>
    <row r="54" spans="1:8" ht="13.5" thickBot="1" x14ac:dyDescent="0.25">
      <c r="A54" s="41"/>
      <c r="B54" s="42" t="s">
        <v>241</v>
      </c>
      <c r="C54" s="86">
        <v>27.268868581625327</v>
      </c>
      <c r="D54" s="86">
        <v>20.722427790069165</v>
      </c>
      <c r="E54" s="86">
        <v>30.224783908661006</v>
      </c>
      <c r="F54" s="44"/>
      <c r="G54" s="45">
        <v>10.83988988464111</v>
      </c>
      <c r="H54" s="46">
        <v>45.85541913745098</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16</v>
      </c>
    </row>
    <row r="62" spans="1:8"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165</v>
      </c>
      <c r="B7" s="19" t="s">
        <v>3</v>
      </c>
      <c r="C7" s="20">
        <v>47091.596212135686</v>
      </c>
      <c r="D7" s="20">
        <v>44703.941502659662</v>
      </c>
      <c r="E7" s="79">
        <v>51519.022872112168</v>
      </c>
      <c r="F7" s="22" t="s">
        <v>240</v>
      </c>
      <c r="G7" s="23">
        <v>9.4017341014138651</v>
      </c>
      <c r="H7" s="24">
        <v>15.244922797348977</v>
      </c>
    </row>
    <row r="8" spans="1:8" x14ac:dyDescent="0.2">
      <c r="A8" s="206"/>
      <c r="B8" s="25" t="s">
        <v>241</v>
      </c>
      <c r="C8" s="26">
        <v>14184.867654085045</v>
      </c>
      <c r="D8" s="26">
        <v>11825.08552317248</v>
      </c>
      <c r="E8" s="26">
        <v>14204.681955725435</v>
      </c>
      <c r="F8" s="27"/>
      <c r="G8" s="28">
        <v>0.13968619322777442</v>
      </c>
      <c r="H8" s="29">
        <v>20.123291521992698</v>
      </c>
    </row>
    <row r="9" spans="1:8" x14ac:dyDescent="0.2">
      <c r="A9" s="30" t="s">
        <v>18</v>
      </c>
      <c r="B9" s="31" t="s">
        <v>3</v>
      </c>
      <c r="C9" s="20">
        <v>4601.1492898695651</v>
      </c>
      <c r="D9" s="20">
        <v>4277.1578497057972</v>
      </c>
      <c r="E9" s="36">
        <v>4384.3379221415807</v>
      </c>
      <c r="F9" s="22" t="s">
        <v>240</v>
      </c>
      <c r="G9" s="32">
        <v>-4.7121133018948456</v>
      </c>
      <c r="H9" s="33">
        <v>2.5058713333003624</v>
      </c>
    </row>
    <row r="10" spans="1:8" x14ac:dyDescent="0.2">
      <c r="A10" s="34"/>
      <c r="B10" s="25" t="s">
        <v>241</v>
      </c>
      <c r="C10" s="26">
        <v>1228.7050543478263</v>
      </c>
      <c r="D10" s="26">
        <v>1078.9627717391304</v>
      </c>
      <c r="E10" s="26">
        <v>1126.7903442028985</v>
      </c>
      <c r="F10" s="27"/>
      <c r="G10" s="35">
        <v>-8.2944812332543307</v>
      </c>
      <c r="H10" s="29">
        <v>4.4327361162495862</v>
      </c>
    </row>
    <row r="11" spans="1:8" x14ac:dyDescent="0.2">
      <c r="A11" s="30" t="s">
        <v>19</v>
      </c>
      <c r="B11" s="31" t="s">
        <v>3</v>
      </c>
      <c r="C11" s="20">
        <v>25129.852221391302</v>
      </c>
      <c r="D11" s="20">
        <v>21767.698417218973</v>
      </c>
      <c r="E11" s="36">
        <v>24194.440636277497</v>
      </c>
      <c r="F11" s="22" t="s">
        <v>240</v>
      </c>
      <c r="G11" s="37">
        <v>-3.7223123195191476</v>
      </c>
      <c r="H11" s="33">
        <v>11.148363839600478</v>
      </c>
    </row>
    <row r="12" spans="1:8" x14ac:dyDescent="0.2">
      <c r="A12" s="34"/>
      <c r="B12" s="25" t="s">
        <v>241</v>
      </c>
      <c r="C12" s="26">
        <v>7623.4892687747042</v>
      </c>
      <c r="D12" s="26">
        <v>6289.7872529644264</v>
      </c>
      <c r="E12" s="26">
        <v>7103.4956719367583</v>
      </c>
      <c r="F12" s="27"/>
      <c r="G12" s="28">
        <v>-6.8209395790429568</v>
      </c>
      <c r="H12" s="29">
        <v>12.936978410340117</v>
      </c>
    </row>
    <row r="13" spans="1:8" x14ac:dyDescent="0.2">
      <c r="A13" s="30" t="s">
        <v>20</v>
      </c>
      <c r="B13" s="31" t="s">
        <v>3</v>
      </c>
      <c r="C13" s="20">
        <v>2303.2895739217392</v>
      </c>
      <c r="D13" s="20">
        <v>2976.0947098234783</v>
      </c>
      <c r="E13" s="36">
        <v>4361.9196669087951</v>
      </c>
      <c r="F13" s="22" t="s">
        <v>240</v>
      </c>
      <c r="G13" s="23">
        <v>89.377823626487839</v>
      </c>
      <c r="H13" s="24">
        <v>46.5652169103017</v>
      </c>
    </row>
    <row r="14" spans="1:8" x14ac:dyDescent="0.2">
      <c r="A14" s="34"/>
      <c r="B14" s="25" t="s">
        <v>241</v>
      </c>
      <c r="C14" s="26">
        <v>553.22303260869558</v>
      </c>
      <c r="D14" s="26">
        <v>593.17766304347833</v>
      </c>
      <c r="E14" s="26">
        <v>921.67420652173917</v>
      </c>
      <c r="F14" s="27"/>
      <c r="G14" s="38">
        <v>66.60083767221883</v>
      </c>
      <c r="H14" s="24">
        <v>55.379115557522738</v>
      </c>
    </row>
    <row r="15" spans="1:8" x14ac:dyDescent="0.2">
      <c r="A15" s="30" t="s">
        <v>21</v>
      </c>
      <c r="B15" s="31" t="s">
        <v>3</v>
      </c>
      <c r="C15" s="20">
        <v>1395.2895739217392</v>
      </c>
      <c r="D15" s="20">
        <v>1524.0947098234783</v>
      </c>
      <c r="E15" s="36">
        <v>1802.0872066381835</v>
      </c>
      <c r="F15" s="22" t="s">
        <v>240</v>
      </c>
      <c r="G15" s="37">
        <v>29.155068619416284</v>
      </c>
      <c r="H15" s="33">
        <v>18.23984395608214</v>
      </c>
    </row>
    <row r="16" spans="1:8" x14ac:dyDescent="0.2">
      <c r="A16" s="34"/>
      <c r="B16" s="25" t="s">
        <v>241</v>
      </c>
      <c r="C16" s="26">
        <v>306.22303260869569</v>
      </c>
      <c r="D16" s="26">
        <v>332.17766304347828</v>
      </c>
      <c r="E16" s="26">
        <v>393.67420652173917</v>
      </c>
      <c r="F16" s="27"/>
      <c r="G16" s="28">
        <v>28.558000085118408</v>
      </c>
      <c r="H16" s="29">
        <v>18.513148329968132</v>
      </c>
    </row>
    <row r="17" spans="1:8" x14ac:dyDescent="0.2">
      <c r="A17" s="30" t="s">
        <v>189</v>
      </c>
      <c r="B17" s="31" t="s">
        <v>3</v>
      </c>
      <c r="C17" s="20">
        <v>8451.1492898695651</v>
      </c>
      <c r="D17" s="20">
        <v>7993.1578497057972</v>
      </c>
      <c r="E17" s="36">
        <v>8483.5285140017695</v>
      </c>
      <c r="F17" s="22" t="s">
        <v>240</v>
      </c>
      <c r="G17" s="37">
        <v>0.3831339741094979</v>
      </c>
      <c r="H17" s="33">
        <v>6.134880275309726</v>
      </c>
    </row>
    <row r="18" spans="1:8" x14ac:dyDescent="0.2">
      <c r="A18" s="34"/>
      <c r="B18" s="25" t="s">
        <v>241</v>
      </c>
      <c r="C18" s="26">
        <v>2420.7050543478263</v>
      </c>
      <c r="D18" s="26">
        <v>2080.9627717391304</v>
      </c>
      <c r="E18" s="26">
        <v>2277.7903442028983</v>
      </c>
      <c r="F18" s="27"/>
      <c r="G18" s="28">
        <v>-5.9038464801087258</v>
      </c>
      <c r="H18" s="29">
        <v>9.4584860016151424</v>
      </c>
    </row>
    <row r="19" spans="1:8" x14ac:dyDescent="0.2">
      <c r="A19" s="39" t="s">
        <v>12</v>
      </c>
      <c r="B19" s="31" t="s">
        <v>3</v>
      </c>
      <c r="C19" s="20">
        <v>335.28957392173913</v>
      </c>
      <c r="D19" s="20">
        <v>436.0947098234783</v>
      </c>
      <c r="E19" s="36">
        <v>391.32774469481785</v>
      </c>
      <c r="F19" s="22" t="s">
        <v>240</v>
      </c>
      <c r="G19" s="37">
        <v>16.7133651421439</v>
      </c>
      <c r="H19" s="33">
        <v>-10.265422652519945</v>
      </c>
    </row>
    <row r="20" spans="1:8" x14ac:dyDescent="0.2">
      <c r="A20" s="34"/>
      <c r="B20" s="25" t="s">
        <v>241</v>
      </c>
      <c r="C20" s="26">
        <v>80.223032608695647</v>
      </c>
      <c r="D20" s="26">
        <v>157.17766304347828</v>
      </c>
      <c r="E20" s="26">
        <v>120.67420652173914</v>
      </c>
      <c r="F20" s="27"/>
      <c r="G20" s="28">
        <v>50.423391634111368</v>
      </c>
      <c r="H20" s="29">
        <v>-23.22432832688294</v>
      </c>
    </row>
    <row r="21" spans="1:8" x14ac:dyDescent="0.2">
      <c r="A21" s="39" t="s">
        <v>23</v>
      </c>
      <c r="B21" s="31" t="s">
        <v>3</v>
      </c>
      <c r="C21" s="20">
        <v>695.85971594782609</v>
      </c>
      <c r="D21" s="20">
        <v>607.06313988231886</v>
      </c>
      <c r="E21" s="36">
        <v>680.51482098946053</v>
      </c>
      <c r="F21" s="22" t="s">
        <v>240</v>
      </c>
      <c r="G21" s="23">
        <v>-2.2051707559280658</v>
      </c>
      <c r="H21" s="24">
        <v>12.099512601173657</v>
      </c>
    </row>
    <row r="22" spans="1:8" x14ac:dyDescent="0.2">
      <c r="A22" s="34"/>
      <c r="B22" s="25" t="s">
        <v>241</v>
      </c>
      <c r="C22" s="26">
        <v>187.48202173913046</v>
      </c>
      <c r="D22" s="26">
        <v>172.78510869565218</v>
      </c>
      <c r="E22" s="26">
        <v>190.11613768115942</v>
      </c>
      <c r="F22" s="27"/>
      <c r="G22" s="38">
        <v>1.4049965525196626</v>
      </c>
      <c r="H22" s="24">
        <v>10.030395047546904</v>
      </c>
    </row>
    <row r="23" spans="1:8" x14ac:dyDescent="0.2">
      <c r="A23" s="30" t="s">
        <v>24</v>
      </c>
      <c r="B23" s="31" t="s">
        <v>3</v>
      </c>
      <c r="C23" s="20">
        <v>5346.8868721765211</v>
      </c>
      <c r="D23" s="20">
        <v>6256.4284129470434</v>
      </c>
      <c r="E23" s="36">
        <v>8909.3927420006912</v>
      </c>
      <c r="F23" s="22" t="s">
        <v>240</v>
      </c>
      <c r="G23" s="37">
        <v>66.627664938308385</v>
      </c>
      <c r="H23" s="33">
        <v>42.403814987535185</v>
      </c>
    </row>
    <row r="24" spans="1:8" ht="13.5" thickBot="1" x14ac:dyDescent="0.25">
      <c r="A24" s="41"/>
      <c r="B24" s="42" t="s">
        <v>241</v>
      </c>
      <c r="C24" s="43">
        <v>2111.5669097826085</v>
      </c>
      <c r="D24" s="43">
        <v>1360.2532989130434</v>
      </c>
      <c r="E24" s="43">
        <v>2278.4022619565217</v>
      </c>
      <c r="F24" s="44"/>
      <c r="G24" s="45">
        <v>7.9010213411181667</v>
      </c>
      <c r="H24" s="46">
        <v>67.4983816453271</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165</v>
      </c>
      <c r="B35" s="19" t="s">
        <v>3</v>
      </c>
      <c r="C35" s="80">
        <v>6062.0590272136787</v>
      </c>
      <c r="D35" s="80">
        <v>7230.9088147832808</v>
      </c>
      <c r="E35" s="81">
        <v>8967.6611620564763</v>
      </c>
      <c r="F35" s="22" t="s">
        <v>240</v>
      </c>
      <c r="G35" s="23">
        <v>47.930944284755782</v>
      </c>
      <c r="H35" s="24">
        <v>24.018451784684117</v>
      </c>
    </row>
    <row r="36" spans="1:8" ht="12.75" customHeight="1" x14ac:dyDescent="0.2">
      <c r="A36" s="206"/>
      <c r="B36" s="25" t="s">
        <v>241</v>
      </c>
      <c r="C36" s="82">
        <v>1585.4037215067146</v>
      </c>
      <c r="D36" s="82">
        <v>1689.9175000707492</v>
      </c>
      <c r="E36" s="82">
        <v>2172.8590638677833</v>
      </c>
      <c r="F36" s="27"/>
      <c r="G36" s="28">
        <v>37.053990374311127</v>
      </c>
      <c r="H36" s="29">
        <v>28.577818963163338</v>
      </c>
    </row>
    <row r="37" spans="1:8" x14ac:dyDescent="0.2">
      <c r="A37" s="30" t="s">
        <v>18</v>
      </c>
      <c r="B37" s="31" t="s">
        <v>3</v>
      </c>
      <c r="C37" s="80">
        <v>2762.2181366845812</v>
      </c>
      <c r="D37" s="80">
        <v>3666.8924975994187</v>
      </c>
      <c r="E37" s="83">
        <v>4689.0574293148029</v>
      </c>
      <c r="F37" s="22" t="s">
        <v>240</v>
      </c>
      <c r="G37" s="32">
        <v>69.756956086855496</v>
      </c>
      <c r="H37" s="33">
        <v>27.875508550756763</v>
      </c>
    </row>
    <row r="38" spans="1:8" x14ac:dyDescent="0.2">
      <c r="A38" s="34"/>
      <c r="B38" s="25" t="s">
        <v>241</v>
      </c>
      <c r="C38" s="82">
        <v>579.73865103339745</v>
      </c>
      <c r="D38" s="82">
        <v>792.62610958501352</v>
      </c>
      <c r="E38" s="82">
        <v>1003.571725434555</v>
      </c>
      <c r="F38" s="27"/>
      <c r="G38" s="35">
        <v>73.107610411288846</v>
      </c>
      <c r="H38" s="29">
        <v>26.613508348846082</v>
      </c>
    </row>
    <row r="39" spans="1:8" x14ac:dyDescent="0.2">
      <c r="A39" s="30" t="s">
        <v>19</v>
      </c>
      <c r="B39" s="31" t="s">
        <v>3</v>
      </c>
      <c r="C39" s="80">
        <v>1948.5093091017909</v>
      </c>
      <c r="D39" s="80">
        <v>1959.9317334918119</v>
      </c>
      <c r="E39" s="83">
        <v>2239.5507939873769</v>
      </c>
      <c r="F39" s="22" t="s">
        <v>240</v>
      </c>
      <c r="G39" s="37">
        <v>14.936622757001246</v>
      </c>
      <c r="H39" s="33">
        <v>14.26677550637929</v>
      </c>
    </row>
    <row r="40" spans="1:8" x14ac:dyDescent="0.2">
      <c r="A40" s="34"/>
      <c r="B40" s="25" t="s">
        <v>241</v>
      </c>
      <c r="C40" s="82">
        <v>632.9094656922249</v>
      </c>
      <c r="D40" s="82">
        <v>495.19912366351832</v>
      </c>
      <c r="E40" s="82">
        <v>611.09846740902378</v>
      </c>
      <c r="F40" s="27"/>
      <c r="G40" s="28">
        <v>-3.4461482195318354</v>
      </c>
      <c r="H40" s="29">
        <v>23.404593870860253</v>
      </c>
    </row>
    <row r="41" spans="1:8" x14ac:dyDescent="0.2">
      <c r="A41" s="30" t="s">
        <v>20</v>
      </c>
      <c r="B41" s="31" t="s">
        <v>3</v>
      </c>
      <c r="C41" s="80">
        <v>123.73318596840178</v>
      </c>
      <c r="D41" s="80">
        <v>160.97136009515918</v>
      </c>
      <c r="E41" s="83">
        <v>240.05994069068518</v>
      </c>
      <c r="F41" s="22" t="s">
        <v>240</v>
      </c>
      <c r="G41" s="23">
        <v>94.014191756114798</v>
      </c>
      <c r="H41" s="24">
        <v>49.13208197332267</v>
      </c>
    </row>
    <row r="42" spans="1:8" x14ac:dyDescent="0.2">
      <c r="A42" s="34"/>
      <c r="B42" s="25" t="s">
        <v>241</v>
      </c>
      <c r="C42" s="82">
        <v>35.265568847048783</v>
      </c>
      <c r="D42" s="82">
        <v>37.448710446537966</v>
      </c>
      <c r="E42" s="82">
        <v>59.491907418397091</v>
      </c>
      <c r="F42" s="27"/>
      <c r="G42" s="38">
        <v>68.696860318405726</v>
      </c>
      <c r="H42" s="24">
        <v>58.862365910645025</v>
      </c>
    </row>
    <row r="43" spans="1:8" x14ac:dyDescent="0.2">
      <c r="A43" s="30" t="s">
        <v>21</v>
      </c>
      <c r="B43" s="31" t="s">
        <v>3</v>
      </c>
      <c r="C43" s="80">
        <v>24.818293969888263</v>
      </c>
      <c r="D43" s="80">
        <v>33.208015768235533</v>
      </c>
      <c r="E43" s="83">
        <v>43.357362839169021</v>
      </c>
      <c r="F43" s="22" t="s">
        <v>240</v>
      </c>
      <c r="G43" s="37">
        <v>74.699207333807806</v>
      </c>
      <c r="H43" s="33">
        <v>30.562943422357819</v>
      </c>
    </row>
    <row r="44" spans="1:8" x14ac:dyDescent="0.2">
      <c r="A44" s="34"/>
      <c r="B44" s="25" t="s">
        <v>241</v>
      </c>
      <c r="C44" s="82">
        <v>5.4503141100964134</v>
      </c>
      <c r="D44" s="82">
        <v>6.389304897370172</v>
      </c>
      <c r="E44" s="82">
        <v>8.7013885971823139</v>
      </c>
      <c r="F44" s="27"/>
      <c r="G44" s="28">
        <v>59.649305001769733</v>
      </c>
      <c r="H44" s="29">
        <v>36.186779891562082</v>
      </c>
    </row>
    <row r="45" spans="1:8" x14ac:dyDescent="0.2">
      <c r="A45" s="30" t="s">
        <v>189</v>
      </c>
      <c r="B45" s="31" t="s">
        <v>3</v>
      </c>
      <c r="C45" s="80">
        <v>679.71148863471331</v>
      </c>
      <c r="D45" s="80">
        <v>692.65829737330091</v>
      </c>
      <c r="E45" s="83">
        <v>1016.2202829781239</v>
      </c>
      <c r="F45" s="22" t="s">
        <v>240</v>
      </c>
      <c r="G45" s="37">
        <v>49.507592555089985</v>
      </c>
      <c r="H45" s="33">
        <v>46.713074373299918</v>
      </c>
    </row>
    <row r="46" spans="1:8" x14ac:dyDescent="0.2">
      <c r="A46" s="34"/>
      <c r="B46" s="25" t="s">
        <v>241</v>
      </c>
      <c r="C46" s="82">
        <v>175.95730150711242</v>
      </c>
      <c r="D46" s="82">
        <v>186.47338630302286</v>
      </c>
      <c r="E46" s="82">
        <v>269.98496176600099</v>
      </c>
      <c r="F46" s="27"/>
      <c r="G46" s="28">
        <v>53.437771239682178</v>
      </c>
      <c r="H46" s="29">
        <v>44.784715459218518</v>
      </c>
    </row>
    <row r="47" spans="1:8" x14ac:dyDescent="0.2">
      <c r="A47" s="39" t="s">
        <v>12</v>
      </c>
      <c r="B47" s="31" t="s">
        <v>3</v>
      </c>
      <c r="C47" s="80">
        <v>20.478960578864299</v>
      </c>
      <c r="D47" s="80">
        <v>36.725818335874578</v>
      </c>
      <c r="E47" s="83">
        <v>30.356065943512448</v>
      </c>
      <c r="F47" s="22" t="s">
        <v>240</v>
      </c>
      <c r="G47" s="37">
        <v>48.230501380240952</v>
      </c>
      <c r="H47" s="33">
        <v>-17.344072047919539</v>
      </c>
    </row>
    <row r="48" spans="1:8" x14ac:dyDescent="0.2">
      <c r="A48" s="34"/>
      <c r="B48" s="25" t="s">
        <v>241</v>
      </c>
      <c r="C48" s="82">
        <v>4.0234702998814535</v>
      </c>
      <c r="D48" s="82">
        <v>12.492893242694789</v>
      </c>
      <c r="E48" s="82">
        <v>8.302060710957754</v>
      </c>
      <c r="F48" s="27"/>
      <c r="G48" s="28">
        <v>106.34079767414622</v>
      </c>
      <c r="H48" s="29">
        <v>-33.545732364179301</v>
      </c>
    </row>
    <row r="49" spans="1:8" x14ac:dyDescent="0.2">
      <c r="A49" s="39" t="s">
        <v>23</v>
      </c>
      <c r="B49" s="31" t="s">
        <v>3</v>
      </c>
      <c r="C49" s="80">
        <v>31.288874071004166</v>
      </c>
      <c r="D49" s="80">
        <v>38.562199446374002</v>
      </c>
      <c r="E49" s="83">
        <v>37.491333802666837</v>
      </c>
      <c r="F49" s="22" t="s">
        <v>240</v>
      </c>
      <c r="G49" s="23">
        <v>19.823211655323121</v>
      </c>
      <c r="H49" s="24">
        <v>-2.7769827942422012</v>
      </c>
    </row>
    <row r="50" spans="1:8" x14ac:dyDescent="0.2">
      <c r="A50" s="34"/>
      <c r="B50" s="25" t="s">
        <v>241</v>
      </c>
      <c r="C50" s="82">
        <v>9.3575640323635625</v>
      </c>
      <c r="D50" s="82">
        <v>8.6607123142224705</v>
      </c>
      <c r="E50" s="82">
        <v>9.1824612155031762</v>
      </c>
      <c r="F50" s="27"/>
      <c r="G50" s="38">
        <v>-1.8712435870573216</v>
      </c>
      <c r="H50" s="24">
        <v>6.024318582016619</v>
      </c>
    </row>
    <row r="51" spans="1:8" x14ac:dyDescent="0.2">
      <c r="A51" s="30" t="s">
        <v>24</v>
      </c>
      <c r="B51" s="31" t="s">
        <v>3</v>
      </c>
      <c r="C51" s="80">
        <v>471.30077820443415</v>
      </c>
      <c r="D51" s="80">
        <v>641.95889267310577</v>
      </c>
      <c r="E51" s="83">
        <v>798.39255248073732</v>
      </c>
      <c r="F51" s="22" t="s">
        <v>240</v>
      </c>
      <c r="G51" s="37">
        <v>69.401916865586401</v>
      </c>
      <c r="H51" s="33">
        <v>24.368173973919809</v>
      </c>
    </row>
    <row r="52" spans="1:8" ht="13.5" thickBot="1" x14ac:dyDescent="0.25">
      <c r="A52" s="41"/>
      <c r="B52" s="42" t="s">
        <v>241</v>
      </c>
      <c r="C52" s="86">
        <v>142.70138598458948</v>
      </c>
      <c r="D52" s="86">
        <v>150.6272596183687</v>
      </c>
      <c r="E52" s="86">
        <v>202.5260913161629</v>
      </c>
      <c r="F52" s="44"/>
      <c r="G52" s="45">
        <v>41.923002302187854</v>
      </c>
      <c r="H52" s="46">
        <v>34.455139016195204</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17</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x14ac:dyDescent="0.2">
      <c r="A7" s="205" t="s">
        <v>58</v>
      </c>
      <c r="B7" s="19" t="s">
        <v>3</v>
      </c>
      <c r="C7" s="20">
        <v>8798.6610285714287</v>
      </c>
      <c r="D7" s="20">
        <v>8629.6967836734693</v>
      </c>
      <c r="E7" s="79">
        <v>9218.8160435696154</v>
      </c>
      <c r="F7" s="22" t="s">
        <v>240</v>
      </c>
      <c r="G7" s="23">
        <v>4.7752153837253104</v>
      </c>
      <c r="H7" s="24">
        <v>6.8266507464167319</v>
      </c>
    </row>
    <row r="8" spans="1:9" x14ac:dyDescent="0.2">
      <c r="A8" s="206"/>
      <c r="B8" s="25" t="s">
        <v>241</v>
      </c>
      <c r="C8" s="26">
        <v>2405.7066122448978</v>
      </c>
      <c r="D8" s="26">
        <v>2424.5147755102043</v>
      </c>
      <c r="E8" s="26">
        <v>2566.4587591836735</v>
      </c>
      <c r="F8" s="27"/>
      <c r="G8" s="28">
        <v>6.682117683035699</v>
      </c>
      <c r="H8" s="29">
        <v>5.8545315997754273</v>
      </c>
    </row>
    <row r="9" spans="1:9" x14ac:dyDescent="0.2">
      <c r="A9" s="30" t="s">
        <v>9</v>
      </c>
      <c r="B9" s="31" t="s">
        <v>3</v>
      </c>
      <c r="C9" s="20">
        <v>8180.3375999999998</v>
      </c>
      <c r="D9" s="20">
        <v>8035.3684571428576</v>
      </c>
      <c r="E9" s="21">
        <v>8573.5307839747893</v>
      </c>
      <c r="F9" s="22" t="s">
        <v>240</v>
      </c>
      <c r="G9" s="32">
        <v>4.8065642666726802</v>
      </c>
      <c r="H9" s="33">
        <v>6.6974194114713441</v>
      </c>
    </row>
    <row r="10" spans="1:9" x14ac:dyDescent="0.2">
      <c r="A10" s="34"/>
      <c r="B10" s="25" t="s">
        <v>241</v>
      </c>
      <c r="C10" s="26">
        <v>2242.1988571428574</v>
      </c>
      <c r="D10" s="26">
        <v>2235.1702857142855</v>
      </c>
      <c r="E10" s="26">
        <v>2373.121942857143</v>
      </c>
      <c r="F10" s="27"/>
      <c r="G10" s="35">
        <v>5.8390488112689383</v>
      </c>
      <c r="H10" s="29">
        <v>6.1718634157116554</v>
      </c>
    </row>
    <row r="11" spans="1:9" x14ac:dyDescent="0.2">
      <c r="A11" s="30" t="s">
        <v>46</v>
      </c>
      <c r="B11" s="31" t="s">
        <v>3</v>
      </c>
      <c r="C11" s="20">
        <v>618.32342857142862</v>
      </c>
      <c r="D11" s="20">
        <v>594.32832653061223</v>
      </c>
      <c r="E11" s="21">
        <v>646.15616422669359</v>
      </c>
      <c r="F11" s="22" t="s">
        <v>240</v>
      </c>
      <c r="G11" s="37">
        <v>4.5013231537368199</v>
      </c>
      <c r="H11" s="33">
        <v>8.7204050997579117</v>
      </c>
    </row>
    <row r="12" spans="1:9" ht="13.5" thickBot="1" x14ac:dyDescent="0.25">
      <c r="A12" s="56"/>
      <c r="B12" s="42" t="s">
        <v>241</v>
      </c>
      <c r="C12" s="43">
        <v>163.50775510204082</v>
      </c>
      <c r="D12" s="43">
        <v>190.34448979591838</v>
      </c>
      <c r="E12" s="43">
        <v>193.3368163265306</v>
      </c>
      <c r="F12" s="44"/>
      <c r="G12" s="57">
        <v>18.243208834880193</v>
      </c>
      <c r="H12" s="46">
        <v>1.5720583946614397</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58</v>
      </c>
      <c r="B35" s="19" t="s">
        <v>3</v>
      </c>
      <c r="C35" s="80">
        <v>1811.9238978132253</v>
      </c>
      <c r="D35" s="80">
        <v>1885.3077142325615</v>
      </c>
      <c r="E35" s="81">
        <v>1926.2672344322427</v>
      </c>
      <c r="F35" s="22" t="s">
        <v>240</v>
      </c>
      <c r="G35" s="23">
        <v>6.3106037045494077</v>
      </c>
      <c r="H35" s="24">
        <v>2.1725641862317531</v>
      </c>
    </row>
    <row r="36" spans="1:9" ht="12.75" customHeight="1" x14ac:dyDescent="0.2">
      <c r="A36" s="206"/>
      <c r="B36" s="25" t="s">
        <v>241</v>
      </c>
      <c r="C36" s="82">
        <v>482.14262646559501</v>
      </c>
      <c r="D36" s="82">
        <v>455.45258046041744</v>
      </c>
      <c r="E36" s="82">
        <v>480.09060016829704</v>
      </c>
      <c r="F36" s="27"/>
      <c r="G36" s="28">
        <v>-0.42560565788190274</v>
      </c>
      <c r="H36" s="29">
        <v>5.4095685840604943</v>
      </c>
    </row>
    <row r="37" spans="1:9" x14ac:dyDescent="0.2">
      <c r="A37" s="30" t="s">
        <v>9</v>
      </c>
      <c r="B37" s="31" t="s">
        <v>3</v>
      </c>
      <c r="C37" s="80">
        <v>1308.5133755640509</v>
      </c>
      <c r="D37" s="80">
        <v>1331.4704569125568</v>
      </c>
      <c r="E37" s="83">
        <v>1365.6542642516272</v>
      </c>
      <c r="F37" s="22" t="s">
        <v>240</v>
      </c>
      <c r="G37" s="32">
        <v>4.3668555289276441</v>
      </c>
      <c r="H37" s="33">
        <v>2.5673725738035955</v>
      </c>
    </row>
    <row r="38" spans="1:9" x14ac:dyDescent="0.2">
      <c r="A38" s="34"/>
      <c r="B38" s="25" t="s">
        <v>241</v>
      </c>
      <c r="C38" s="82">
        <v>351.22747529705839</v>
      </c>
      <c r="D38" s="82">
        <v>326.7414244099059</v>
      </c>
      <c r="E38" s="82">
        <v>344.991742655954</v>
      </c>
      <c r="F38" s="27"/>
      <c r="G38" s="35">
        <v>-1.7754114013519029</v>
      </c>
      <c r="H38" s="29">
        <v>5.5855538608268489</v>
      </c>
    </row>
    <row r="39" spans="1:9" x14ac:dyDescent="0.2">
      <c r="A39" s="30" t="s">
        <v>46</v>
      </c>
      <c r="B39" s="31" t="s">
        <v>3</v>
      </c>
      <c r="C39" s="80">
        <v>503.41052224917507</v>
      </c>
      <c r="D39" s="80">
        <v>553.8372573200046</v>
      </c>
      <c r="E39" s="83">
        <v>560.71486722310169</v>
      </c>
      <c r="F39" s="22" t="s">
        <v>240</v>
      </c>
      <c r="G39" s="37">
        <v>11.383223520616539</v>
      </c>
      <c r="H39" s="33">
        <v>1.2418106243660105</v>
      </c>
    </row>
    <row r="40" spans="1:9" ht="13.5" thickBot="1" x14ac:dyDescent="0.25">
      <c r="A40" s="56"/>
      <c r="B40" s="42" t="s">
        <v>241</v>
      </c>
      <c r="C40" s="86">
        <v>130.91515116853665</v>
      </c>
      <c r="D40" s="86">
        <v>128.71115605051156</v>
      </c>
      <c r="E40" s="86">
        <v>135.09885751234299</v>
      </c>
      <c r="F40" s="44"/>
      <c r="G40" s="57">
        <v>3.1957388479965516</v>
      </c>
      <c r="H40" s="46">
        <v>4.9628188090585184</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18</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x14ac:dyDescent="0.2">
      <c r="A7" s="205" t="s">
        <v>57</v>
      </c>
      <c r="B7" s="19" t="s">
        <v>3</v>
      </c>
      <c r="C7" s="20">
        <v>5593</v>
      </c>
      <c r="D7" s="20">
        <v>6040</v>
      </c>
      <c r="E7" s="79">
        <v>7723.9697422185936</v>
      </c>
      <c r="F7" s="22" t="s">
        <v>240</v>
      </c>
      <c r="G7" s="23">
        <v>38.100656932211592</v>
      </c>
      <c r="H7" s="24">
        <v>27.88029374534095</v>
      </c>
    </row>
    <row r="8" spans="1:9" x14ac:dyDescent="0.2">
      <c r="A8" s="206"/>
      <c r="B8" s="25" t="s">
        <v>241</v>
      </c>
      <c r="C8" s="26">
        <v>1483.3984</v>
      </c>
      <c r="D8" s="26">
        <v>1507</v>
      </c>
      <c r="E8" s="26">
        <v>1966</v>
      </c>
      <c r="F8" s="27"/>
      <c r="G8" s="28">
        <v>32.533512237845201</v>
      </c>
      <c r="H8" s="29">
        <v>30.457863304578638</v>
      </c>
    </row>
    <row r="9" spans="1:9" x14ac:dyDescent="0.2">
      <c r="A9" s="30" t="s">
        <v>9</v>
      </c>
      <c r="B9" s="31" t="s">
        <v>3</v>
      </c>
      <c r="C9" s="20">
        <v>1642</v>
      </c>
      <c r="D9" s="20">
        <v>2183</v>
      </c>
      <c r="E9" s="21">
        <v>3122.5334468329552</v>
      </c>
      <c r="F9" s="22" t="s">
        <v>240</v>
      </c>
      <c r="G9" s="32">
        <v>90.166470574479604</v>
      </c>
      <c r="H9" s="33">
        <v>43.038637051440901</v>
      </c>
    </row>
    <row r="10" spans="1:9" x14ac:dyDescent="0.2">
      <c r="A10" s="34"/>
      <c r="B10" s="25" t="s">
        <v>241</v>
      </c>
      <c r="C10" s="26">
        <v>513.26559999999995</v>
      </c>
      <c r="D10" s="26">
        <v>436.02057613168722</v>
      </c>
      <c r="E10" s="26">
        <v>709</v>
      </c>
      <c r="F10" s="27"/>
      <c r="G10" s="35">
        <v>38.135109775523631</v>
      </c>
      <c r="H10" s="29">
        <v>62.607004992779821</v>
      </c>
    </row>
    <row r="11" spans="1:9" x14ac:dyDescent="0.2">
      <c r="A11" s="30" t="s">
        <v>46</v>
      </c>
      <c r="B11" s="31" t="s">
        <v>3</v>
      </c>
      <c r="C11" s="20">
        <v>2574</v>
      </c>
      <c r="D11" s="20">
        <v>2470</v>
      </c>
      <c r="E11" s="21">
        <v>2834.640845777471</v>
      </c>
      <c r="F11" s="22" t="s">
        <v>240</v>
      </c>
      <c r="G11" s="37">
        <v>10.125906984361734</v>
      </c>
      <c r="H11" s="33">
        <v>14.762787278440115</v>
      </c>
    </row>
    <row r="12" spans="1:9" x14ac:dyDescent="0.2">
      <c r="A12" s="34"/>
      <c r="B12" s="25" t="s">
        <v>241</v>
      </c>
      <c r="C12" s="26">
        <v>607.13279999999997</v>
      </c>
      <c r="D12" s="26">
        <v>742.97942386831278</v>
      </c>
      <c r="E12" s="26">
        <v>781</v>
      </c>
      <c r="F12" s="27"/>
      <c r="G12" s="28">
        <v>28.637424958756952</v>
      </c>
      <c r="H12" s="29">
        <v>5.1173121233605059</v>
      </c>
    </row>
    <row r="13" spans="1:9" x14ac:dyDescent="0.2">
      <c r="A13" s="30" t="s">
        <v>24</v>
      </c>
      <c r="B13" s="31" t="s">
        <v>3</v>
      </c>
      <c r="C13" s="20">
        <v>1383</v>
      </c>
      <c r="D13" s="20">
        <v>1393</v>
      </c>
      <c r="E13" s="21">
        <v>1695.8011626346936</v>
      </c>
      <c r="F13" s="22" t="s">
        <v>240</v>
      </c>
      <c r="G13" s="23">
        <v>22.61758225847386</v>
      </c>
      <c r="H13" s="24">
        <v>21.737341179805696</v>
      </c>
    </row>
    <row r="14" spans="1:9" ht="13.5" thickBot="1" x14ac:dyDescent="0.25">
      <c r="A14" s="56"/>
      <c r="B14" s="42" t="s">
        <v>241</v>
      </c>
      <c r="C14" s="43">
        <v>368.06639999999999</v>
      </c>
      <c r="D14" s="43">
        <v>402</v>
      </c>
      <c r="E14" s="43">
        <v>476</v>
      </c>
      <c r="F14" s="44"/>
      <c r="G14" s="57">
        <v>29.324491450455668</v>
      </c>
      <c r="H14" s="46">
        <v>18.407960199004975</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57</v>
      </c>
      <c r="B35" s="19" t="s">
        <v>3</v>
      </c>
      <c r="C35" s="80">
        <v>2387.3848808729376</v>
      </c>
      <c r="D35" s="80">
        <v>2938.8642235170141</v>
      </c>
      <c r="E35" s="81">
        <v>2688.0261178468822</v>
      </c>
      <c r="F35" s="22" t="s">
        <v>240</v>
      </c>
      <c r="G35" s="23">
        <v>12.592910317167465</v>
      </c>
      <c r="H35" s="24">
        <v>-8.5352056642462912</v>
      </c>
    </row>
    <row r="36" spans="1:9" ht="12.75" customHeight="1" x14ac:dyDescent="0.2">
      <c r="A36" s="206"/>
      <c r="B36" s="25" t="s">
        <v>241</v>
      </c>
      <c r="C36" s="82">
        <v>609.67513076272041</v>
      </c>
      <c r="D36" s="82">
        <v>759.55744125825504</v>
      </c>
      <c r="E36" s="82">
        <v>691.94667116029257</v>
      </c>
      <c r="F36" s="27"/>
      <c r="G36" s="28">
        <v>13.494324476487705</v>
      </c>
      <c r="H36" s="29">
        <v>-8.9013373347986686</v>
      </c>
    </row>
    <row r="37" spans="1:9" x14ac:dyDescent="0.2">
      <c r="A37" s="30" t="s">
        <v>9</v>
      </c>
      <c r="B37" s="31" t="s">
        <v>3</v>
      </c>
      <c r="C37" s="80">
        <v>384.77035960993021</v>
      </c>
      <c r="D37" s="80">
        <v>453.33153965005278</v>
      </c>
      <c r="E37" s="83">
        <v>420.3049173587155</v>
      </c>
      <c r="F37" s="22" t="s">
        <v>240</v>
      </c>
      <c r="G37" s="32">
        <v>9.2352638037943535</v>
      </c>
      <c r="H37" s="33">
        <v>-7.2853131544370484</v>
      </c>
    </row>
    <row r="38" spans="1:9" x14ac:dyDescent="0.2">
      <c r="A38" s="34"/>
      <c r="B38" s="25" t="s">
        <v>241</v>
      </c>
      <c r="C38" s="82">
        <v>105.78230400508764</v>
      </c>
      <c r="D38" s="82">
        <v>108.26130907445361</v>
      </c>
      <c r="E38" s="82">
        <v>104.96999273189458</v>
      </c>
      <c r="F38" s="27"/>
      <c r="G38" s="35">
        <v>-0.7679084709234445</v>
      </c>
      <c r="H38" s="29">
        <v>-3.0401593798348756</v>
      </c>
    </row>
    <row r="39" spans="1:9" x14ac:dyDescent="0.2">
      <c r="A39" s="30" t="s">
        <v>46</v>
      </c>
      <c r="B39" s="31" t="s">
        <v>3</v>
      </c>
      <c r="C39" s="80">
        <v>1414.7660732440925</v>
      </c>
      <c r="D39" s="80">
        <v>1757.6769024086773</v>
      </c>
      <c r="E39" s="83">
        <v>1651.1728233353138</v>
      </c>
      <c r="F39" s="22" t="s">
        <v>240</v>
      </c>
      <c r="G39" s="37">
        <v>16.709953296316684</v>
      </c>
      <c r="H39" s="33">
        <v>-6.0593661398982306</v>
      </c>
    </row>
    <row r="40" spans="1:9" x14ac:dyDescent="0.2">
      <c r="A40" s="34"/>
      <c r="B40" s="25" t="s">
        <v>241</v>
      </c>
      <c r="C40" s="82">
        <v>366.59168229170876</v>
      </c>
      <c r="D40" s="82">
        <v>464.07949070428793</v>
      </c>
      <c r="E40" s="82">
        <v>433.22185475319759</v>
      </c>
      <c r="F40" s="27"/>
      <c r="G40" s="28">
        <v>18.17558217495754</v>
      </c>
      <c r="H40" s="29">
        <v>-6.6492134578627287</v>
      </c>
    </row>
    <row r="41" spans="1:9" x14ac:dyDescent="0.2">
      <c r="A41" s="30" t="s">
        <v>24</v>
      </c>
      <c r="B41" s="31" t="s">
        <v>3</v>
      </c>
      <c r="C41" s="80">
        <v>587.84844801891472</v>
      </c>
      <c r="D41" s="80">
        <v>727.85578145828481</v>
      </c>
      <c r="E41" s="83">
        <v>617.94033055255306</v>
      </c>
      <c r="F41" s="22" t="s">
        <v>240</v>
      </c>
      <c r="G41" s="23">
        <v>5.1189864726274124</v>
      </c>
      <c r="H41" s="24">
        <v>-15.101267820599332</v>
      </c>
    </row>
    <row r="42" spans="1:9" ht="13.5" thickBot="1" x14ac:dyDescent="0.25">
      <c r="A42" s="56"/>
      <c r="B42" s="42" t="s">
        <v>241</v>
      </c>
      <c r="C42" s="86">
        <v>137.30114446592393</v>
      </c>
      <c r="D42" s="86">
        <v>187.2167642610049</v>
      </c>
      <c r="E42" s="86">
        <v>153.75482367520056</v>
      </c>
      <c r="F42" s="44"/>
      <c r="G42" s="57">
        <v>11.983643161372328</v>
      </c>
      <c r="H42" s="46">
        <v>-17.873367653739578</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8">
        <v>19</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ht="12.75" customHeight="1" x14ac:dyDescent="0.2">
      <c r="A7" s="205" t="s">
        <v>60</v>
      </c>
      <c r="B7" s="19" t="s">
        <v>3</v>
      </c>
      <c r="C7" s="20">
        <v>31589.073333333334</v>
      </c>
      <c r="D7" s="20">
        <v>37157.66333333333</v>
      </c>
      <c r="E7" s="79">
        <v>42677.549953047652</v>
      </c>
      <c r="F7" s="22" t="s">
        <v>240</v>
      </c>
      <c r="G7" s="23">
        <v>35.102253563144473</v>
      </c>
      <c r="H7" s="24">
        <v>14.855311460778935</v>
      </c>
    </row>
    <row r="8" spans="1:9" ht="13.7" customHeight="1" thickBot="1" x14ac:dyDescent="0.25">
      <c r="A8" s="211"/>
      <c r="B8" s="42" t="s">
        <v>241</v>
      </c>
      <c r="C8" s="43">
        <v>7214.3441666666658</v>
      </c>
      <c r="D8" s="43">
        <v>10160.966666666667</v>
      </c>
      <c r="E8" s="43">
        <v>10950.025</v>
      </c>
      <c r="F8" s="44"/>
      <c r="G8" s="57">
        <v>51.781294973336117</v>
      </c>
      <c r="H8" s="46">
        <v>7.7655833270456469</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60</v>
      </c>
      <c r="B35" s="19" t="s">
        <v>3</v>
      </c>
      <c r="C35" s="80">
        <v>1120.2980383203796</v>
      </c>
      <c r="D35" s="80">
        <v>724.48727871329743</v>
      </c>
      <c r="E35" s="81">
        <v>689.49681349258844</v>
      </c>
      <c r="F35" s="22" t="s">
        <v>240</v>
      </c>
      <c r="G35" s="23">
        <v>-38.454162204342978</v>
      </c>
      <c r="H35" s="24">
        <v>-4.8296866278801645</v>
      </c>
    </row>
    <row r="36" spans="1:9" ht="12.75" customHeight="1" thickBot="1" x14ac:dyDescent="0.25">
      <c r="A36" s="211"/>
      <c r="B36" s="42" t="s">
        <v>241</v>
      </c>
      <c r="C36" s="86">
        <v>254.93649516953667</v>
      </c>
      <c r="D36" s="86">
        <v>283.75611025797394</v>
      </c>
      <c r="E36" s="86">
        <v>217.71685268594246</v>
      </c>
      <c r="F36" s="44"/>
      <c r="G36" s="57">
        <v>-14.599574085633591</v>
      </c>
      <c r="H36" s="46">
        <v>-23.273245997061551</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20</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
      <c r="A3" s="3"/>
      <c r="B3" s="99"/>
      <c r="C3" s="99"/>
      <c r="D3" s="99"/>
      <c r="E3" s="99"/>
      <c r="F3" s="99"/>
      <c r="G3" s="99"/>
    </row>
    <row r="4" spans="1:8" ht="16.5" thickBot="1" x14ac:dyDescent="0.3">
      <c r="A4" s="100" t="s">
        <v>212</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193</v>
      </c>
      <c r="B7" s="115" t="s">
        <v>3</v>
      </c>
      <c r="C7" s="20">
        <v>7894</v>
      </c>
      <c r="D7" s="20">
        <v>7387</v>
      </c>
      <c r="E7" s="79">
        <v>8204.9778452267419</v>
      </c>
      <c r="F7" s="22" t="s">
        <v>240</v>
      </c>
      <c r="G7" s="116">
        <v>3.9394203854413661</v>
      </c>
      <c r="H7" s="117">
        <v>11.073207597492114</v>
      </c>
    </row>
    <row r="8" spans="1:8" ht="12.75" customHeight="1" x14ac:dyDescent="0.2">
      <c r="A8" s="217"/>
      <c r="B8" s="118" t="s">
        <v>241</v>
      </c>
      <c r="C8" s="26">
        <v>1660.7930817610063</v>
      </c>
      <c r="D8" s="26">
        <v>2347</v>
      </c>
      <c r="E8" s="26">
        <v>2228</v>
      </c>
      <c r="F8" s="27"/>
      <c r="G8" s="119">
        <v>34.152774627261891</v>
      </c>
      <c r="H8" s="120">
        <v>-5.0703025138474658</v>
      </c>
    </row>
    <row r="9" spans="1:8" x14ac:dyDescent="0.2">
      <c r="A9" s="121" t="s">
        <v>194</v>
      </c>
      <c r="B9" s="122" t="s">
        <v>3</v>
      </c>
      <c r="C9" s="20">
        <v>2696</v>
      </c>
      <c r="D9" s="20">
        <v>2670</v>
      </c>
      <c r="E9" s="20">
        <v>3457.7709135800874</v>
      </c>
      <c r="F9" s="22" t="s">
        <v>240</v>
      </c>
      <c r="G9" s="123">
        <v>28.255597684721351</v>
      </c>
      <c r="H9" s="124">
        <v>29.504528598505146</v>
      </c>
    </row>
    <row r="10" spans="1:8" x14ac:dyDescent="0.2">
      <c r="A10" s="125"/>
      <c r="B10" s="118" t="s">
        <v>241</v>
      </c>
      <c r="C10" s="26">
        <v>556.50532799999996</v>
      </c>
      <c r="D10" s="26">
        <v>737</v>
      </c>
      <c r="E10" s="26">
        <v>858</v>
      </c>
      <c r="F10" s="27"/>
      <c r="G10" s="126">
        <v>54.176421469948622</v>
      </c>
      <c r="H10" s="120">
        <v>16.417910447761201</v>
      </c>
    </row>
    <row r="11" spans="1:8" x14ac:dyDescent="0.2">
      <c r="A11" s="121" t="s">
        <v>195</v>
      </c>
      <c r="B11" s="122" t="s">
        <v>3</v>
      </c>
      <c r="C11" s="20">
        <v>770</v>
      </c>
      <c r="D11" s="20">
        <v>828</v>
      </c>
      <c r="E11" s="20">
        <v>1121.7180370698827</v>
      </c>
      <c r="F11" s="22" t="s">
        <v>240</v>
      </c>
      <c r="G11" s="127">
        <v>45.677667151932809</v>
      </c>
      <c r="H11" s="124">
        <v>35.473192882836088</v>
      </c>
    </row>
    <row r="12" spans="1:8" x14ac:dyDescent="0.2">
      <c r="A12" s="125"/>
      <c r="B12" s="118" t="s">
        <v>241</v>
      </c>
      <c r="C12" s="26">
        <v>107.34211999999999</v>
      </c>
      <c r="D12" s="26">
        <v>197</v>
      </c>
      <c r="E12" s="26">
        <v>216</v>
      </c>
      <c r="F12" s="27"/>
      <c r="G12" s="119">
        <v>101.22576300896614</v>
      </c>
      <c r="H12" s="120">
        <v>9.6446700507614196</v>
      </c>
    </row>
    <row r="13" spans="1:8" x14ac:dyDescent="0.2">
      <c r="A13" s="121" t="s">
        <v>228</v>
      </c>
      <c r="B13" s="122" t="s">
        <v>3</v>
      </c>
      <c r="C13" s="20">
        <v>287</v>
      </c>
      <c r="D13" s="20">
        <v>179</v>
      </c>
      <c r="E13" s="20">
        <v>250.03278143994615</v>
      </c>
      <c r="F13" s="22" t="s">
        <v>240</v>
      </c>
      <c r="G13" s="116">
        <v>-12.88056395820692</v>
      </c>
      <c r="H13" s="117">
        <v>39.683118122874959</v>
      </c>
    </row>
    <row r="14" spans="1:8" x14ac:dyDescent="0.2">
      <c r="A14" s="125"/>
      <c r="B14" s="118" t="s">
        <v>241</v>
      </c>
      <c r="C14" s="26">
        <v>77.091232000000005</v>
      </c>
      <c r="D14" s="26">
        <v>273</v>
      </c>
      <c r="E14" s="26">
        <v>149</v>
      </c>
      <c r="F14" s="27"/>
      <c r="G14" s="128">
        <v>93.277492309371837</v>
      </c>
      <c r="H14" s="117">
        <v>-45.421245421245423</v>
      </c>
    </row>
    <row r="15" spans="1:8" x14ac:dyDescent="0.2">
      <c r="A15" s="121" t="s">
        <v>196</v>
      </c>
      <c r="B15" s="122" t="s">
        <v>3</v>
      </c>
      <c r="C15" s="20">
        <v>3006</v>
      </c>
      <c r="D15" s="20">
        <v>2915</v>
      </c>
      <c r="E15" s="20">
        <v>2856.3628205808268</v>
      </c>
      <c r="F15" s="22" t="s">
        <v>240</v>
      </c>
      <c r="G15" s="127">
        <v>-4.977950080478152</v>
      </c>
      <c r="H15" s="124">
        <v>-2.0115670469699154</v>
      </c>
    </row>
    <row r="16" spans="1:8" x14ac:dyDescent="0.2">
      <c r="A16" s="125"/>
      <c r="B16" s="118" t="s">
        <v>241</v>
      </c>
      <c r="C16" s="26">
        <v>621.22807999999998</v>
      </c>
      <c r="D16" s="26">
        <v>843</v>
      </c>
      <c r="E16" s="26">
        <v>729</v>
      </c>
      <c r="F16" s="27"/>
      <c r="G16" s="119">
        <v>17.348204865433644</v>
      </c>
      <c r="H16" s="120">
        <v>-13.52313167259787</v>
      </c>
    </row>
    <row r="17" spans="1:9" x14ac:dyDescent="0.2">
      <c r="A17" s="121" t="s">
        <v>197</v>
      </c>
      <c r="B17" s="122" t="s">
        <v>3</v>
      </c>
      <c r="C17" s="20">
        <v>635</v>
      </c>
      <c r="D17" s="20">
        <v>659</v>
      </c>
      <c r="E17" s="20">
        <v>859.12088379388308</v>
      </c>
      <c r="F17" s="22" t="s">
        <v>240</v>
      </c>
      <c r="G17" s="127">
        <v>35.294627369115432</v>
      </c>
      <c r="H17" s="124">
        <v>30.367357176613524</v>
      </c>
    </row>
    <row r="18" spans="1:9" x14ac:dyDescent="0.2">
      <c r="A18" s="121"/>
      <c r="B18" s="118" t="s">
        <v>241</v>
      </c>
      <c r="C18" s="26">
        <v>86.228080000000006</v>
      </c>
      <c r="D18" s="26">
        <v>149</v>
      </c>
      <c r="E18" s="26">
        <v>159</v>
      </c>
      <c r="F18" s="27"/>
      <c r="G18" s="119">
        <v>84.394689061846208</v>
      </c>
      <c r="H18" s="120">
        <v>6.7114093959731491</v>
      </c>
    </row>
    <row r="19" spans="1:9" x14ac:dyDescent="0.2">
      <c r="A19" s="129" t="s">
        <v>198</v>
      </c>
      <c r="B19" s="122" t="s">
        <v>3</v>
      </c>
      <c r="C19" s="20">
        <v>30</v>
      </c>
      <c r="D19" s="20">
        <v>43</v>
      </c>
      <c r="E19" s="20">
        <v>46.012005329355915</v>
      </c>
      <c r="F19" s="22" t="s">
        <v>240</v>
      </c>
      <c r="G19" s="116">
        <v>53.37335109785306</v>
      </c>
      <c r="H19" s="117">
        <v>7.0046635566416597</v>
      </c>
    </row>
    <row r="20" spans="1:9" x14ac:dyDescent="0.2">
      <c r="A20" s="125"/>
      <c r="B20" s="118" t="s">
        <v>241</v>
      </c>
      <c r="C20" s="26">
        <v>10.022807999999999</v>
      </c>
      <c r="D20" s="26">
        <v>9</v>
      </c>
      <c r="E20" s="26">
        <v>11</v>
      </c>
      <c r="F20" s="27"/>
      <c r="G20" s="128">
        <v>9.7496829231888</v>
      </c>
      <c r="H20" s="117">
        <v>22.222222222222229</v>
      </c>
    </row>
    <row r="21" spans="1:9" x14ac:dyDescent="0.2">
      <c r="A21" s="129" t="s">
        <v>199</v>
      </c>
      <c r="B21" s="122" t="s">
        <v>3</v>
      </c>
      <c r="C21" s="20">
        <v>22</v>
      </c>
      <c r="D21" s="20">
        <v>18</v>
      </c>
      <c r="E21" s="20">
        <v>8.441350981489677</v>
      </c>
      <c r="F21" s="22" t="s">
        <v>240</v>
      </c>
      <c r="G21" s="127">
        <v>-61.630222811410555</v>
      </c>
      <c r="H21" s="124">
        <v>-53.103605658390684</v>
      </c>
    </row>
    <row r="22" spans="1:9" x14ac:dyDescent="0.2">
      <c r="A22" s="125"/>
      <c r="B22" s="118" t="s">
        <v>241</v>
      </c>
      <c r="C22" s="26">
        <v>6.0076026666666671</v>
      </c>
      <c r="D22" s="26">
        <v>4</v>
      </c>
      <c r="E22" s="26">
        <v>2</v>
      </c>
      <c r="F22" s="27"/>
      <c r="G22" s="119">
        <v>-66.708850252413498</v>
      </c>
      <c r="H22" s="120">
        <v>-50</v>
      </c>
    </row>
    <row r="23" spans="1:9" x14ac:dyDescent="0.2">
      <c r="A23" s="129" t="s">
        <v>200</v>
      </c>
      <c r="B23" s="122" t="s">
        <v>3</v>
      </c>
      <c r="C23" s="20">
        <v>535</v>
      </c>
      <c r="D23" s="20">
        <v>613</v>
      </c>
      <c r="E23" s="20">
        <v>640.02109762262899</v>
      </c>
      <c r="F23" s="22" t="s">
        <v>240</v>
      </c>
      <c r="G23" s="127">
        <v>19.630111705164282</v>
      </c>
      <c r="H23" s="124">
        <v>4.4080094001025998</v>
      </c>
    </row>
    <row r="24" spans="1:9" x14ac:dyDescent="0.2">
      <c r="A24" s="125"/>
      <c r="B24" s="118" t="s">
        <v>241</v>
      </c>
      <c r="C24" s="26">
        <v>100.05701999999999</v>
      </c>
      <c r="D24" s="26">
        <v>127</v>
      </c>
      <c r="E24" s="26">
        <v>128</v>
      </c>
      <c r="F24" s="27"/>
      <c r="G24" s="119">
        <v>27.927055992672976</v>
      </c>
      <c r="H24" s="120">
        <v>0.7874015748031411</v>
      </c>
    </row>
    <row r="25" spans="1:9" x14ac:dyDescent="0.2">
      <c r="A25" s="121" t="s">
        <v>24</v>
      </c>
      <c r="B25" s="122" t="s">
        <v>3</v>
      </c>
      <c r="C25" s="20">
        <v>2497</v>
      </c>
      <c r="D25" s="20">
        <v>2524</v>
      </c>
      <c r="E25" s="20">
        <v>2570.9284075793898</v>
      </c>
      <c r="F25" s="22" t="s">
        <v>240</v>
      </c>
      <c r="G25" s="116">
        <v>2.9606891301317404</v>
      </c>
      <c r="H25" s="117">
        <v>1.8592871465685334</v>
      </c>
      <c r="I25" s="130"/>
    </row>
    <row r="26" spans="1:9" ht="13.5" thickBot="1" x14ac:dyDescent="0.25">
      <c r="A26" s="131"/>
      <c r="B26" s="132" t="s">
        <v>241</v>
      </c>
      <c r="C26" s="43">
        <v>532.05701999999997</v>
      </c>
      <c r="D26" s="43">
        <v>655</v>
      </c>
      <c r="E26" s="43">
        <v>622</v>
      </c>
      <c r="F26" s="44"/>
      <c r="G26" s="133">
        <v>16.904763327810258</v>
      </c>
      <c r="H26" s="134">
        <v>-5.038167938931295</v>
      </c>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213</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193</v>
      </c>
      <c r="B35" s="115" t="s">
        <v>3</v>
      </c>
      <c r="C35" s="80">
        <v>1934.5070014632761</v>
      </c>
      <c r="D35" s="80">
        <v>2152.7393297259468</v>
      </c>
      <c r="E35" s="81">
        <v>2179.3371853972271</v>
      </c>
      <c r="F35" s="22" t="s">
        <v>240</v>
      </c>
      <c r="G35" s="116">
        <v>12.655947161150593</v>
      </c>
      <c r="H35" s="117">
        <v>1.2355353620387461</v>
      </c>
    </row>
    <row r="36" spans="1:8" ht="12.75" customHeight="1" x14ac:dyDescent="0.2">
      <c r="A36" s="217"/>
      <c r="B36" s="118" t="s">
        <v>241</v>
      </c>
      <c r="C36" s="82">
        <v>436.2336332495251</v>
      </c>
      <c r="D36" s="82">
        <v>498.87576821145711</v>
      </c>
      <c r="E36" s="82">
        <v>500.42458568548591</v>
      </c>
      <c r="F36" s="27"/>
      <c r="G36" s="119">
        <v>14.714810492212479</v>
      </c>
      <c r="H36" s="120">
        <v>0.31046155630720307</v>
      </c>
    </row>
    <row r="37" spans="1:8" x14ac:dyDescent="0.2">
      <c r="A37" s="121" t="s">
        <v>194</v>
      </c>
      <c r="B37" s="122" t="s">
        <v>3</v>
      </c>
      <c r="C37" s="80">
        <v>863.05560912347437</v>
      </c>
      <c r="D37" s="80">
        <v>975.05598335973036</v>
      </c>
      <c r="E37" s="80">
        <v>854.05288296001595</v>
      </c>
      <c r="F37" s="22" t="s">
        <v>240</v>
      </c>
      <c r="G37" s="123">
        <v>-1.0431223745364093</v>
      </c>
      <c r="H37" s="124">
        <v>-12.409861840217275</v>
      </c>
    </row>
    <row r="38" spans="1:8" x14ac:dyDescent="0.2">
      <c r="A38" s="125"/>
      <c r="B38" s="118" t="s">
        <v>241</v>
      </c>
      <c r="C38" s="82">
        <v>223.07694905493398</v>
      </c>
      <c r="D38" s="82">
        <v>258.66843708757602</v>
      </c>
      <c r="E38" s="82">
        <v>224.59490998147203</v>
      </c>
      <c r="F38" s="27"/>
      <c r="G38" s="126">
        <v>0.68046516368853815</v>
      </c>
      <c r="H38" s="120">
        <v>-13.172665165393909</v>
      </c>
    </row>
    <row r="39" spans="1:8" x14ac:dyDescent="0.2">
      <c r="A39" s="121" t="s">
        <v>195</v>
      </c>
      <c r="B39" s="122" t="s">
        <v>3</v>
      </c>
      <c r="C39" s="80">
        <v>121.56621175543431</v>
      </c>
      <c r="D39" s="80">
        <v>177.36069236121631</v>
      </c>
      <c r="E39" s="80">
        <v>155.33712131404542</v>
      </c>
      <c r="F39" s="22" t="s">
        <v>240</v>
      </c>
      <c r="G39" s="127">
        <v>27.779848586999734</v>
      </c>
      <c r="H39" s="124">
        <v>-12.417391223483293</v>
      </c>
    </row>
    <row r="40" spans="1:8" x14ac:dyDescent="0.2">
      <c r="A40" s="125"/>
      <c r="B40" s="118" t="s">
        <v>241</v>
      </c>
      <c r="C40" s="82">
        <v>28.133579644366751</v>
      </c>
      <c r="D40" s="82">
        <v>32.902316705947001</v>
      </c>
      <c r="E40" s="82">
        <v>30.857425312684004</v>
      </c>
      <c r="F40" s="27"/>
      <c r="G40" s="119">
        <v>9.6818311169394775</v>
      </c>
      <c r="H40" s="120">
        <v>-6.2150377176735105</v>
      </c>
    </row>
    <row r="41" spans="1:8" x14ac:dyDescent="0.2">
      <c r="A41" s="121" t="s">
        <v>228</v>
      </c>
      <c r="B41" s="122" t="s">
        <v>3</v>
      </c>
      <c r="C41" s="80">
        <v>259.88181809067305</v>
      </c>
      <c r="D41" s="80">
        <v>292.86950133351365</v>
      </c>
      <c r="E41" s="80">
        <v>381.37663957679433</v>
      </c>
      <c r="F41" s="22" t="s">
        <v>240</v>
      </c>
      <c r="G41" s="116">
        <v>46.750027523561357</v>
      </c>
      <c r="H41" s="117">
        <v>30.220674341399103</v>
      </c>
    </row>
    <row r="42" spans="1:8" x14ac:dyDescent="0.2">
      <c r="A42" s="125"/>
      <c r="B42" s="118" t="s">
        <v>241</v>
      </c>
      <c r="C42" s="82">
        <v>48.650227510343008</v>
      </c>
      <c r="D42" s="82">
        <v>67.67955106669487</v>
      </c>
      <c r="E42" s="82">
        <v>81.744379597458277</v>
      </c>
      <c r="F42" s="27"/>
      <c r="G42" s="128">
        <v>68.024660480939104</v>
      </c>
      <c r="H42" s="117">
        <v>20.78150387981033</v>
      </c>
    </row>
    <row r="43" spans="1:8" x14ac:dyDescent="0.2">
      <c r="A43" s="121" t="s">
        <v>196</v>
      </c>
      <c r="B43" s="122" t="s">
        <v>3</v>
      </c>
      <c r="C43" s="80">
        <v>71.710858376738798</v>
      </c>
      <c r="D43" s="80">
        <v>86.419016282297363</v>
      </c>
      <c r="E43" s="80">
        <v>76.270238304634262</v>
      </c>
      <c r="F43" s="22" t="s">
        <v>240</v>
      </c>
      <c r="G43" s="127">
        <v>6.3580049536464713</v>
      </c>
      <c r="H43" s="124">
        <v>-11.743686070796016</v>
      </c>
    </row>
    <row r="44" spans="1:8" x14ac:dyDescent="0.2">
      <c r="A44" s="125"/>
      <c r="B44" s="118" t="s">
        <v>241</v>
      </c>
      <c r="C44" s="82">
        <v>18.997125545976253</v>
      </c>
      <c r="D44" s="82">
        <v>23.395730954247856</v>
      </c>
      <c r="E44" s="82">
        <v>20.498315944774284</v>
      </c>
      <c r="F44" s="27"/>
      <c r="G44" s="119">
        <v>7.9021975991309574</v>
      </c>
      <c r="H44" s="120">
        <v>-12.384374803846427</v>
      </c>
    </row>
    <row r="45" spans="1:8" x14ac:dyDescent="0.2">
      <c r="A45" s="121" t="s">
        <v>197</v>
      </c>
      <c r="B45" s="122" t="s">
        <v>3</v>
      </c>
      <c r="C45" s="80">
        <v>27.703010589347755</v>
      </c>
      <c r="D45" s="80">
        <v>28.259421194459474</v>
      </c>
      <c r="E45" s="80">
        <v>28.595727143923384</v>
      </c>
      <c r="F45" s="22" t="s">
        <v>240</v>
      </c>
      <c r="G45" s="127">
        <v>3.2224532120667533</v>
      </c>
      <c r="H45" s="124">
        <v>1.1900666583003101</v>
      </c>
    </row>
    <row r="46" spans="1:8" x14ac:dyDescent="0.2">
      <c r="A46" s="121"/>
      <c r="B46" s="118" t="s">
        <v>241</v>
      </c>
      <c r="C46" s="82">
        <v>4.4329550391952504</v>
      </c>
      <c r="D46" s="82">
        <v>6.1452001708495718</v>
      </c>
      <c r="E46" s="82">
        <v>5.5538026589548579</v>
      </c>
      <c r="F46" s="27"/>
      <c r="G46" s="119">
        <v>25.28443464572301</v>
      </c>
      <c r="H46" s="120">
        <v>-9.6237306426578755</v>
      </c>
    </row>
    <row r="47" spans="1:8" x14ac:dyDescent="0.2">
      <c r="A47" s="129" t="s">
        <v>198</v>
      </c>
      <c r="B47" s="122" t="s">
        <v>3</v>
      </c>
      <c r="C47" s="80">
        <v>13.782414659347754</v>
      </c>
      <c r="D47" s="80">
        <v>17.870146194459469</v>
      </c>
      <c r="E47" s="80">
        <v>16.439120155629194</v>
      </c>
      <c r="F47" s="22" t="s">
        <v>240</v>
      </c>
      <c r="G47" s="116">
        <v>19.276052578200151</v>
      </c>
      <c r="H47" s="117">
        <v>-8.0079145590535461</v>
      </c>
    </row>
    <row r="48" spans="1:8" x14ac:dyDescent="0.2">
      <c r="A48" s="125"/>
      <c r="B48" s="118" t="s">
        <v>241</v>
      </c>
      <c r="C48" s="82">
        <v>4.1059937491952496</v>
      </c>
      <c r="D48" s="82">
        <v>4.5243905908495714</v>
      </c>
      <c r="E48" s="82">
        <v>4.3813785889548571</v>
      </c>
      <c r="F48" s="27"/>
      <c r="G48" s="128">
        <v>6.7068986603689069</v>
      </c>
      <c r="H48" s="117">
        <v>-3.1609119288673213</v>
      </c>
    </row>
    <row r="49" spans="1:9" x14ac:dyDescent="0.2">
      <c r="A49" s="129" t="s">
        <v>199</v>
      </c>
      <c r="B49" s="122" t="s">
        <v>3</v>
      </c>
      <c r="C49" s="80">
        <v>13.016409659347756</v>
      </c>
      <c r="D49" s="80">
        <v>15.000097194459471</v>
      </c>
      <c r="E49" s="80">
        <v>11.951475877146502</v>
      </c>
      <c r="F49" s="22" t="s">
        <v>240</v>
      </c>
      <c r="G49" s="127">
        <v>-8.1814710052281754</v>
      </c>
      <c r="H49" s="124">
        <v>-20.324010423339303</v>
      </c>
    </row>
    <row r="50" spans="1:9" x14ac:dyDescent="0.2">
      <c r="A50" s="125"/>
      <c r="B50" s="118" t="s">
        <v>241</v>
      </c>
      <c r="C50" s="82">
        <v>3.2995897491952499</v>
      </c>
      <c r="D50" s="82">
        <v>3.856395590849572</v>
      </c>
      <c r="E50" s="82">
        <v>3.0581575889548573</v>
      </c>
      <c r="F50" s="27"/>
      <c r="G50" s="119">
        <v>-7.3170357102508348</v>
      </c>
      <c r="H50" s="120">
        <v>-20.699069457209418</v>
      </c>
    </row>
    <row r="51" spans="1:9" x14ac:dyDescent="0.2">
      <c r="A51" s="129" t="s">
        <v>200</v>
      </c>
      <c r="B51" s="122" t="s">
        <v>3</v>
      </c>
      <c r="C51" s="80">
        <v>171.73617129673877</v>
      </c>
      <c r="D51" s="80">
        <v>212.43769997229737</v>
      </c>
      <c r="E51" s="80">
        <v>251.47780124088925</v>
      </c>
      <c r="F51" s="22" t="s">
        <v>240</v>
      </c>
      <c r="G51" s="127">
        <v>46.432635211348014</v>
      </c>
      <c r="H51" s="124">
        <v>18.377200126758495</v>
      </c>
    </row>
    <row r="52" spans="1:9" x14ac:dyDescent="0.2">
      <c r="A52" s="125"/>
      <c r="B52" s="118" t="s">
        <v>241</v>
      </c>
      <c r="C52" s="82">
        <v>31.838517745976247</v>
      </c>
      <c r="D52" s="82">
        <v>40.801209954247859</v>
      </c>
      <c r="E52" s="82">
        <v>47.726961944774295</v>
      </c>
      <c r="F52" s="27"/>
      <c r="G52" s="119">
        <v>49.903215738760423</v>
      </c>
      <c r="H52" s="120">
        <v>16.974378941929857</v>
      </c>
    </row>
    <row r="53" spans="1:9" x14ac:dyDescent="0.2">
      <c r="A53" s="121" t="s">
        <v>24</v>
      </c>
      <c r="B53" s="122" t="s">
        <v>3</v>
      </c>
      <c r="C53" s="80">
        <v>392.05449791217302</v>
      </c>
      <c r="D53" s="80">
        <v>347.46677183351369</v>
      </c>
      <c r="E53" s="80">
        <v>457.34588763703726</v>
      </c>
      <c r="F53" s="22" t="s">
        <v>240</v>
      </c>
      <c r="G53" s="116">
        <v>16.653651487883366</v>
      </c>
      <c r="H53" s="117">
        <v>31.622913242527659</v>
      </c>
      <c r="I53" s="130"/>
    </row>
    <row r="54" spans="1:9" ht="13.5" thickBot="1" x14ac:dyDescent="0.25">
      <c r="A54" s="131"/>
      <c r="B54" s="132" t="s">
        <v>241</v>
      </c>
      <c r="C54" s="86">
        <v>73.698695210343004</v>
      </c>
      <c r="D54" s="86">
        <v>60.902536090194872</v>
      </c>
      <c r="E54" s="86">
        <v>82.009254067458272</v>
      </c>
      <c r="F54" s="44"/>
      <c r="G54" s="133">
        <v>11.276398901495014</v>
      </c>
      <c r="H54" s="134">
        <v>34.656550173879396</v>
      </c>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21</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
      <c r="A3" s="3"/>
      <c r="B3" s="99"/>
      <c r="C3" s="99"/>
      <c r="D3" s="99"/>
      <c r="E3" s="99"/>
      <c r="F3" s="99"/>
      <c r="G3" s="99"/>
    </row>
    <row r="4" spans="1:8" ht="16.5" thickBot="1" x14ac:dyDescent="0.3">
      <c r="A4" s="100" t="s">
        <v>214</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201</v>
      </c>
      <c r="B7" s="115" t="s">
        <v>3</v>
      </c>
      <c r="C7" s="20">
        <v>1922</v>
      </c>
      <c r="D7" s="20">
        <v>2198</v>
      </c>
      <c r="E7" s="79">
        <v>2655.2581168635284</v>
      </c>
      <c r="F7" s="22" t="s">
        <v>240</v>
      </c>
      <c r="G7" s="116">
        <v>38.150786517353197</v>
      </c>
      <c r="H7" s="117">
        <v>20.803372013809309</v>
      </c>
    </row>
    <row r="8" spans="1:8" ht="12.75" customHeight="1" x14ac:dyDescent="0.2">
      <c r="A8" s="217"/>
      <c r="B8" s="118" t="s">
        <v>241</v>
      </c>
      <c r="C8" s="26">
        <v>435.8397727272727</v>
      </c>
      <c r="D8" s="26">
        <v>559</v>
      </c>
      <c r="E8" s="26">
        <v>649</v>
      </c>
      <c r="F8" s="27"/>
      <c r="G8" s="119">
        <v>48.907933743374201</v>
      </c>
      <c r="H8" s="120">
        <v>16.100178890876563</v>
      </c>
    </row>
    <row r="9" spans="1:8" x14ac:dyDescent="0.2">
      <c r="A9" s="121" t="s">
        <v>202</v>
      </c>
      <c r="B9" s="122" t="s">
        <v>3</v>
      </c>
      <c r="C9" s="20">
        <v>584</v>
      </c>
      <c r="D9" s="20">
        <v>608</v>
      </c>
      <c r="E9" s="20">
        <v>730.78500579304671</v>
      </c>
      <c r="F9" s="22" t="s">
        <v>240</v>
      </c>
      <c r="G9" s="123">
        <v>25.134418800179233</v>
      </c>
      <c r="H9" s="124">
        <v>20.194902268593211</v>
      </c>
    </row>
    <row r="10" spans="1:8" x14ac:dyDescent="0.2">
      <c r="A10" s="125"/>
      <c r="B10" s="118" t="s">
        <v>241</v>
      </c>
      <c r="C10" s="26">
        <v>133.33255</v>
      </c>
      <c r="D10" s="26">
        <v>167</v>
      </c>
      <c r="E10" s="26">
        <v>188</v>
      </c>
      <c r="F10" s="27"/>
      <c r="G10" s="126">
        <v>41.000828379866732</v>
      </c>
      <c r="H10" s="120">
        <v>12.574850299401191</v>
      </c>
    </row>
    <row r="11" spans="1:8" x14ac:dyDescent="0.2">
      <c r="A11" s="121" t="s">
        <v>203</v>
      </c>
      <c r="B11" s="122" t="s">
        <v>3</v>
      </c>
      <c r="C11" s="20">
        <v>174</v>
      </c>
      <c r="D11" s="20">
        <v>162</v>
      </c>
      <c r="E11" s="20">
        <v>179.05942206606835</v>
      </c>
      <c r="F11" s="22" t="s">
        <v>240</v>
      </c>
      <c r="G11" s="127">
        <v>2.9077138310737496</v>
      </c>
      <c r="H11" s="124">
        <v>10.530507448190335</v>
      </c>
    </row>
    <row r="12" spans="1:8" x14ac:dyDescent="0.2">
      <c r="A12" s="125"/>
      <c r="B12" s="118" t="s">
        <v>241</v>
      </c>
      <c r="C12" s="26">
        <v>33.110849999999999</v>
      </c>
      <c r="D12" s="26">
        <v>43</v>
      </c>
      <c r="E12" s="26">
        <v>42</v>
      </c>
      <c r="F12" s="27"/>
      <c r="G12" s="119">
        <v>26.846637884560494</v>
      </c>
      <c r="H12" s="120">
        <v>-2.3255813953488484</v>
      </c>
    </row>
    <row r="13" spans="1:8" x14ac:dyDescent="0.2">
      <c r="A13" s="121" t="s">
        <v>204</v>
      </c>
      <c r="B13" s="122" t="s">
        <v>3</v>
      </c>
      <c r="C13" s="20">
        <v>91</v>
      </c>
      <c r="D13" s="20">
        <v>82</v>
      </c>
      <c r="E13" s="20">
        <v>66.477262444046787</v>
      </c>
      <c r="F13" s="22" t="s">
        <v>240</v>
      </c>
      <c r="G13" s="116">
        <v>-26.94806324830023</v>
      </c>
      <c r="H13" s="117">
        <v>-18.930167751162458</v>
      </c>
    </row>
    <row r="14" spans="1:8" x14ac:dyDescent="0.2">
      <c r="A14" s="125"/>
      <c r="B14" s="118" t="s">
        <v>241</v>
      </c>
      <c r="C14" s="26">
        <v>18.092375000000001</v>
      </c>
      <c r="D14" s="26">
        <v>30</v>
      </c>
      <c r="E14" s="26">
        <v>19</v>
      </c>
      <c r="F14" s="27"/>
      <c r="G14" s="128">
        <v>5.0166161159051796</v>
      </c>
      <c r="H14" s="117">
        <v>-36.666666666666671</v>
      </c>
    </row>
    <row r="15" spans="1:8" x14ac:dyDescent="0.2">
      <c r="A15" s="121" t="s">
        <v>205</v>
      </c>
      <c r="B15" s="122" t="s">
        <v>3</v>
      </c>
      <c r="C15" s="20">
        <v>9</v>
      </c>
      <c r="D15" s="20">
        <v>15</v>
      </c>
      <c r="E15" s="20">
        <v>24.318571918983864</v>
      </c>
      <c r="F15" s="22" t="s">
        <v>240</v>
      </c>
      <c r="G15" s="127">
        <v>170.20635465537623</v>
      </c>
      <c r="H15" s="124">
        <v>62.123812793225767</v>
      </c>
    </row>
    <row r="16" spans="1:8" x14ac:dyDescent="0.2">
      <c r="A16" s="125"/>
      <c r="B16" s="118" t="s">
        <v>241</v>
      </c>
      <c r="C16" s="26">
        <v>1.0923750000000001</v>
      </c>
      <c r="D16" s="26">
        <v>3</v>
      </c>
      <c r="E16" s="26">
        <v>4</v>
      </c>
      <c r="F16" s="27"/>
      <c r="G16" s="119">
        <v>266.17461952168435</v>
      </c>
      <c r="H16" s="120">
        <v>33.333333333333314</v>
      </c>
    </row>
    <row r="17" spans="1:9" x14ac:dyDescent="0.2">
      <c r="A17" s="121" t="s">
        <v>206</v>
      </c>
      <c r="B17" s="122" t="s">
        <v>3</v>
      </c>
      <c r="C17" s="20">
        <v>86</v>
      </c>
      <c r="D17" s="20">
        <v>94</v>
      </c>
      <c r="E17" s="20">
        <v>114.57493249157807</v>
      </c>
      <c r="F17" s="22" t="s">
        <v>240</v>
      </c>
      <c r="G17" s="127">
        <v>33.226665687881479</v>
      </c>
      <c r="H17" s="124">
        <v>21.888226054870287</v>
      </c>
    </row>
    <row r="18" spans="1:9" x14ac:dyDescent="0.2">
      <c r="A18" s="125"/>
      <c r="B18" s="118" t="s">
        <v>241</v>
      </c>
      <c r="C18" s="26">
        <v>17.046187500000002</v>
      </c>
      <c r="D18" s="26">
        <v>26</v>
      </c>
      <c r="E18" s="26">
        <v>28</v>
      </c>
      <c r="F18" s="27"/>
      <c r="G18" s="119">
        <v>64.259603503715965</v>
      </c>
      <c r="H18" s="120">
        <v>7.6923076923076934</v>
      </c>
    </row>
    <row r="19" spans="1:9" x14ac:dyDescent="0.2">
      <c r="A19" s="121" t="s">
        <v>207</v>
      </c>
      <c r="B19" s="122" t="s">
        <v>3</v>
      </c>
      <c r="C19" s="20">
        <v>985</v>
      </c>
      <c r="D19" s="20">
        <v>1241</v>
      </c>
      <c r="E19" s="20">
        <v>1548.4289439388699</v>
      </c>
      <c r="F19" s="22" t="s">
        <v>240</v>
      </c>
      <c r="G19" s="116">
        <v>57.200908014098474</v>
      </c>
      <c r="H19" s="117">
        <v>24.772678802487505</v>
      </c>
    </row>
    <row r="20" spans="1:9" ht="13.5" thickBot="1" x14ac:dyDescent="0.25">
      <c r="A20" s="131"/>
      <c r="B20" s="132" t="s">
        <v>241</v>
      </c>
      <c r="C20" s="43">
        <v>237.23093750000001</v>
      </c>
      <c r="D20" s="43">
        <v>293</v>
      </c>
      <c r="E20" s="43">
        <v>368</v>
      </c>
      <c r="F20" s="44"/>
      <c r="G20" s="133">
        <v>55.123106572050716</v>
      </c>
      <c r="H20" s="134">
        <v>25.597269624573386</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215</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201</v>
      </c>
      <c r="B35" s="115" t="s">
        <v>3</v>
      </c>
      <c r="C35" s="80">
        <v>604.64367061974212</v>
      </c>
      <c r="D35" s="80">
        <v>653.27095088339615</v>
      </c>
      <c r="E35" s="81">
        <v>811.70410314075843</v>
      </c>
      <c r="F35" s="22" t="s">
        <v>240</v>
      </c>
      <c r="G35" s="116">
        <v>34.245034320591742</v>
      </c>
      <c r="H35" s="117">
        <v>24.252287973790729</v>
      </c>
    </row>
    <row r="36" spans="1:8" ht="12.75" customHeight="1" x14ac:dyDescent="0.2">
      <c r="A36" s="217"/>
      <c r="B36" s="118" t="s">
        <v>241</v>
      </c>
      <c r="C36" s="82">
        <v>165.20781349782058</v>
      </c>
      <c r="D36" s="82">
        <v>192.37533394794895</v>
      </c>
      <c r="E36" s="82">
        <v>232.99106533965852</v>
      </c>
      <c r="F36" s="27"/>
      <c r="G36" s="119">
        <v>41.029083556470027</v>
      </c>
      <c r="H36" s="120">
        <v>21.112754196803095</v>
      </c>
    </row>
    <row r="37" spans="1:8" x14ac:dyDescent="0.2">
      <c r="A37" s="121" t="s">
        <v>202</v>
      </c>
      <c r="B37" s="122" t="s">
        <v>3</v>
      </c>
      <c r="C37" s="80">
        <v>308.46656184659787</v>
      </c>
      <c r="D37" s="80">
        <v>310.56113145390185</v>
      </c>
      <c r="E37" s="80">
        <v>358.22533905885302</v>
      </c>
      <c r="F37" s="22" t="s">
        <v>240</v>
      </c>
      <c r="G37" s="123">
        <v>16.131011709788012</v>
      </c>
      <c r="H37" s="124">
        <v>15.347769819684018</v>
      </c>
    </row>
    <row r="38" spans="1:8" x14ac:dyDescent="0.2">
      <c r="A38" s="125"/>
      <c r="B38" s="118" t="s">
        <v>241</v>
      </c>
      <c r="C38" s="82">
        <v>86.972065538779546</v>
      </c>
      <c r="D38" s="82">
        <v>100.36124357781445</v>
      </c>
      <c r="E38" s="82">
        <v>110.38624472780877</v>
      </c>
      <c r="F38" s="27"/>
      <c r="G38" s="126">
        <v>26.92149375087476</v>
      </c>
      <c r="H38" s="120">
        <v>9.9889168294546806</v>
      </c>
    </row>
    <row r="39" spans="1:8" x14ac:dyDescent="0.2">
      <c r="A39" s="121" t="s">
        <v>203</v>
      </c>
      <c r="B39" s="122" t="s">
        <v>3</v>
      </c>
      <c r="C39" s="80">
        <v>88.260294782787156</v>
      </c>
      <c r="D39" s="80">
        <v>70.107496227077334</v>
      </c>
      <c r="E39" s="80">
        <v>65.393529501388244</v>
      </c>
      <c r="F39" s="22" t="s">
        <v>240</v>
      </c>
      <c r="G39" s="127">
        <v>-25.908326431126397</v>
      </c>
      <c r="H39" s="124">
        <v>-6.7239125334338183</v>
      </c>
    </row>
    <row r="40" spans="1:8" x14ac:dyDescent="0.2">
      <c r="A40" s="125"/>
      <c r="B40" s="118" t="s">
        <v>241</v>
      </c>
      <c r="C40" s="82">
        <v>28.621653404629505</v>
      </c>
      <c r="D40" s="82">
        <v>25.040295778720004</v>
      </c>
      <c r="E40" s="82">
        <v>22.592955220941949</v>
      </c>
      <c r="F40" s="27"/>
      <c r="G40" s="119">
        <v>-21.063416911870036</v>
      </c>
      <c r="H40" s="120">
        <v>-9.7736088239735608</v>
      </c>
    </row>
    <row r="41" spans="1:8" x14ac:dyDescent="0.2">
      <c r="A41" s="121" t="s">
        <v>204</v>
      </c>
      <c r="B41" s="122" t="s">
        <v>3</v>
      </c>
      <c r="C41" s="80">
        <v>37.832628796081949</v>
      </c>
      <c r="D41" s="80">
        <v>33.731899111737725</v>
      </c>
      <c r="E41" s="80">
        <v>32.532040265443506</v>
      </c>
      <c r="F41" s="22" t="s">
        <v>240</v>
      </c>
      <c r="G41" s="116">
        <v>-14.010627067996367</v>
      </c>
      <c r="H41" s="117">
        <v>-3.5570450460546539</v>
      </c>
    </row>
    <row r="42" spans="1:8" x14ac:dyDescent="0.2">
      <c r="A42" s="125"/>
      <c r="B42" s="118" t="s">
        <v>241</v>
      </c>
      <c r="C42" s="82">
        <v>9.1453957548474403</v>
      </c>
      <c r="D42" s="82">
        <v>15.365766706956427</v>
      </c>
      <c r="E42" s="82">
        <v>11.445109090976098</v>
      </c>
      <c r="F42" s="27"/>
      <c r="G42" s="128">
        <v>25.146132521490003</v>
      </c>
      <c r="H42" s="117">
        <v>-25.51553522028523</v>
      </c>
    </row>
    <row r="43" spans="1:8" x14ac:dyDescent="0.2">
      <c r="A43" s="121" t="s">
        <v>205</v>
      </c>
      <c r="B43" s="122" t="s">
        <v>3</v>
      </c>
      <c r="C43" s="80">
        <v>5.5139225422974212</v>
      </c>
      <c r="D43" s="80">
        <v>4.9612889545339609</v>
      </c>
      <c r="E43" s="80">
        <v>3.9806570640968126</v>
      </c>
      <c r="F43" s="22" t="s">
        <v>240</v>
      </c>
      <c r="G43" s="127">
        <v>-27.807163891746669</v>
      </c>
      <c r="H43" s="124">
        <v>-19.765667741262689</v>
      </c>
    </row>
    <row r="44" spans="1:8" x14ac:dyDescent="0.2">
      <c r="A44" s="125"/>
      <c r="B44" s="118" t="s">
        <v>241</v>
      </c>
      <c r="C44" s="82">
        <v>1.6355879649782061</v>
      </c>
      <c r="D44" s="82">
        <v>2.2715498152794895</v>
      </c>
      <c r="E44" s="82">
        <v>1.5430070129965854</v>
      </c>
      <c r="F44" s="27"/>
      <c r="G44" s="119">
        <v>-5.6604079978574759</v>
      </c>
      <c r="H44" s="120">
        <v>-32.072499461926384</v>
      </c>
    </row>
    <row r="45" spans="1:8" x14ac:dyDescent="0.2">
      <c r="A45" s="121" t="s">
        <v>206</v>
      </c>
      <c r="B45" s="122" t="s">
        <v>3</v>
      </c>
      <c r="C45" s="80">
        <v>37.334640711487104</v>
      </c>
      <c r="D45" s="80">
        <v>43.872952772669805</v>
      </c>
      <c r="E45" s="80">
        <v>44.302395261228057</v>
      </c>
      <c r="F45" s="22" t="s">
        <v>240</v>
      </c>
      <c r="G45" s="127">
        <v>18.662974698447073</v>
      </c>
      <c r="H45" s="124">
        <v>0.97883197145046097</v>
      </c>
    </row>
    <row r="46" spans="1:8" x14ac:dyDescent="0.2">
      <c r="A46" s="125"/>
      <c r="B46" s="118" t="s">
        <v>241</v>
      </c>
      <c r="C46" s="82">
        <v>7.3160168248910304</v>
      </c>
      <c r="D46" s="82">
        <v>16.469749076397449</v>
      </c>
      <c r="E46" s="82">
        <v>12.741754064982928</v>
      </c>
      <c r="F46" s="27"/>
      <c r="G46" s="119">
        <v>74.162448911162983</v>
      </c>
      <c r="H46" s="120">
        <v>-22.635408676365657</v>
      </c>
    </row>
    <row r="47" spans="1:8" x14ac:dyDescent="0.2">
      <c r="A47" s="121" t="s">
        <v>207</v>
      </c>
      <c r="B47" s="122" t="s">
        <v>3</v>
      </c>
      <c r="C47" s="80">
        <v>127.23562194049052</v>
      </c>
      <c r="D47" s="80">
        <v>190.03618236347546</v>
      </c>
      <c r="E47" s="80">
        <v>386.29314862932148</v>
      </c>
      <c r="F47" s="22" t="s">
        <v>240</v>
      </c>
      <c r="G47" s="116">
        <v>203.60455880036096</v>
      </c>
      <c r="H47" s="117">
        <v>103.27347341174863</v>
      </c>
    </row>
    <row r="48" spans="1:8" ht="13.5" thickBot="1" x14ac:dyDescent="0.25">
      <c r="A48" s="131"/>
      <c r="B48" s="132" t="s">
        <v>241</v>
      </c>
      <c r="C48" s="86">
        <v>31.517094009694883</v>
      </c>
      <c r="D48" s="86">
        <v>32.866728992781127</v>
      </c>
      <c r="E48" s="86">
        <v>74.281995221952187</v>
      </c>
      <c r="F48" s="44"/>
      <c r="G48" s="133">
        <v>135.68795777650857</v>
      </c>
      <c r="H48" s="134">
        <v>126.00969886071579</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22</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
      <c r="A3" s="3"/>
      <c r="B3" s="99"/>
      <c r="C3" s="99"/>
      <c r="D3" s="99"/>
      <c r="E3" s="99"/>
      <c r="F3" s="99"/>
      <c r="G3" s="99"/>
    </row>
    <row r="4" spans="1:8" ht="16.5" thickBot="1" x14ac:dyDescent="0.3">
      <c r="A4" s="100" t="s">
        <v>216</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208</v>
      </c>
      <c r="B7" s="115" t="s">
        <v>3</v>
      </c>
      <c r="C7" s="20">
        <v>430654</v>
      </c>
      <c r="D7" s="20">
        <v>517184.1942857143</v>
      </c>
      <c r="E7" s="79">
        <v>718965.94536954327</v>
      </c>
      <c r="F7" s="22" t="s">
        <v>240</v>
      </c>
      <c r="G7" s="116">
        <v>66.947467193975513</v>
      </c>
      <c r="H7" s="117">
        <v>39.01545200206877</v>
      </c>
    </row>
    <row r="8" spans="1:8" ht="12.75" customHeight="1" x14ac:dyDescent="0.2">
      <c r="A8" s="217"/>
      <c r="B8" s="118" t="s">
        <v>241</v>
      </c>
      <c r="C8" s="26">
        <v>85173.856</v>
      </c>
      <c r="D8" s="26">
        <v>103006.20114285714</v>
      </c>
      <c r="E8" s="26">
        <v>142860</v>
      </c>
      <c r="F8" s="27"/>
      <c r="G8" s="119">
        <v>67.727524276933053</v>
      </c>
      <c r="H8" s="120">
        <v>38.690679216361389</v>
      </c>
    </row>
    <row r="9" spans="1:8" x14ac:dyDescent="0.2">
      <c r="A9" s="121" t="s">
        <v>227</v>
      </c>
      <c r="B9" s="122" t="s">
        <v>3</v>
      </c>
      <c r="C9" s="20">
        <v>14329</v>
      </c>
      <c r="D9" s="20">
        <v>17725.239999999998</v>
      </c>
      <c r="E9" s="20">
        <v>22625.956374126064</v>
      </c>
      <c r="F9" s="22" t="s">
        <v>240</v>
      </c>
      <c r="G9" s="123">
        <v>57.903247778114746</v>
      </c>
      <c r="H9" s="124">
        <v>27.648237057021888</v>
      </c>
    </row>
    <row r="10" spans="1:8" x14ac:dyDescent="0.2">
      <c r="A10" s="125"/>
      <c r="B10" s="118" t="s">
        <v>241</v>
      </c>
      <c r="C10" s="26">
        <v>3171.828</v>
      </c>
      <c r="D10" s="26">
        <v>3704.0219999999999</v>
      </c>
      <c r="E10" s="26">
        <v>4818</v>
      </c>
      <c r="F10" s="27"/>
      <c r="G10" s="126">
        <v>51.899787756460938</v>
      </c>
      <c r="H10" s="120">
        <v>30.074821369851463</v>
      </c>
    </row>
    <row r="11" spans="1:8" x14ac:dyDescent="0.2">
      <c r="A11" s="121" t="s">
        <v>230</v>
      </c>
      <c r="B11" s="122" t="s">
        <v>3</v>
      </c>
      <c r="C11" s="20">
        <v>242248</v>
      </c>
      <c r="D11" s="20">
        <v>305203.95199999999</v>
      </c>
      <c r="E11" s="20">
        <v>498392.01170538622</v>
      </c>
      <c r="F11" s="22" t="s">
        <v>240</v>
      </c>
      <c r="G11" s="127">
        <v>105.73627510046987</v>
      </c>
      <c r="H11" s="124">
        <v>63.298020369469612</v>
      </c>
    </row>
    <row r="12" spans="1:8" x14ac:dyDescent="0.2">
      <c r="A12" s="125"/>
      <c r="B12" s="118" t="s">
        <v>241</v>
      </c>
      <c r="C12" s="26">
        <v>38359.574399999998</v>
      </c>
      <c r="D12" s="26">
        <v>57004.105600000003</v>
      </c>
      <c r="E12" s="26">
        <v>87831</v>
      </c>
      <c r="F12" s="27"/>
      <c r="G12" s="119">
        <v>128.96760814947936</v>
      </c>
      <c r="H12" s="120">
        <v>54.078375716151925</v>
      </c>
    </row>
    <row r="13" spans="1:8" x14ac:dyDescent="0.2">
      <c r="A13" s="121" t="s">
        <v>209</v>
      </c>
      <c r="B13" s="122" t="s">
        <v>3</v>
      </c>
      <c r="C13" s="20">
        <v>135335</v>
      </c>
      <c r="D13" s="20">
        <v>138143.95199999999</v>
      </c>
      <c r="E13" s="20">
        <v>164084.17683730592</v>
      </c>
      <c r="F13" s="22" t="s">
        <v>240</v>
      </c>
      <c r="G13" s="116">
        <v>21.242972503274032</v>
      </c>
      <c r="H13" s="117">
        <v>18.777676808685712</v>
      </c>
    </row>
    <row r="14" spans="1:8" x14ac:dyDescent="0.2">
      <c r="A14" s="125"/>
      <c r="B14" s="118" t="s">
        <v>241</v>
      </c>
      <c r="C14" s="26">
        <v>34951.574399999998</v>
      </c>
      <c r="D14" s="26">
        <v>31968.105599999999</v>
      </c>
      <c r="E14" s="26">
        <v>39334</v>
      </c>
      <c r="F14" s="27"/>
      <c r="G14" s="128">
        <v>12.538564214148835</v>
      </c>
      <c r="H14" s="117">
        <v>23.041385348777126</v>
      </c>
    </row>
    <row r="15" spans="1:8" x14ac:dyDescent="0.2">
      <c r="A15" s="121" t="s">
        <v>210</v>
      </c>
      <c r="B15" s="122" t="s">
        <v>3</v>
      </c>
      <c r="C15" s="20">
        <v>26769</v>
      </c>
      <c r="D15" s="20">
        <v>37676.991999999998</v>
      </c>
      <c r="E15" s="20">
        <v>55810.003511054951</v>
      </c>
      <c r="F15" s="22" t="s">
        <v>240</v>
      </c>
      <c r="G15" s="127">
        <v>108.48744260545763</v>
      </c>
      <c r="H15" s="124">
        <v>48.12754561472147</v>
      </c>
    </row>
    <row r="16" spans="1:8" x14ac:dyDescent="0.2">
      <c r="A16" s="125"/>
      <c r="B16" s="118" t="s">
        <v>241</v>
      </c>
      <c r="C16" s="26">
        <v>4966.2623999999996</v>
      </c>
      <c r="D16" s="26">
        <v>6720.0176000000001</v>
      </c>
      <c r="E16" s="26">
        <v>10084</v>
      </c>
      <c r="F16" s="27"/>
      <c r="G16" s="119">
        <v>103.05008450620733</v>
      </c>
      <c r="H16" s="120">
        <v>50.05913079751457</v>
      </c>
    </row>
    <row r="17" spans="1:9" x14ac:dyDescent="0.2">
      <c r="A17" s="121" t="s">
        <v>211</v>
      </c>
      <c r="B17" s="122" t="s">
        <v>3</v>
      </c>
      <c r="C17" s="20">
        <v>28312</v>
      </c>
      <c r="D17" s="20">
        <v>39915.983999999997</v>
      </c>
      <c r="E17" s="20">
        <v>32526.654464911848</v>
      </c>
      <c r="F17" s="22" t="s">
        <v>240</v>
      </c>
      <c r="G17" s="116">
        <v>14.886459681095815</v>
      </c>
      <c r="H17" s="117">
        <v>-18.512206877044918</v>
      </c>
    </row>
    <row r="18" spans="1:9" ht="13.5" thickBot="1" x14ac:dyDescent="0.25">
      <c r="A18" s="131"/>
      <c r="B18" s="132" t="s">
        <v>241</v>
      </c>
      <c r="C18" s="43">
        <v>6764.5248000000001</v>
      </c>
      <c r="D18" s="43">
        <v>7658.0352000000003</v>
      </c>
      <c r="E18" s="43">
        <v>6679</v>
      </c>
      <c r="F18" s="44"/>
      <c r="G18" s="133">
        <v>-1.2643134961971043</v>
      </c>
      <c r="H18" s="134">
        <v>-12.784417601005543</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217</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208</v>
      </c>
      <c r="B35" s="115" t="s">
        <v>3</v>
      </c>
      <c r="C35" s="80">
        <v>1704.7751721129086</v>
      </c>
      <c r="D35" s="80">
        <v>2006.380833258675</v>
      </c>
      <c r="E35" s="81">
        <v>2789.4487848756789</v>
      </c>
      <c r="F35" s="22" t="s">
        <v>240</v>
      </c>
      <c r="G35" s="116">
        <v>63.625610608724372</v>
      </c>
      <c r="H35" s="117">
        <v>39.02887919564003</v>
      </c>
    </row>
    <row r="36" spans="1:8" ht="12.75" customHeight="1" x14ac:dyDescent="0.2">
      <c r="A36" s="217"/>
      <c r="B36" s="118" t="s">
        <v>241</v>
      </c>
      <c r="C36" s="82">
        <v>447.15987373804478</v>
      </c>
      <c r="D36" s="82">
        <v>491.99434026468958</v>
      </c>
      <c r="E36" s="82">
        <v>699.19381509829668</v>
      </c>
      <c r="F36" s="27"/>
      <c r="G36" s="119">
        <v>56.36327321889766</v>
      </c>
      <c r="H36" s="120">
        <v>42.114198858900522</v>
      </c>
    </row>
    <row r="37" spans="1:8" x14ac:dyDescent="0.2">
      <c r="A37" s="121" t="s">
        <v>227</v>
      </c>
      <c r="B37" s="122" t="s">
        <v>3</v>
      </c>
      <c r="C37" s="80">
        <v>526.16154959198388</v>
      </c>
      <c r="D37" s="80">
        <v>607.17797486114455</v>
      </c>
      <c r="E37" s="80">
        <v>851.51222687263567</v>
      </c>
      <c r="F37" s="22" t="s">
        <v>240</v>
      </c>
      <c r="G37" s="123">
        <v>61.834749713837425</v>
      </c>
      <c r="H37" s="124">
        <v>40.240960991275728</v>
      </c>
    </row>
    <row r="38" spans="1:8" x14ac:dyDescent="0.2">
      <c r="A38" s="125"/>
      <c r="B38" s="118" t="s">
        <v>241</v>
      </c>
      <c r="C38" s="82">
        <v>131.46420228653542</v>
      </c>
      <c r="D38" s="82">
        <v>141.93849326179432</v>
      </c>
      <c r="E38" s="82">
        <v>203.42188372042074</v>
      </c>
      <c r="F38" s="27"/>
      <c r="G38" s="126">
        <v>54.735570735102868</v>
      </c>
      <c r="H38" s="120">
        <v>43.316924849431189</v>
      </c>
    </row>
    <row r="39" spans="1:8" x14ac:dyDescent="0.2">
      <c r="A39" s="121" t="s">
        <v>230</v>
      </c>
      <c r="B39" s="122" t="s">
        <v>3</v>
      </c>
      <c r="C39" s="80">
        <v>333.48805947324126</v>
      </c>
      <c r="D39" s="80">
        <v>391.7374662946803</v>
      </c>
      <c r="E39" s="80">
        <v>648.30880217261324</v>
      </c>
      <c r="F39" s="22" t="s">
        <v>240</v>
      </c>
      <c r="G39" s="127">
        <v>94.402403251452228</v>
      </c>
      <c r="H39" s="124">
        <v>65.495735780587779</v>
      </c>
    </row>
    <row r="40" spans="1:8" x14ac:dyDescent="0.2">
      <c r="A40" s="125"/>
      <c r="B40" s="118" t="s">
        <v>241</v>
      </c>
      <c r="C40" s="82">
        <v>83.409385439510444</v>
      </c>
      <c r="D40" s="82">
        <v>104.73669129367198</v>
      </c>
      <c r="E40" s="82">
        <v>169.43885940207377</v>
      </c>
      <c r="F40" s="27"/>
      <c r="G40" s="119">
        <v>103.14123945314643</v>
      </c>
      <c r="H40" s="120">
        <v>61.776028351881877</v>
      </c>
    </row>
    <row r="41" spans="1:8" x14ac:dyDescent="0.2">
      <c r="A41" s="121" t="s">
        <v>209</v>
      </c>
      <c r="B41" s="122" t="s">
        <v>3</v>
      </c>
      <c r="C41" s="80">
        <v>565.42085865239426</v>
      </c>
      <c r="D41" s="80">
        <v>631.72522876898427</v>
      </c>
      <c r="E41" s="80">
        <v>831.91256972273356</v>
      </c>
      <c r="F41" s="22" t="s">
        <v>240</v>
      </c>
      <c r="G41" s="116">
        <v>47.131567042907989</v>
      </c>
      <c r="H41" s="117">
        <v>31.688989427230212</v>
      </c>
    </row>
    <row r="42" spans="1:8" x14ac:dyDescent="0.2">
      <c r="A42" s="125"/>
      <c r="B42" s="118" t="s">
        <v>241</v>
      </c>
      <c r="C42" s="82">
        <v>159.79400763419417</v>
      </c>
      <c r="D42" s="82">
        <v>163.9663244457542</v>
      </c>
      <c r="E42" s="82">
        <v>221.9620397409721</v>
      </c>
      <c r="F42" s="27"/>
      <c r="G42" s="128">
        <v>38.905108537671254</v>
      </c>
      <c r="H42" s="117">
        <v>35.370503968578561</v>
      </c>
    </row>
    <row r="43" spans="1:8" x14ac:dyDescent="0.2">
      <c r="A43" s="121" t="s">
        <v>210</v>
      </c>
      <c r="B43" s="122" t="s">
        <v>3</v>
      </c>
      <c r="C43" s="80">
        <v>125.46354583305789</v>
      </c>
      <c r="D43" s="80">
        <v>162.10541194477281</v>
      </c>
      <c r="E43" s="80">
        <v>220.46725523543302</v>
      </c>
      <c r="F43" s="22" t="s">
        <v>240</v>
      </c>
      <c r="G43" s="127">
        <v>75.722161980649986</v>
      </c>
      <c r="H43" s="124">
        <v>36.00240275170043</v>
      </c>
    </row>
    <row r="44" spans="1:8" x14ac:dyDescent="0.2">
      <c r="A44" s="125"/>
      <c r="B44" s="118" t="s">
        <v>241</v>
      </c>
      <c r="C44" s="82">
        <v>32.527410061561028</v>
      </c>
      <c r="D44" s="82">
        <v>37.789016650693924</v>
      </c>
      <c r="E44" s="82">
        <v>53.181612322966082</v>
      </c>
      <c r="F44" s="27"/>
      <c r="G44" s="119">
        <v>63.497838353299983</v>
      </c>
      <c r="H44" s="120">
        <v>40.732988144557879</v>
      </c>
    </row>
    <row r="45" spans="1:8" x14ac:dyDescent="0.2">
      <c r="A45" s="121" t="s">
        <v>211</v>
      </c>
      <c r="B45" s="122" t="s">
        <v>3</v>
      </c>
      <c r="C45" s="80">
        <v>154.24115856223148</v>
      </c>
      <c r="D45" s="80">
        <v>213.63475138909291</v>
      </c>
      <c r="E45" s="80">
        <v>233.20735779744891</v>
      </c>
      <c r="F45" s="22" t="s">
        <v>240</v>
      </c>
      <c r="G45" s="116">
        <v>51.196580712506147</v>
      </c>
      <c r="H45" s="117">
        <v>9.1617146934622156</v>
      </c>
    </row>
    <row r="46" spans="1:8" ht="13.5" thickBot="1" x14ac:dyDescent="0.25">
      <c r="A46" s="131"/>
      <c r="B46" s="132" t="s">
        <v>241</v>
      </c>
      <c r="C46" s="86">
        <v>39.964868316243631</v>
      </c>
      <c r="D46" s="86">
        <v>43.56381461277514</v>
      </c>
      <c r="E46" s="86">
        <v>51.18941991186383</v>
      </c>
      <c r="F46" s="44"/>
      <c r="G46" s="133">
        <v>28.086046741853011</v>
      </c>
      <c r="H46" s="134">
        <v>17.504448053666238</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23</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2023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200">
        <v>1</v>
      </c>
      <c r="I61" s="77"/>
    </row>
    <row r="62" spans="1:14" ht="12.75" customHeight="1" x14ac:dyDescent="0.2">
      <c r="B62" s="54" t="str">
        <f>+B124</f>
        <v>Skadestatistikk for landbasert forsikring 1. kvartal 2023</v>
      </c>
      <c r="H62" s="201"/>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200">
        <v>2</v>
      </c>
      <c r="I123"/>
      <c r="J123" s="69"/>
      <c r="K123" s="69"/>
      <c r="L123" s="69"/>
    </row>
    <row r="124" spans="2:13" ht="12.75" customHeight="1" x14ac:dyDescent="0.2">
      <c r="B124" s="54" t="str">
        <f>"Skadestatistikk for landbasert forsikring 1. kvartal 2023"</f>
        <v>Skadestatistikk for landbasert forsikring 1. kvartal 2023</v>
      </c>
      <c r="H124" s="201"/>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61</v>
      </c>
      <c r="B7" s="19" t="s">
        <v>3</v>
      </c>
      <c r="C7" s="20">
        <v>169642</v>
      </c>
      <c r="D7" s="20">
        <v>354485</v>
      </c>
      <c r="E7" s="79">
        <v>445674.49832089822</v>
      </c>
      <c r="F7" s="22" t="s">
        <v>240</v>
      </c>
      <c r="G7" s="23">
        <v>162.71471588456762</v>
      </c>
      <c r="H7" s="24">
        <v>25.724501268290112</v>
      </c>
    </row>
    <row r="8" spans="1:8" x14ac:dyDescent="0.2">
      <c r="A8" s="206"/>
      <c r="B8" s="25" t="s">
        <v>241</v>
      </c>
      <c r="C8" s="26">
        <v>34290.493589743586</v>
      </c>
      <c r="D8" s="26">
        <v>66033.365384615376</v>
      </c>
      <c r="E8" s="26">
        <v>85249</v>
      </c>
      <c r="F8" s="27"/>
      <c r="G8" s="28">
        <v>148.60826157806693</v>
      </c>
      <c r="H8" s="29">
        <v>29.099886857896735</v>
      </c>
    </row>
    <row r="9" spans="1:8" x14ac:dyDescent="0.2">
      <c r="A9" s="30" t="s">
        <v>62</v>
      </c>
      <c r="B9" s="31" t="s">
        <v>3</v>
      </c>
      <c r="C9" s="20">
        <v>68285.765704347825</v>
      </c>
      <c r="D9" s="20">
        <v>136349.47408515849</v>
      </c>
      <c r="E9" s="21">
        <v>175833.65345135226</v>
      </c>
      <c r="F9" s="22" t="s">
        <v>240</v>
      </c>
      <c r="G9" s="32">
        <v>157.49678814856838</v>
      </c>
      <c r="H9" s="33">
        <v>28.95807235863154</v>
      </c>
    </row>
    <row r="10" spans="1:8" x14ac:dyDescent="0.2">
      <c r="A10" s="34"/>
      <c r="B10" s="25" t="s">
        <v>241</v>
      </c>
      <c r="C10" s="26">
        <v>10601.160416666668</v>
      </c>
      <c r="D10" s="26">
        <v>23063.327280434783</v>
      </c>
      <c r="E10" s="26">
        <v>28880</v>
      </c>
      <c r="F10" s="27"/>
      <c r="G10" s="35">
        <v>172.42300715114322</v>
      </c>
      <c r="H10" s="29">
        <v>25.220440437055444</v>
      </c>
    </row>
    <row r="11" spans="1:8" x14ac:dyDescent="0.2">
      <c r="A11" s="30" t="s">
        <v>47</v>
      </c>
      <c r="B11" s="31" t="s">
        <v>3</v>
      </c>
      <c r="C11" s="20">
        <v>10166.449391304348</v>
      </c>
      <c r="D11" s="20">
        <v>16391.626309345666</v>
      </c>
      <c r="E11" s="21">
        <v>22118.983434194135</v>
      </c>
      <c r="F11" s="22" t="s">
        <v>240</v>
      </c>
      <c r="G11" s="37">
        <v>117.5684212141274</v>
      </c>
      <c r="H11" s="33">
        <v>34.940749726480902</v>
      </c>
    </row>
    <row r="12" spans="1:8" x14ac:dyDescent="0.2">
      <c r="A12" s="34"/>
      <c r="B12" s="25" t="s">
        <v>241</v>
      </c>
      <c r="C12" s="26">
        <v>2653.1934027777779</v>
      </c>
      <c r="D12" s="26">
        <v>3106.5360307971018</v>
      </c>
      <c r="E12" s="26">
        <v>4613</v>
      </c>
      <c r="F12" s="27"/>
      <c r="G12" s="28">
        <v>73.865953200787771</v>
      </c>
      <c r="H12" s="29">
        <v>48.49336863530138</v>
      </c>
    </row>
    <row r="13" spans="1:8" x14ac:dyDescent="0.2">
      <c r="A13" s="30" t="s">
        <v>48</v>
      </c>
      <c r="B13" s="31" t="s">
        <v>3</v>
      </c>
      <c r="C13" s="20">
        <v>31090.407304347827</v>
      </c>
      <c r="D13" s="20">
        <v>83374.360223098891</v>
      </c>
      <c r="E13" s="21">
        <v>131339.88908564768</v>
      </c>
      <c r="F13" s="22" t="s">
        <v>240</v>
      </c>
      <c r="G13" s="23">
        <v>322.44505773097575</v>
      </c>
      <c r="H13" s="24">
        <v>57.530311158249731</v>
      </c>
    </row>
    <row r="14" spans="1:8" x14ac:dyDescent="0.2">
      <c r="A14" s="34"/>
      <c r="B14" s="25" t="s">
        <v>241</v>
      </c>
      <c r="C14" s="26">
        <v>6164.229166666667</v>
      </c>
      <c r="D14" s="26">
        <v>14527.117630434783</v>
      </c>
      <c r="E14" s="26">
        <v>23848</v>
      </c>
      <c r="F14" s="27"/>
      <c r="G14" s="38">
        <v>286.87724539767407</v>
      </c>
      <c r="H14" s="24">
        <v>64.16195288484252</v>
      </c>
    </row>
    <row r="15" spans="1:8" x14ac:dyDescent="0.2">
      <c r="A15" s="30" t="s">
        <v>49</v>
      </c>
      <c r="B15" s="31" t="s">
        <v>3</v>
      </c>
      <c r="C15" s="20">
        <v>59019.676591304349</v>
      </c>
      <c r="D15" s="20">
        <v>110930.49911576656</v>
      </c>
      <c r="E15" s="21">
        <v>109210.91417830049</v>
      </c>
      <c r="F15" s="22" t="s">
        <v>240</v>
      </c>
      <c r="G15" s="37">
        <v>85.041532732476952</v>
      </c>
      <c r="H15" s="33">
        <v>-1.5501462187342412</v>
      </c>
    </row>
    <row r="16" spans="1:8" x14ac:dyDescent="0.2">
      <c r="A16" s="34"/>
      <c r="B16" s="25" t="s">
        <v>241</v>
      </c>
      <c r="C16" s="26">
        <v>16266.696250000001</v>
      </c>
      <c r="D16" s="26">
        <v>24453.797189130433</v>
      </c>
      <c r="E16" s="26">
        <v>25796</v>
      </c>
      <c r="F16" s="27"/>
      <c r="G16" s="28">
        <v>58.581678808934555</v>
      </c>
      <c r="H16" s="29">
        <v>5.4887296254594276</v>
      </c>
    </row>
    <row r="17" spans="1:9" x14ac:dyDescent="0.2">
      <c r="A17" s="30" t="s">
        <v>50</v>
      </c>
      <c r="B17" s="31" t="s">
        <v>3</v>
      </c>
      <c r="C17" s="20">
        <v>31031.005565217391</v>
      </c>
      <c r="D17" s="20">
        <v>52626.456672561559</v>
      </c>
      <c r="E17" s="21">
        <v>78481.92156067575</v>
      </c>
      <c r="F17" s="22" t="s">
        <v>240</v>
      </c>
      <c r="G17" s="37">
        <v>152.91452897242243</v>
      </c>
      <c r="H17" s="33">
        <v>49.130164793319125</v>
      </c>
    </row>
    <row r="18" spans="1:9" ht="13.5" thickBot="1" x14ac:dyDescent="0.25">
      <c r="A18" s="56"/>
      <c r="B18" s="42" t="s">
        <v>241</v>
      </c>
      <c r="C18" s="43">
        <v>3952.2320833333333</v>
      </c>
      <c r="D18" s="43">
        <v>12813.24170652174</v>
      </c>
      <c r="E18" s="43">
        <v>14655</v>
      </c>
      <c r="F18" s="44"/>
      <c r="G18" s="57">
        <v>270.8031231718532</v>
      </c>
      <c r="H18" s="46">
        <v>14.373866782992422</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61</v>
      </c>
      <c r="B35" s="19" t="s">
        <v>3</v>
      </c>
      <c r="C35" s="80">
        <v>773.78802688841324</v>
      </c>
      <c r="D35" s="80">
        <v>2098.2771570466793</v>
      </c>
      <c r="E35" s="81">
        <v>3535.8143541309673</v>
      </c>
      <c r="F35" s="22" t="s">
        <v>240</v>
      </c>
      <c r="G35" s="23">
        <v>356.94870316736774</v>
      </c>
      <c r="H35" s="24">
        <v>68.510358236355131</v>
      </c>
    </row>
    <row r="36" spans="1:9" ht="12.75" customHeight="1" x14ac:dyDescent="0.2">
      <c r="A36" s="206"/>
      <c r="B36" s="25" t="s">
        <v>241</v>
      </c>
      <c r="C36" s="82">
        <v>110.55182730182818</v>
      </c>
      <c r="D36" s="82">
        <v>414.36619515244865</v>
      </c>
      <c r="E36" s="82">
        <v>619.3414816060781</v>
      </c>
      <c r="F36" s="27"/>
      <c r="G36" s="28">
        <v>460.22726780911034</v>
      </c>
      <c r="H36" s="29">
        <v>49.467183580991076</v>
      </c>
    </row>
    <row r="37" spans="1:9" x14ac:dyDescent="0.2">
      <c r="A37" s="30" t="s">
        <v>62</v>
      </c>
      <c r="B37" s="31" t="s">
        <v>3</v>
      </c>
      <c r="C37" s="80">
        <v>165.50438323851947</v>
      </c>
      <c r="D37" s="80">
        <v>427.03020527351094</v>
      </c>
      <c r="E37" s="83">
        <v>702.36807894021479</v>
      </c>
      <c r="F37" s="22" t="s">
        <v>240</v>
      </c>
      <c r="G37" s="32">
        <v>324.38034884428714</v>
      </c>
      <c r="H37" s="33">
        <v>64.477376603922238</v>
      </c>
    </row>
    <row r="38" spans="1:9" x14ac:dyDescent="0.2">
      <c r="A38" s="34"/>
      <c r="B38" s="25" t="s">
        <v>241</v>
      </c>
      <c r="C38" s="82">
        <v>19.340877902940676</v>
      </c>
      <c r="D38" s="82">
        <v>65.843303774395281</v>
      </c>
      <c r="E38" s="82">
        <v>97.875846672318261</v>
      </c>
      <c r="F38" s="27"/>
      <c r="G38" s="35">
        <v>406.05689753843473</v>
      </c>
      <c r="H38" s="29">
        <v>48.649659208594557</v>
      </c>
    </row>
    <row r="39" spans="1:9" x14ac:dyDescent="0.2">
      <c r="A39" s="30" t="s">
        <v>47</v>
      </c>
      <c r="B39" s="31" t="s">
        <v>3</v>
      </c>
      <c r="C39" s="80">
        <v>138.51362542790142</v>
      </c>
      <c r="D39" s="80">
        <v>241.80665297843362</v>
      </c>
      <c r="E39" s="83">
        <v>372.44682030803835</v>
      </c>
      <c r="F39" s="22" t="s">
        <v>240</v>
      </c>
      <c r="G39" s="37">
        <v>168.88821887194263</v>
      </c>
      <c r="H39" s="33">
        <v>54.026705105279461</v>
      </c>
    </row>
    <row r="40" spans="1:9" x14ac:dyDescent="0.2">
      <c r="A40" s="34"/>
      <c r="B40" s="25" t="s">
        <v>241</v>
      </c>
      <c r="C40" s="82">
        <v>31.359008023924641</v>
      </c>
      <c r="D40" s="82">
        <v>58.846373690934158</v>
      </c>
      <c r="E40" s="82">
        <v>88.430329363964418</v>
      </c>
      <c r="F40" s="27"/>
      <c r="G40" s="28">
        <v>181.99338861898474</v>
      </c>
      <c r="H40" s="29">
        <v>50.273200908534392</v>
      </c>
    </row>
    <row r="41" spans="1:9" x14ac:dyDescent="0.2">
      <c r="A41" s="30" t="s">
        <v>48</v>
      </c>
      <c r="B41" s="31" t="s">
        <v>3</v>
      </c>
      <c r="C41" s="80">
        <v>213.24163166368564</v>
      </c>
      <c r="D41" s="80">
        <v>744.84448253314326</v>
      </c>
      <c r="E41" s="83">
        <v>1687.4066911071404</v>
      </c>
      <c r="F41" s="22" t="s">
        <v>240</v>
      </c>
      <c r="G41" s="23">
        <v>691.31203318141763</v>
      </c>
      <c r="H41" s="24">
        <v>126.54483327424742</v>
      </c>
    </row>
    <row r="42" spans="1:9" x14ac:dyDescent="0.2">
      <c r="A42" s="34"/>
      <c r="B42" s="25" t="s">
        <v>241</v>
      </c>
      <c r="C42" s="82">
        <v>23.936253579938029</v>
      </c>
      <c r="D42" s="82">
        <v>135.18644496208313</v>
      </c>
      <c r="E42" s="82">
        <v>254.0223751787392</v>
      </c>
      <c r="F42" s="27"/>
      <c r="G42" s="38">
        <v>961.24533787378459</v>
      </c>
      <c r="H42" s="24">
        <v>87.905211391561465</v>
      </c>
    </row>
    <row r="43" spans="1:9" x14ac:dyDescent="0.2">
      <c r="A43" s="30" t="s">
        <v>49</v>
      </c>
      <c r="B43" s="31" t="s">
        <v>3</v>
      </c>
      <c r="C43" s="80">
        <v>169.9578574247042</v>
      </c>
      <c r="D43" s="80">
        <v>522.60520499379584</v>
      </c>
      <c r="E43" s="83">
        <v>635.2033955841016</v>
      </c>
      <c r="F43" s="22" t="s">
        <v>240</v>
      </c>
      <c r="G43" s="37">
        <v>273.74170586112115</v>
      </c>
      <c r="H43" s="33">
        <v>21.545554754213072</v>
      </c>
    </row>
    <row r="44" spans="1:9" x14ac:dyDescent="0.2">
      <c r="A44" s="34"/>
      <c r="B44" s="25" t="s">
        <v>241</v>
      </c>
      <c r="C44" s="82">
        <v>26.890692180583279</v>
      </c>
      <c r="D44" s="82">
        <v>112.50295176263299</v>
      </c>
      <c r="E44" s="82">
        <v>122.06968943136452</v>
      </c>
      <c r="F44" s="27"/>
      <c r="G44" s="28">
        <v>353.94774002696101</v>
      </c>
      <c r="H44" s="29">
        <v>8.5035437016053947</v>
      </c>
    </row>
    <row r="45" spans="1:9" x14ac:dyDescent="0.2">
      <c r="A45" s="30" t="s">
        <v>50</v>
      </c>
      <c r="B45" s="31" t="s">
        <v>3</v>
      </c>
      <c r="C45" s="80">
        <v>86.570529133602676</v>
      </c>
      <c r="D45" s="80">
        <v>161.99061126779566</v>
      </c>
      <c r="E45" s="83">
        <v>328.53425299905382</v>
      </c>
      <c r="F45" s="22" t="s">
        <v>240</v>
      </c>
      <c r="G45" s="37">
        <v>279.49895453686446</v>
      </c>
      <c r="H45" s="33">
        <v>102.81067552485226</v>
      </c>
    </row>
    <row r="46" spans="1:9" ht="13.5" thickBot="1" x14ac:dyDescent="0.25">
      <c r="A46" s="56"/>
      <c r="B46" s="42" t="s">
        <v>241</v>
      </c>
      <c r="C46" s="86">
        <v>9.0249956144415524</v>
      </c>
      <c r="D46" s="86">
        <v>41.987120962403033</v>
      </c>
      <c r="E46" s="86">
        <v>56.9432409596916</v>
      </c>
      <c r="F46" s="44"/>
      <c r="G46" s="57">
        <v>530.95034493504431</v>
      </c>
      <c r="H46" s="46">
        <v>35.62073239239453</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8">
        <v>24</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51</v>
      </c>
      <c r="B7" s="19" t="s">
        <v>3</v>
      </c>
      <c r="C7" s="20">
        <v>12717.945965835412</v>
      </c>
      <c r="D7" s="20">
        <v>11276.932267581047</v>
      </c>
      <c r="E7" s="79">
        <v>10451.990588307179</v>
      </c>
      <c r="F7" s="22" t="s">
        <v>240</v>
      </c>
      <c r="G7" s="23">
        <v>-17.816991703026062</v>
      </c>
      <c r="H7" s="24">
        <v>-7.3153022444358555</v>
      </c>
    </row>
    <row r="8" spans="1:8" x14ac:dyDescent="0.2">
      <c r="A8" s="206"/>
      <c r="B8" s="25" t="s">
        <v>241</v>
      </c>
      <c r="C8" s="26">
        <v>1433.3104738154614</v>
      </c>
      <c r="D8" s="26">
        <v>1816.3347880299252</v>
      </c>
      <c r="E8" s="26">
        <v>1472.7774314214464</v>
      </c>
      <c r="F8" s="27"/>
      <c r="G8" s="28">
        <v>2.7535525852207172</v>
      </c>
      <c r="H8" s="29">
        <v>-18.914869597422395</v>
      </c>
    </row>
    <row r="9" spans="1:8" x14ac:dyDescent="0.2">
      <c r="A9" s="30" t="s">
        <v>12</v>
      </c>
      <c r="B9" s="31" t="s">
        <v>3</v>
      </c>
      <c r="C9" s="20">
        <v>291.84243322999998</v>
      </c>
      <c r="D9" s="20">
        <v>275.00228392999998</v>
      </c>
      <c r="E9" s="21">
        <v>152.64912663756704</v>
      </c>
      <c r="F9" s="22" t="s">
        <v>240</v>
      </c>
      <c r="G9" s="32">
        <v>-47.69467724480463</v>
      </c>
      <c r="H9" s="33">
        <v>-44.491687684883786</v>
      </c>
    </row>
    <row r="10" spans="1:8" x14ac:dyDescent="0.2">
      <c r="A10" s="34"/>
      <c r="B10" s="25" t="s">
        <v>241</v>
      </c>
      <c r="C10" s="26">
        <v>22.338249999999999</v>
      </c>
      <c r="D10" s="26">
        <v>37.494624999999999</v>
      </c>
      <c r="E10" s="26">
        <v>16.512374999999999</v>
      </c>
      <c r="F10" s="27"/>
      <c r="G10" s="35">
        <v>-26.080265911609018</v>
      </c>
      <c r="H10" s="29">
        <v>-55.960687698570133</v>
      </c>
    </row>
    <row r="11" spans="1:8" x14ac:dyDescent="0.2">
      <c r="A11" s="30" t="s">
        <v>18</v>
      </c>
      <c r="B11" s="31" t="s">
        <v>3</v>
      </c>
      <c r="C11" s="20">
        <v>282.73697329200002</v>
      </c>
      <c r="D11" s="20">
        <v>244.80091357200001</v>
      </c>
      <c r="E11" s="21">
        <v>485.6074011389187</v>
      </c>
      <c r="F11" s="22" t="s">
        <v>240</v>
      </c>
      <c r="G11" s="37">
        <v>71.752351835994858</v>
      </c>
      <c r="H11" s="33">
        <v>98.368296119978936</v>
      </c>
    </row>
    <row r="12" spans="1:8" x14ac:dyDescent="0.2">
      <c r="A12" s="34"/>
      <c r="B12" s="25" t="s">
        <v>241</v>
      </c>
      <c r="C12" s="26">
        <v>37.935299999999998</v>
      </c>
      <c r="D12" s="26">
        <v>19.197850000000003</v>
      </c>
      <c r="E12" s="26">
        <v>44.204949999999997</v>
      </c>
      <c r="F12" s="27"/>
      <c r="G12" s="28">
        <v>16.527218711859405</v>
      </c>
      <c r="H12" s="29">
        <v>130.25989889492831</v>
      </c>
    </row>
    <row r="13" spans="1:8" x14ac:dyDescent="0.2">
      <c r="A13" s="30" t="s">
        <v>63</v>
      </c>
      <c r="B13" s="31" t="s">
        <v>3</v>
      </c>
      <c r="C13" s="20">
        <v>1106.9091246124999</v>
      </c>
      <c r="D13" s="20">
        <v>1216.5085647374999</v>
      </c>
      <c r="E13" s="21">
        <v>1384.6039904909583</v>
      </c>
      <c r="F13" s="22" t="s">
        <v>240</v>
      </c>
      <c r="G13" s="23">
        <v>25.087413203470717</v>
      </c>
      <c r="H13" s="24">
        <v>13.81785797699915</v>
      </c>
    </row>
    <row r="14" spans="1:8" x14ac:dyDescent="0.2">
      <c r="A14" s="34"/>
      <c r="B14" s="25" t="s">
        <v>241</v>
      </c>
      <c r="C14" s="26">
        <v>145.7684375</v>
      </c>
      <c r="D14" s="26">
        <v>146.85484374999999</v>
      </c>
      <c r="E14" s="26">
        <v>171.92140625000002</v>
      </c>
      <c r="F14" s="27"/>
      <c r="G14" s="38">
        <v>17.941448230176718</v>
      </c>
      <c r="H14" s="24">
        <v>17.068938184069964</v>
      </c>
    </row>
    <row r="15" spans="1:8" x14ac:dyDescent="0.2">
      <c r="A15" s="30" t="s">
        <v>52</v>
      </c>
      <c r="B15" s="31" t="s">
        <v>3</v>
      </c>
      <c r="C15" s="20">
        <v>7814.2425815249999</v>
      </c>
      <c r="D15" s="20">
        <v>6663.0399687749996</v>
      </c>
      <c r="E15" s="21">
        <v>5641.17810699648</v>
      </c>
      <c r="F15" s="22" t="s">
        <v>240</v>
      </c>
      <c r="G15" s="37">
        <v>-27.809022459402996</v>
      </c>
      <c r="H15" s="33">
        <v>-15.336270929894908</v>
      </c>
    </row>
    <row r="16" spans="1:8" x14ac:dyDescent="0.2">
      <c r="A16" s="34"/>
      <c r="B16" s="25" t="s">
        <v>241</v>
      </c>
      <c r="C16" s="26">
        <v>811.91937499999995</v>
      </c>
      <c r="D16" s="26">
        <v>1068.6559374999999</v>
      </c>
      <c r="E16" s="26">
        <v>765.96656250000001</v>
      </c>
      <c r="F16" s="27"/>
      <c r="G16" s="28">
        <v>-5.6597753317562933</v>
      </c>
      <c r="H16" s="29">
        <v>-28.324305735680241</v>
      </c>
    </row>
    <row r="17" spans="1:9" x14ac:dyDescent="0.2">
      <c r="A17" s="30" t="s">
        <v>50</v>
      </c>
      <c r="B17" s="31" t="s">
        <v>3</v>
      </c>
      <c r="C17" s="20">
        <v>4350.2121661500005</v>
      </c>
      <c r="D17" s="20">
        <v>4182.0114196499999</v>
      </c>
      <c r="E17" s="21">
        <v>4225.3725126062764</v>
      </c>
      <c r="F17" s="22" t="s">
        <v>240</v>
      </c>
      <c r="G17" s="37">
        <v>-2.8697371248954369</v>
      </c>
      <c r="H17" s="33">
        <v>1.0368477893803743</v>
      </c>
    </row>
    <row r="18" spans="1:9" ht="13.5" thickBot="1" x14ac:dyDescent="0.25">
      <c r="A18" s="56"/>
      <c r="B18" s="42" t="s">
        <v>241</v>
      </c>
      <c r="C18" s="43">
        <v>497.69124999999997</v>
      </c>
      <c r="D18" s="43">
        <v>642.47312499999998</v>
      </c>
      <c r="E18" s="43">
        <v>582.56187499999999</v>
      </c>
      <c r="F18" s="44"/>
      <c r="G18" s="57">
        <v>17.052866611578963</v>
      </c>
      <c r="H18" s="46">
        <v>-9.3250982288169695</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51</v>
      </c>
      <c r="B35" s="19" t="s">
        <v>3</v>
      </c>
      <c r="C35" s="80">
        <v>593.00593686028037</v>
      </c>
      <c r="D35" s="80">
        <v>599.94610259804858</v>
      </c>
      <c r="E35" s="81">
        <v>592.85672385554824</v>
      </c>
      <c r="F35" s="22" t="s">
        <v>240</v>
      </c>
      <c r="G35" s="23">
        <v>-2.5162143489183109E-2</v>
      </c>
      <c r="H35" s="24">
        <v>-1.181669271922928</v>
      </c>
    </row>
    <row r="36" spans="1:9" ht="12.75" customHeight="1" x14ac:dyDescent="0.2">
      <c r="A36" s="206"/>
      <c r="B36" s="25" t="s">
        <v>241</v>
      </c>
      <c r="C36" s="82">
        <v>64.208836868916421</v>
      </c>
      <c r="D36" s="82">
        <v>81.147399862018005</v>
      </c>
      <c r="E36" s="82">
        <v>74.038735819343103</v>
      </c>
      <c r="F36" s="27"/>
      <c r="G36" s="28">
        <v>15.309261824029946</v>
      </c>
      <c r="H36" s="29">
        <v>-8.7601870851837305</v>
      </c>
    </row>
    <row r="37" spans="1:9" x14ac:dyDescent="0.2">
      <c r="A37" s="30" t="s">
        <v>12</v>
      </c>
      <c r="B37" s="31" t="s">
        <v>3</v>
      </c>
      <c r="C37" s="80">
        <v>4.3967812578006047</v>
      </c>
      <c r="D37" s="80">
        <v>6.073040312221627</v>
      </c>
      <c r="E37" s="83">
        <v>2.5191191469940764</v>
      </c>
      <c r="F37" s="22" t="s">
        <v>240</v>
      </c>
      <c r="G37" s="32">
        <v>-42.705379247040106</v>
      </c>
      <c r="H37" s="33">
        <v>-58.519637323590608</v>
      </c>
    </row>
    <row r="38" spans="1:9" x14ac:dyDescent="0.2">
      <c r="A38" s="34"/>
      <c r="B38" s="25" t="s">
        <v>241</v>
      </c>
      <c r="C38" s="82">
        <v>0.40405545349923844</v>
      </c>
      <c r="D38" s="82">
        <v>1.2257570698804914</v>
      </c>
      <c r="E38" s="82">
        <v>0.36349750338142683</v>
      </c>
      <c r="F38" s="27"/>
      <c r="G38" s="35">
        <v>-10.037718775125512</v>
      </c>
      <c r="H38" s="29">
        <v>-70.345061651011562</v>
      </c>
    </row>
    <row r="39" spans="1:9" x14ac:dyDescent="0.2">
      <c r="A39" s="30" t="s">
        <v>18</v>
      </c>
      <c r="B39" s="31" t="s">
        <v>3</v>
      </c>
      <c r="C39" s="80">
        <v>32.676635325528288</v>
      </c>
      <c r="D39" s="80">
        <v>41.588474536253699</v>
      </c>
      <c r="E39" s="83">
        <v>65.528588748075776</v>
      </c>
      <c r="F39" s="22" t="s">
        <v>240</v>
      </c>
      <c r="G39" s="37">
        <v>100.53652432471293</v>
      </c>
      <c r="H39" s="33">
        <v>57.564299914277683</v>
      </c>
    </row>
    <row r="40" spans="1:9" x14ac:dyDescent="0.2">
      <c r="A40" s="34"/>
      <c r="B40" s="25" t="s">
        <v>241</v>
      </c>
      <c r="C40" s="82">
        <v>2.7363838131682079</v>
      </c>
      <c r="D40" s="82">
        <v>3.8999700545608995</v>
      </c>
      <c r="E40" s="82">
        <v>5.9089549212227572</v>
      </c>
      <c r="F40" s="27"/>
      <c r="G40" s="28">
        <v>115.94028194390319</v>
      </c>
      <c r="H40" s="29">
        <v>51.512828010369191</v>
      </c>
    </row>
    <row r="41" spans="1:9" x14ac:dyDescent="0.2">
      <c r="A41" s="30" t="s">
        <v>63</v>
      </c>
      <c r="B41" s="31" t="s">
        <v>3</v>
      </c>
      <c r="C41" s="80">
        <v>55.697563804012269</v>
      </c>
      <c r="D41" s="80">
        <v>69.980895426110706</v>
      </c>
      <c r="E41" s="83">
        <v>93.66049751758365</v>
      </c>
      <c r="F41" s="22" t="s">
        <v>240</v>
      </c>
      <c r="G41" s="23">
        <v>68.159056017521266</v>
      </c>
      <c r="H41" s="24">
        <v>33.837237930850762</v>
      </c>
    </row>
    <row r="42" spans="1:9" x14ac:dyDescent="0.2">
      <c r="A42" s="34"/>
      <c r="B42" s="25" t="s">
        <v>241</v>
      </c>
      <c r="C42" s="82">
        <v>7.1489630882019783</v>
      </c>
      <c r="D42" s="82">
        <v>7.4519622535046457</v>
      </c>
      <c r="E42" s="82">
        <v>10.573998869694314</v>
      </c>
      <c r="F42" s="27"/>
      <c r="G42" s="38">
        <v>47.909546310914862</v>
      </c>
      <c r="H42" s="24">
        <v>41.895496917223113</v>
      </c>
    </row>
    <row r="43" spans="1:9" x14ac:dyDescent="0.2">
      <c r="A43" s="30" t="s">
        <v>52</v>
      </c>
      <c r="B43" s="31" t="s">
        <v>3</v>
      </c>
      <c r="C43" s="80">
        <v>365.06667916418695</v>
      </c>
      <c r="D43" s="80">
        <v>341.68380831054014</v>
      </c>
      <c r="E43" s="83">
        <v>310.61800447934939</v>
      </c>
      <c r="F43" s="22" t="s">
        <v>240</v>
      </c>
      <c r="G43" s="37">
        <v>-14.914720458601352</v>
      </c>
      <c r="H43" s="33">
        <v>-9.0919742392231058</v>
      </c>
    </row>
    <row r="44" spans="1:9" x14ac:dyDescent="0.2">
      <c r="A44" s="34"/>
      <c r="B44" s="25" t="s">
        <v>241</v>
      </c>
      <c r="C44" s="82">
        <v>37.387465788648335</v>
      </c>
      <c r="D44" s="82">
        <v>48.270895499780103</v>
      </c>
      <c r="E44" s="82">
        <v>38.954921905408561</v>
      </c>
      <c r="F44" s="27"/>
      <c r="G44" s="28">
        <v>4.1924641954099542</v>
      </c>
      <c r="H44" s="29">
        <v>-19.2993593715575</v>
      </c>
    </row>
    <row r="45" spans="1:9" x14ac:dyDescent="0.2">
      <c r="A45" s="30" t="s">
        <v>50</v>
      </c>
      <c r="B45" s="31" t="s">
        <v>3</v>
      </c>
      <c r="C45" s="80">
        <v>135.16827730875232</v>
      </c>
      <c r="D45" s="80">
        <v>140.61988401292237</v>
      </c>
      <c r="E45" s="83">
        <v>133.93008480263393</v>
      </c>
      <c r="F45" s="22" t="s">
        <v>240</v>
      </c>
      <c r="G45" s="37">
        <v>-0.91603779434882426</v>
      </c>
      <c r="H45" s="33">
        <v>-4.7573636241043147</v>
      </c>
    </row>
    <row r="46" spans="1:9" ht="13.5" thickBot="1" x14ac:dyDescent="0.25">
      <c r="A46" s="56"/>
      <c r="B46" s="42" t="s">
        <v>241</v>
      </c>
      <c r="C46" s="86">
        <v>16.531968725398663</v>
      </c>
      <c r="D46" s="86">
        <v>20.298814984291894</v>
      </c>
      <c r="E46" s="86">
        <v>18.237362619636045</v>
      </c>
      <c r="F46" s="44"/>
      <c r="G46" s="57">
        <v>10.315733852177701</v>
      </c>
      <c r="H46" s="46">
        <v>-10.155530587628348</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25</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64</v>
      </c>
      <c r="B7" s="19" t="s">
        <v>3</v>
      </c>
      <c r="C7" s="20">
        <v>11455.784425960001</v>
      </c>
      <c r="D7" s="20">
        <v>12078.23712256</v>
      </c>
      <c r="E7" s="79">
        <v>13843.955638079402</v>
      </c>
      <c r="F7" s="22" t="s">
        <v>240</v>
      </c>
      <c r="G7" s="23">
        <v>20.846858873387646</v>
      </c>
      <c r="H7" s="24">
        <v>14.619008532473288</v>
      </c>
    </row>
    <row r="8" spans="1:8" ht="12.75" customHeight="1" x14ac:dyDescent="0.2">
      <c r="A8" s="206"/>
      <c r="B8" s="25" t="s">
        <v>241</v>
      </c>
      <c r="C8" s="26">
        <v>3104.3150039000002</v>
      </c>
      <c r="D8" s="26">
        <v>3173.5819999999999</v>
      </c>
      <c r="E8" s="26">
        <v>3674.7309999999998</v>
      </c>
      <c r="F8" s="27"/>
      <c r="G8" s="28">
        <v>18.374939250152678</v>
      </c>
      <c r="H8" s="29">
        <v>15.791273078811258</v>
      </c>
    </row>
    <row r="9" spans="1:8" x14ac:dyDescent="0.2">
      <c r="A9" s="30" t="s">
        <v>53</v>
      </c>
      <c r="B9" s="31" t="s">
        <v>3</v>
      </c>
      <c r="C9" s="20">
        <v>2.2378442596000001</v>
      </c>
      <c r="D9" s="20">
        <v>5.2623712255999999</v>
      </c>
      <c r="E9" s="21">
        <v>0.80015176524430509</v>
      </c>
      <c r="F9" s="22" t="s">
        <v>240</v>
      </c>
      <c r="G9" s="32">
        <v>-64.244528554130625</v>
      </c>
      <c r="H9" s="33">
        <v>-84.794843789206951</v>
      </c>
    </row>
    <row r="10" spans="1:8" x14ac:dyDescent="0.2">
      <c r="A10" s="34"/>
      <c r="B10" s="25" t="s">
        <v>241</v>
      </c>
      <c r="C10" s="26">
        <v>7.3150039E-2</v>
      </c>
      <c r="D10" s="26">
        <v>2.0758199999999998</v>
      </c>
      <c r="E10" s="26">
        <v>6.7310000000000009E-2</v>
      </c>
      <c r="F10" s="27"/>
      <c r="G10" s="35">
        <v>-7.9836444106338575</v>
      </c>
      <c r="H10" s="29">
        <v>-96.757425981058091</v>
      </c>
    </row>
    <row r="11" spans="1:8" x14ac:dyDescent="0.2">
      <c r="A11" s="30" t="s">
        <v>54</v>
      </c>
      <c r="B11" s="31" t="s">
        <v>3</v>
      </c>
      <c r="C11" s="20">
        <v>691.18922129800001</v>
      </c>
      <c r="D11" s="20">
        <v>467.31185612799999</v>
      </c>
      <c r="E11" s="21">
        <v>505.10084583063707</v>
      </c>
      <c r="F11" s="22" t="s">
        <v>240</v>
      </c>
      <c r="G11" s="37">
        <v>-26.922927865961697</v>
      </c>
      <c r="H11" s="33">
        <v>8.0864607236257342</v>
      </c>
    </row>
    <row r="12" spans="1:8" x14ac:dyDescent="0.2">
      <c r="A12" s="34"/>
      <c r="B12" s="25" t="s">
        <v>241</v>
      </c>
      <c r="C12" s="26">
        <v>214.365750195</v>
      </c>
      <c r="D12" s="26">
        <v>140.37909999999999</v>
      </c>
      <c r="E12" s="26">
        <v>153.33654999999999</v>
      </c>
      <c r="F12" s="27"/>
      <c r="G12" s="28">
        <v>-28.469659980423259</v>
      </c>
      <c r="H12" s="29">
        <v>9.2303270216150395</v>
      </c>
    </row>
    <row r="13" spans="1:8" x14ac:dyDescent="0.2">
      <c r="A13" s="30" t="s">
        <v>66</v>
      </c>
      <c r="B13" s="31" t="s">
        <v>3</v>
      </c>
      <c r="C13" s="20">
        <v>33.475688519199998</v>
      </c>
      <c r="D13" s="20">
        <v>38.524742451199998</v>
      </c>
      <c r="E13" s="21">
        <v>114.35778825068554</v>
      </c>
      <c r="F13" s="22" t="s">
        <v>240</v>
      </c>
      <c r="G13" s="23">
        <v>241.61444710866988</v>
      </c>
      <c r="H13" s="24">
        <v>196.84244715080098</v>
      </c>
    </row>
    <row r="14" spans="1:8" x14ac:dyDescent="0.2">
      <c r="A14" s="34"/>
      <c r="B14" s="25" t="s">
        <v>241</v>
      </c>
      <c r="C14" s="26">
        <v>8.1463000779999994</v>
      </c>
      <c r="D14" s="26">
        <v>4.1516399999999996</v>
      </c>
      <c r="E14" s="26">
        <v>15.13462</v>
      </c>
      <c r="F14" s="27"/>
      <c r="G14" s="38">
        <v>85.785201319464591</v>
      </c>
      <c r="H14" s="24">
        <v>264.54557716950416</v>
      </c>
    </row>
    <row r="15" spans="1:8" x14ac:dyDescent="0.2">
      <c r="A15" s="30" t="s">
        <v>55</v>
      </c>
      <c r="B15" s="31" t="s">
        <v>3</v>
      </c>
      <c r="C15" s="20">
        <v>8374.0275407680001</v>
      </c>
      <c r="D15" s="20">
        <v>7995.9896980479998</v>
      </c>
      <c r="E15" s="21">
        <v>7953.8112356813881</v>
      </c>
      <c r="F15" s="22" t="s">
        <v>240</v>
      </c>
      <c r="G15" s="37">
        <v>-5.0180907937170787</v>
      </c>
      <c r="H15" s="33">
        <v>-0.52749520646466408</v>
      </c>
    </row>
    <row r="16" spans="1:8" x14ac:dyDescent="0.2">
      <c r="A16" s="34"/>
      <c r="B16" s="25" t="s">
        <v>241</v>
      </c>
      <c r="C16" s="26">
        <v>2266.8520031200001</v>
      </c>
      <c r="D16" s="26">
        <v>2252.0655999999999</v>
      </c>
      <c r="E16" s="26">
        <v>2210.3847999999998</v>
      </c>
      <c r="F16" s="27"/>
      <c r="G16" s="28">
        <v>-2.4909964586254887</v>
      </c>
      <c r="H16" s="29">
        <v>-1.8507809008760745</v>
      </c>
    </row>
    <row r="17" spans="1:9" x14ac:dyDescent="0.2">
      <c r="A17" s="30" t="s">
        <v>67</v>
      </c>
      <c r="B17" s="31" t="s">
        <v>3</v>
      </c>
      <c r="C17" s="20">
        <v>770.18922129800001</v>
      </c>
      <c r="D17" s="20">
        <v>1376.311856128</v>
      </c>
      <c r="E17" s="21">
        <v>2067.9122611456687</v>
      </c>
      <c r="F17" s="22" t="s">
        <v>240</v>
      </c>
      <c r="G17" s="37">
        <v>168.4940536639316</v>
      </c>
      <c r="H17" s="33">
        <v>50.250268639213715</v>
      </c>
    </row>
    <row r="18" spans="1:9" x14ac:dyDescent="0.2">
      <c r="A18" s="30"/>
      <c r="B18" s="25" t="s">
        <v>241</v>
      </c>
      <c r="C18" s="26">
        <v>221.365750195</v>
      </c>
      <c r="D18" s="26">
        <v>263.37910000000005</v>
      </c>
      <c r="E18" s="26">
        <v>445.33654999999999</v>
      </c>
      <c r="F18" s="27"/>
      <c r="G18" s="28">
        <v>101.17680788816932</v>
      </c>
      <c r="H18" s="29">
        <v>69.085758892789869</v>
      </c>
    </row>
    <row r="19" spans="1:9" x14ac:dyDescent="0.2">
      <c r="A19" s="39" t="s">
        <v>56</v>
      </c>
      <c r="B19" s="31" t="s">
        <v>3</v>
      </c>
      <c r="C19" s="20">
        <v>80.237844259599996</v>
      </c>
      <c r="D19" s="20">
        <v>102.26237122560001</v>
      </c>
      <c r="E19" s="21">
        <v>5.3560677314458589</v>
      </c>
      <c r="F19" s="22" t="s">
        <v>240</v>
      </c>
      <c r="G19" s="23">
        <v>-93.324761176139106</v>
      </c>
      <c r="H19" s="24">
        <v>-94.762425643710245</v>
      </c>
    </row>
    <row r="20" spans="1:9" x14ac:dyDescent="0.2">
      <c r="A20" s="34"/>
      <c r="B20" s="25" t="s">
        <v>241</v>
      </c>
      <c r="C20" s="26">
        <v>26.073150039000001</v>
      </c>
      <c r="D20" s="26">
        <v>17.07582</v>
      </c>
      <c r="E20" s="26">
        <v>1.06731</v>
      </c>
      <c r="F20" s="27"/>
      <c r="G20" s="38">
        <v>-95.906478509871164</v>
      </c>
      <c r="H20" s="24">
        <v>-93.749582743317745</v>
      </c>
    </row>
    <row r="21" spans="1:9" x14ac:dyDescent="0.2">
      <c r="A21" s="39" t="s">
        <v>68</v>
      </c>
      <c r="B21" s="31" t="s">
        <v>3</v>
      </c>
      <c r="C21" s="20">
        <v>2.2378442596000001</v>
      </c>
      <c r="D21" s="20">
        <v>53.262371225599999</v>
      </c>
      <c r="E21" s="21">
        <v>6.6520720306058374</v>
      </c>
      <c r="F21" s="22" t="s">
        <v>240</v>
      </c>
      <c r="G21" s="37">
        <v>197.2535734812418</v>
      </c>
      <c r="H21" s="33">
        <v>-87.510747498585658</v>
      </c>
    </row>
    <row r="22" spans="1:9" x14ac:dyDescent="0.2">
      <c r="A22" s="34"/>
      <c r="B22" s="25" t="s">
        <v>241</v>
      </c>
      <c r="C22" s="26">
        <v>1.0731500389999999</v>
      </c>
      <c r="D22" s="26">
        <v>14.07582</v>
      </c>
      <c r="E22" s="26">
        <v>2.06731</v>
      </c>
      <c r="F22" s="27"/>
      <c r="G22" s="28">
        <v>92.639418988084287</v>
      </c>
      <c r="H22" s="29">
        <v>-85.313040377043748</v>
      </c>
    </row>
    <row r="23" spans="1:9" x14ac:dyDescent="0.2">
      <c r="A23" s="30" t="s">
        <v>69</v>
      </c>
      <c r="B23" s="31" t="s">
        <v>3</v>
      </c>
      <c r="C23" s="20">
        <v>1525.1892212979999</v>
      </c>
      <c r="D23" s="20">
        <v>2065.3118561279998</v>
      </c>
      <c r="E23" s="21">
        <v>3580.672100220731</v>
      </c>
      <c r="F23" s="22" t="s">
        <v>240</v>
      </c>
      <c r="G23" s="23">
        <v>134.76904047180645</v>
      </c>
      <c r="H23" s="24">
        <v>73.371982037312961</v>
      </c>
    </row>
    <row r="24" spans="1:9" ht="13.5" thickBot="1" x14ac:dyDescent="0.25">
      <c r="A24" s="56"/>
      <c r="B24" s="42" t="s">
        <v>241</v>
      </c>
      <c r="C24" s="43">
        <v>387.36575019500003</v>
      </c>
      <c r="D24" s="43">
        <v>482.37910000000005</v>
      </c>
      <c r="E24" s="43">
        <v>859.33654999999999</v>
      </c>
      <c r="F24" s="44"/>
      <c r="G24" s="57">
        <v>121.84112807273482</v>
      </c>
      <c r="H24" s="46">
        <v>78.145477281250351</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64</v>
      </c>
      <c r="B35" s="19" t="s">
        <v>3</v>
      </c>
      <c r="C35" s="80">
        <v>1493.6576886549608</v>
      </c>
      <c r="D35" s="80">
        <v>1558.6503994062934</v>
      </c>
      <c r="E35" s="81">
        <v>1578.081726808218</v>
      </c>
      <c r="F35" s="22" t="s">
        <v>240</v>
      </c>
      <c r="G35" s="23">
        <v>5.6521677486413182</v>
      </c>
      <c r="H35" s="24">
        <v>1.2466764458101807</v>
      </c>
    </row>
    <row r="36" spans="1:8" ht="12.75" customHeight="1" x14ac:dyDescent="0.2">
      <c r="A36" s="206"/>
      <c r="B36" s="25" t="s">
        <v>241</v>
      </c>
      <c r="C36" s="82">
        <v>398.64248721138267</v>
      </c>
      <c r="D36" s="82">
        <v>414.92680469493018</v>
      </c>
      <c r="E36" s="82">
        <v>420.45726599679227</v>
      </c>
      <c r="F36" s="27"/>
      <c r="G36" s="28">
        <v>5.4722663753204586</v>
      </c>
      <c r="H36" s="29">
        <v>1.3328763625980429</v>
      </c>
    </row>
    <row r="37" spans="1:8" x14ac:dyDescent="0.2">
      <c r="A37" s="30" t="s">
        <v>53</v>
      </c>
      <c r="B37" s="31" t="s">
        <v>3</v>
      </c>
      <c r="C37" s="80">
        <v>7.4554924604123871E-2</v>
      </c>
      <c r="D37" s="80">
        <v>1.8343637693212369</v>
      </c>
      <c r="E37" s="83">
        <v>4.954111313028994</v>
      </c>
      <c r="F37" s="22" t="s">
        <v>240</v>
      </c>
      <c r="G37" s="32">
        <v>6544.9149259215619</v>
      </c>
      <c r="H37" s="33">
        <v>170.07245759450137</v>
      </c>
    </row>
    <row r="38" spans="1:8" x14ac:dyDescent="0.2">
      <c r="A38" s="34"/>
      <c r="B38" s="25" t="s">
        <v>241</v>
      </c>
      <c r="C38" s="82">
        <v>2.3002029492039965E-2</v>
      </c>
      <c r="D38" s="82">
        <v>5.8402707351416387E-2</v>
      </c>
      <c r="E38" s="82">
        <v>0.22498576330698175</v>
      </c>
      <c r="F38" s="27"/>
      <c r="G38" s="35">
        <v>878.11266342754607</v>
      </c>
      <c r="H38" s="29">
        <v>285.23173583925535</v>
      </c>
    </row>
    <row r="39" spans="1:8" x14ac:dyDescent="0.2">
      <c r="A39" s="30" t="s">
        <v>54</v>
      </c>
      <c r="B39" s="31" t="s">
        <v>3</v>
      </c>
      <c r="C39" s="80">
        <v>80.071126986024154</v>
      </c>
      <c r="D39" s="80">
        <v>64.424899827308451</v>
      </c>
      <c r="E39" s="83">
        <v>63.159201997783946</v>
      </c>
      <c r="F39" s="22" t="s">
        <v>240</v>
      </c>
      <c r="G39" s="37">
        <v>-21.121127708358671</v>
      </c>
      <c r="H39" s="33">
        <v>-1.9646096973642528</v>
      </c>
    </row>
    <row r="40" spans="1:8" x14ac:dyDescent="0.2">
      <c r="A40" s="34"/>
      <c r="B40" s="25" t="s">
        <v>241</v>
      </c>
      <c r="C40" s="82">
        <v>17.089375022959281</v>
      </c>
      <c r="D40" s="82">
        <v>18.855111278265355</v>
      </c>
      <c r="E40" s="82">
        <v>16.448974711216959</v>
      </c>
      <c r="F40" s="27"/>
      <c r="G40" s="28">
        <v>-3.747359460963068</v>
      </c>
      <c r="H40" s="29">
        <v>-12.761189958194493</v>
      </c>
    </row>
    <row r="41" spans="1:8" x14ac:dyDescent="0.2">
      <c r="A41" s="30" t="s">
        <v>66</v>
      </c>
      <c r="B41" s="31" t="s">
        <v>3</v>
      </c>
      <c r="C41" s="80">
        <v>9.5388551292949231</v>
      </c>
      <c r="D41" s="80">
        <v>7.526468051877937</v>
      </c>
      <c r="E41" s="83">
        <v>4.7685960076088669</v>
      </c>
      <c r="F41" s="22" t="s">
        <v>240</v>
      </c>
      <c r="G41" s="23">
        <v>-50.008717576976721</v>
      </c>
      <c r="H41" s="24">
        <v>-36.642313835118856</v>
      </c>
    </row>
    <row r="42" spans="1:8" x14ac:dyDescent="0.2">
      <c r="A42" s="34"/>
      <c r="B42" s="25" t="s">
        <v>241</v>
      </c>
      <c r="C42" s="82">
        <v>3.4678367254784694</v>
      </c>
      <c r="D42" s="82">
        <v>2.3258666335984519</v>
      </c>
      <c r="E42" s="82">
        <v>1.5511609089917011</v>
      </c>
      <c r="F42" s="27"/>
      <c r="G42" s="38">
        <v>-55.270070889001211</v>
      </c>
      <c r="H42" s="24">
        <v>-33.308260818384454</v>
      </c>
    </row>
    <row r="43" spans="1:8" x14ac:dyDescent="0.2">
      <c r="A43" s="30" t="s">
        <v>55</v>
      </c>
      <c r="B43" s="31" t="s">
        <v>3</v>
      </c>
      <c r="C43" s="80">
        <v>1016.3953384194397</v>
      </c>
      <c r="D43" s="80">
        <v>1023.6976082091957</v>
      </c>
      <c r="E43" s="83">
        <v>956.51485698540091</v>
      </c>
      <c r="F43" s="22" t="s">
        <v>240</v>
      </c>
      <c r="G43" s="37">
        <v>-5.8914557328801607</v>
      </c>
      <c r="H43" s="33">
        <v>-6.5627535597470796</v>
      </c>
    </row>
    <row r="44" spans="1:8" x14ac:dyDescent="0.2">
      <c r="A44" s="34"/>
      <c r="B44" s="25" t="s">
        <v>241</v>
      </c>
      <c r="C44" s="82">
        <v>272.91840764852549</v>
      </c>
      <c r="D44" s="82">
        <v>272.47375942701893</v>
      </c>
      <c r="E44" s="82">
        <v>255.33678207817118</v>
      </c>
      <c r="F44" s="27"/>
      <c r="G44" s="28">
        <v>-6.4420812512568091</v>
      </c>
      <c r="H44" s="29">
        <v>-6.2894046696037265</v>
      </c>
    </row>
    <row r="45" spans="1:8" x14ac:dyDescent="0.2">
      <c r="A45" s="30" t="s">
        <v>67</v>
      </c>
      <c r="B45" s="31" t="s">
        <v>3</v>
      </c>
      <c r="C45" s="80">
        <v>210.54857297526402</v>
      </c>
      <c r="D45" s="80">
        <v>260.4578817998231</v>
      </c>
      <c r="E45" s="83">
        <v>361.74830139046975</v>
      </c>
      <c r="F45" s="22" t="s">
        <v>240</v>
      </c>
      <c r="G45" s="37">
        <v>71.812278885865055</v>
      </c>
      <c r="H45" s="33">
        <v>38.889366254039572</v>
      </c>
    </row>
    <row r="46" spans="1:8" x14ac:dyDescent="0.2">
      <c r="A46" s="30"/>
      <c r="B46" s="25" t="s">
        <v>241</v>
      </c>
      <c r="C46" s="82">
        <v>57.78025371101095</v>
      </c>
      <c r="D46" s="82">
        <v>58.637037066404822</v>
      </c>
      <c r="E46" s="82">
        <v>86.627719120109035</v>
      </c>
      <c r="F46" s="27"/>
      <c r="G46" s="28">
        <v>49.926166045201597</v>
      </c>
      <c r="H46" s="29">
        <v>47.735498678088959</v>
      </c>
    </row>
    <row r="47" spans="1:8" x14ac:dyDescent="0.2">
      <c r="A47" s="39" t="s">
        <v>56</v>
      </c>
      <c r="B47" s="31" t="s">
        <v>3</v>
      </c>
      <c r="C47" s="80">
        <v>11.505510489894391</v>
      </c>
      <c r="D47" s="80">
        <v>12.881169673480818</v>
      </c>
      <c r="E47" s="83">
        <v>8.6867613608587231</v>
      </c>
      <c r="F47" s="22" t="s">
        <v>240</v>
      </c>
      <c r="G47" s="23">
        <v>-24.499122672665891</v>
      </c>
      <c r="H47" s="24">
        <v>-32.562324842730376</v>
      </c>
    </row>
    <row r="48" spans="1:8" x14ac:dyDescent="0.2">
      <c r="A48" s="34"/>
      <c r="B48" s="25" t="s">
        <v>241</v>
      </c>
      <c r="C48" s="82">
        <v>3.6710328553634159</v>
      </c>
      <c r="D48" s="82">
        <v>3.0194225483170141</v>
      </c>
      <c r="E48" s="82">
        <v>2.2338008344486013</v>
      </c>
      <c r="F48" s="27"/>
      <c r="G48" s="38">
        <v>-39.150617211584034</v>
      </c>
      <c r="H48" s="24">
        <v>-26.018939095036814</v>
      </c>
    </row>
    <row r="49" spans="1:9" x14ac:dyDescent="0.2">
      <c r="A49" s="39" t="s">
        <v>68</v>
      </c>
      <c r="B49" s="31" t="s">
        <v>3</v>
      </c>
      <c r="C49" s="80">
        <v>2.3011466640619331</v>
      </c>
      <c r="D49" s="80">
        <v>3.7623079452682671</v>
      </c>
      <c r="E49" s="83">
        <v>2.1148100407540791</v>
      </c>
      <c r="F49" s="22" t="s">
        <v>240</v>
      </c>
      <c r="G49" s="37">
        <v>-8.0975552848481556</v>
      </c>
      <c r="H49" s="33">
        <v>-43.789554934922137</v>
      </c>
    </row>
    <row r="50" spans="1:9" x14ac:dyDescent="0.2">
      <c r="A50" s="34"/>
      <c r="B50" s="25" t="s">
        <v>241</v>
      </c>
      <c r="C50" s="82">
        <v>0.89201616835474296</v>
      </c>
      <c r="D50" s="82">
        <v>0.94560100915680068</v>
      </c>
      <c r="E50" s="82">
        <v>0.60209773792824439</v>
      </c>
      <c r="F50" s="27"/>
      <c r="G50" s="28">
        <v>-32.501477070895632</v>
      </c>
      <c r="H50" s="29">
        <v>-36.32644930601974</v>
      </c>
    </row>
    <row r="51" spans="1:9" x14ac:dyDescent="0.2">
      <c r="A51" s="30" t="s">
        <v>69</v>
      </c>
      <c r="B51" s="31" t="s">
        <v>3</v>
      </c>
      <c r="C51" s="80">
        <v>163.22258306637769</v>
      </c>
      <c r="D51" s="80">
        <v>184.06570013001772</v>
      </c>
      <c r="E51" s="83">
        <v>193.24678779160323</v>
      </c>
      <c r="F51" s="22" t="s">
        <v>240</v>
      </c>
      <c r="G51" s="23">
        <v>18.394638879728788</v>
      </c>
      <c r="H51" s="24">
        <v>4.987940531614683</v>
      </c>
    </row>
    <row r="52" spans="1:9" ht="13.5" thickBot="1" x14ac:dyDescent="0.25">
      <c r="A52" s="56"/>
      <c r="B52" s="42" t="s">
        <v>241</v>
      </c>
      <c r="C52" s="86">
        <v>42.800563050198271</v>
      </c>
      <c r="D52" s="86">
        <v>58.611604024817304</v>
      </c>
      <c r="E52" s="86">
        <v>57.431744842619665</v>
      </c>
      <c r="F52" s="44"/>
      <c r="G52" s="57">
        <v>34.18455447714868</v>
      </c>
      <c r="H52" s="46">
        <v>-2.0130129550763769</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G61" s="53"/>
      <c r="H61" s="208">
        <v>26</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200">
        <v>27</v>
      </c>
      <c r="H52" s="54" t="str">
        <f>+Innhold!B123</f>
        <v>Finans Norge / Skadeforsikringsstatistikk</v>
      </c>
      <c r="N52" s="200">
        <v>28</v>
      </c>
    </row>
    <row r="53" spans="1:14" ht="12.75" customHeight="1" x14ac:dyDescent="0.2">
      <c r="A53" s="54" t="str">
        <f>+Innhold!B124</f>
        <v>Skadestatistikk for landbasert forsikring 1. kvartal 2023</v>
      </c>
      <c r="G53" s="201"/>
      <c r="H53" s="54" t="str">
        <f>+Innhold!B124</f>
        <v>Skadestatistikk for landbasert forsikring 1. kvartal 2023</v>
      </c>
      <c r="N53" s="201"/>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c r="B46" s="73"/>
      <c r="C46" s="73"/>
      <c r="D46" s="73"/>
      <c r="E46" s="73"/>
      <c r="F46" s="73"/>
      <c r="G46" s="73"/>
      <c r="M46" s="77"/>
    </row>
    <row r="47" spans="1:13" ht="15.6" customHeight="1" x14ac:dyDescent="0.25">
      <c r="A47" s="93"/>
      <c r="B47" s="73"/>
      <c r="C47" s="73"/>
      <c r="D47" s="73"/>
      <c r="E47" s="73"/>
      <c r="F47" s="73"/>
      <c r="G47" s="73"/>
      <c r="M47" s="77"/>
    </row>
    <row r="48" spans="1:13" ht="15.6" customHeight="1" x14ac:dyDescent="0.25">
      <c r="A48" s="148" t="s">
        <v>231</v>
      </c>
      <c r="B48" s="73"/>
      <c r="C48" s="73"/>
      <c r="D48" s="73"/>
      <c r="E48" s="73"/>
      <c r="F48" s="73"/>
      <c r="G48" s="73"/>
      <c r="M48" s="77"/>
    </row>
    <row r="49" spans="1:13" ht="15.6" customHeight="1" x14ac:dyDescent="0.25">
      <c r="A49" s="148" t="s">
        <v>232</v>
      </c>
      <c r="B49" s="73"/>
      <c r="C49" s="73"/>
      <c r="D49" s="73"/>
      <c r="E49" s="73"/>
      <c r="F49" s="73"/>
      <c r="G49" s="73"/>
      <c r="M49" s="77"/>
    </row>
    <row r="50" spans="1:13" ht="15.6" customHeight="1" x14ac:dyDescent="0.2">
      <c r="A50" s="149" t="s">
        <v>233</v>
      </c>
      <c r="B50" s="52"/>
      <c r="C50" s="52"/>
      <c r="D50" s="52"/>
      <c r="E50" s="52"/>
      <c r="F50" s="52"/>
      <c r="G50" s="52"/>
      <c r="H50" s="77"/>
    </row>
    <row r="51" spans="1:13" ht="15.6" customHeight="1" x14ac:dyDescent="0.2">
      <c r="A51" s="54" t="str">
        <f>+Innhold!B123</f>
        <v>Finans Norge / Skadeforsikringsstatistikk</v>
      </c>
      <c r="G51" s="200">
        <v>3</v>
      </c>
      <c r="H51" s="77"/>
    </row>
    <row r="52" spans="1:13" ht="15.6" customHeight="1" x14ac:dyDescent="0.2">
      <c r="A52" s="54" t="str">
        <f>+Innhold!B124</f>
        <v>Skadestatistikk for landbasert forsikring 1. kvartal 2023</v>
      </c>
      <c r="G52" s="201"/>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35"/>
  <sheetViews>
    <sheetView showGridLines="0" showRowColHeaders="0" zoomScaleNormal="100" workbookViewId="0"/>
  </sheetViews>
  <sheetFormatPr defaultColWidth="11.42578125" defaultRowHeight="12.75" x14ac:dyDescent="0.2"/>
  <cols>
    <col min="1" max="1" width="26.42578125" style="168" customWidth="1"/>
    <col min="2" max="2" width="8.140625" style="168" customWidth="1"/>
    <col min="3" max="4" width="10.42578125" style="168" customWidth="1"/>
    <col min="5" max="5" width="9.85546875" style="168" customWidth="1"/>
    <col min="6" max="6" width="1.5703125" style="168" customWidth="1"/>
    <col min="7" max="7" width="7.5703125" style="168" customWidth="1"/>
    <col min="8" max="8" width="8.85546875" style="168" customWidth="1"/>
    <col min="9" max="21" width="11.42578125" style="168" customWidth="1"/>
    <col min="22" max="22" width="15.42578125" style="168" customWidth="1"/>
    <col min="23" max="16384" width="11.42578125" style="168"/>
  </cols>
  <sheetData>
    <row r="1" spans="1:36" s="1" customFormat="1" ht="5.25" customHeight="1" x14ac:dyDescent="0.2"/>
    <row r="2" spans="1:36" s="1" customFormat="1" x14ac:dyDescent="0.2">
      <c r="A2" s="146" t="s">
        <v>0</v>
      </c>
      <c r="B2" s="2"/>
      <c r="C2" s="2"/>
      <c r="D2" s="2"/>
      <c r="E2" s="2"/>
      <c r="F2" s="2"/>
      <c r="G2" s="2"/>
    </row>
    <row r="3" spans="1:36" s="1" customFormat="1" ht="6" customHeight="1" x14ac:dyDescent="0.2">
      <c r="A3" s="147"/>
      <c r="B3" s="2"/>
      <c r="C3" s="2"/>
      <c r="D3" s="2"/>
      <c r="E3" s="2"/>
      <c r="F3" s="2"/>
      <c r="G3" s="2"/>
    </row>
    <row r="4" spans="1:36" s="1" customFormat="1" ht="12.75" customHeight="1" x14ac:dyDescent="0.2">
      <c r="A4" s="202" t="s">
        <v>90</v>
      </c>
      <c r="B4" s="2"/>
      <c r="C4" s="2"/>
      <c r="D4" s="2"/>
      <c r="E4" s="2"/>
      <c r="F4" s="2"/>
      <c r="G4" s="2"/>
      <c r="H4" s="67"/>
    </row>
    <row r="5" spans="1:36" s="1" customFormat="1" ht="12.75" customHeight="1" x14ac:dyDescent="0.2">
      <c r="A5" s="202"/>
      <c r="B5" s="2"/>
      <c r="C5" s="2"/>
      <c r="D5" s="2"/>
      <c r="E5" s="2"/>
      <c r="F5" s="2"/>
      <c r="G5" s="2"/>
      <c r="H5" s="67"/>
    </row>
    <row r="6" spans="1:36" s="1" customFormat="1"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147"/>
      <c r="B7" s="2"/>
      <c r="C7" s="2"/>
      <c r="D7" s="2"/>
      <c r="E7" s="2"/>
      <c r="F7" s="2"/>
      <c r="G7" s="2"/>
      <c r="H7" s="67"/>
      <c r="V7" s="88"/>
      <c r="AJ7" s="88"/>
    </row>
    <row r="8" spans="1:36" s="1" customFormat="1" x14ac:dyDescent="0.2">
      <c r="A8" s="147"/>
      <c r="B8" s="2"/>
      <c r="C8" s="2"/>
      <c r="D8" s="2"/>
      <c r="E8" s="2"/>
      <c r="F8" s="2"/>
      <c r="G8" s="2"/>
      <c r="H8" s="67"/>
    </row>
    <row r="9" spans="1:36" s="1" customFormat="1" x14ac:dyDescent="0.2">
      <c r="A9" s="147"/>
      <c r="B9" s="2"/>
      <c r="C9" s="2"/>
      <c r="D9" s="2"/>
      <c r="E9" s="2"/>
      <c r="F9" s="2"/>
      <c r="G9" s="2"/>
      <c r="H9" s="67"/>
    </row>
    <row r="10" spans="1:36" s="1" customFormat="1" x14ac:dyDescent="0.2">
      <c r="A10" s="147"/>
      <c r="B10" s="2"/>
      <c r="C10" s="2"/>
      <c r="D10" s="2"/>
      <c r="E10" s="2"/>
      <c r="F10" s="2"/>
      <c r="G10" s="2"/>
      <c r="H10" s="67"/>
    </row>
    <row r="11" spans="1:36" s="1" customFormat="1" x14ac:dyDescent="0.2">
      <c r="A11" s="147"/>
      <c r="B11" s="2"/>
      <c r="C11" s="2"/>
      <c r="D11" s="2"/>
      <c r="E11" s="2"/>
      <c r="F11" s="2"/>
      <c r="G11" s="2"/>
      <c r="H11" s="67"/>
    </row>
    <row r="12" spans="1:36" s="1" customFormat="1" x14ac:dyDescent="0.2">
      <c r="A12" s="147"/>
      <c r="B12" s="2"/>
      <c r="C12" s="2"/>
      <c r="D12" s="2"/>
      <c r="E12" s="2"/>
      <c r="F12" s="2"/>
      <c r="G12" s="2"/>
      <c r="H12" s="67"/>
    </row>
    <row r="13" spans="1:36" s="1" customFormat="1" x14ac:dyDescent="0.2">
      <c r="A13" s="147"/>
      <c r="B13" s="2"/>
      <c r="C13" s="2"/>
      <c r="D13" s="2"/>
      <c r="E13" s="2"/>
      <c r="F13" s="2"/>
      <c r="G13" s="2"/>
      <c r="H13" s="67"/>
    </row>
    <row r="14" spans="1:36" s="1" customFormat="1" x14ac:dyDescent="0.2">
      <c r="A14" s="147"/>
      <c r="B14" s="2"/>
      <c r="C14" s="2"/>
      <c r="D14" s="2"/>
      <c r="E14" s="2"/>
      <c r="F14" s="2"/>
      <c r="G14" s="2"/>
      <c r="H14" s="67"/>
    </row>
    <row r="15" spans="1:36" s="1" customFormat="1" x14ac:dyDescent="0.2">
      <c r="A15" s="147"/>
      <c r="B15" s="2"/>
      <c r="C15" s="2"/>
      <c r="D15" s="2"/>
      <c r="E15" s="2"/>
      <c r="F15" s="2"/>
      <c r="G15" s="2"/>
      <c r="H15" s="67"/>
    </row>
    <row r="16" spans="1:36" s="1" customFormat="1" x14ac:dyDescent="0.2">
      <c r="A16" s="147"/>
      <c r="B16" s="2"/>
      <c r="C16" s="2"/>
      <c r="D16" s="2"/>
      <c r="E16" s="2"/>
      <c r="F16" s="2"/>
      <c r="G16" s="2"/>
      <c r="H16" s="67"/>
    </row>
    <row r="17" spans="1:30" s="1" customFormat="1" x14ac:dyDescent="0.2">
      <c r="A17" s="147"/>
      <c r="B17" s="2"/>
      <c r="C17" s="2"/>
      <c r="D17" s="2"/>
      <c r="E17" s="2"/>
      <c r="F17" s="2"/>
      <c r="G17" s="2"/>
      <c r="H17" s="67"/>
    </row>
    <row r="18" spans="1:30" s="1" customFormat="1" x14ac:dyDescent="0.2">
      <c r="A18" s="147"/>
      <c r="B18" s="2"/>
      <c r="C18" s="2"/>
      <c r="D18" s="2"/>
      <c r="E18" s="2"/>
      <c r="F18" s="2"/>
      <c r="G18" s="2"/>
      <c r="H18" s="67"/>
    </row>
    <row r="19" spans="1:30" s="1" customFormat="1" x14ac:dyDescent="0.2">
      <c r="A19" s="147"/>
      <c r="B19" s="2"/>
      <c r="C19" s="2"/>
      <c r="D19" s="2"/>
      <c r="E19" s="2"/>
      <c r="F19" s="2"/>
      <c r="G19" s="2"/>
      <c r="H19" s="67"/>
    </row>
    <row r="20" spans="1:30" s="1" customFormat="1" x14ac:dyDescent="0.2">
      <c r="A20" s="147"/>
      <c r="B20" s="2"/>
      <c r="C20" s="2"/>
      <c r="D20" s="2"/>
      <c r="E20" s="2"/>
      <c r="F20" s="2"/>
      <c r="G20" s="2"/>
      <c r="H20" s="67"/>
    </row>
    <row r="21" spans="1:30" s="1" customFormat="1" x14ac:dyDescent="0.2">
      <c r="A21" s="147"/>
      <c r="B21" s="2"/>
      <c r="C21" s="2"/>
      <c r="D21" s="2"/>
      <c r="E21" s="2"/>
      <c r="F21" s="2"/>
      <c r="G21" s="2"/>
      <c r="H21" s="67"/>
    </row>
    <row r="22" spans="1:30" s="1" customFormat="1" x14ac:dyDescent="0.2">
      <c r="A22" s="147"/>
      <c r="B22" s="2"/>
      <c r="C22" s="2"/>
      <c r="D22" s="2"/>
      <c r="E22" s="2"/>
      <c r="F22" s="2"/>
      <c r="G22" s="2"/>
      <c r="H22" s="67"/>
    </row>
    <row r="23" spans="1:30" s="1" customFormat="1" x14ac:dyDescent="0.2">
      <c r="A23" s="147"/>
      <c r="B23" s="2"/>
      <c r="C23" s="2"/>
      <c r="D23" s="2"/>
      <c r="E23" s="2"/>
      <c r="F23" s="2"/>
      <c r="G23" s="2"/>
      <c r="H23" s="67"/>
    </row>
    <row r="24" spans="1:30" s="1" customFormat="1" x14ac:dyDescent="0.2">
      <c r="A24" s="147"/>
      <c r="B24" s="2"/>
      <c r="C24" s="2"/>
      <c r="D24" s="2"/>
      <c r="E24" s="2"/>
      <c r="F24" s="2"/>
      <c r="G24" s="2"/>
      <c r="H24" s="67"/>
    </row>
    <row r="25" spans="1:30" s="1" customFormat="1" x14ac:dyDescent="0.2">
      <c r="A25" s="147"/>
      <c r="B25" s="2"/>
      <c r="C25" s="2"/>
      <c r="D25" s="2"/>
      <c r="E25" s="2"/>
      <c r="F25" s="2"/>
      <c r="G25" s="2"/>
      <c r="H25" s="67"/>
    </row>
    <row r="26" spans="1:30" s="1" customFormat="1" x14ac:dyDescent="0.2">
      <c r="A26" s="147"/>
      <c r="B26" s="2"/>
      <c r="C26" s="2"/>
      <c r="D26" s="2"/>
      <c r="E26" s="2"/>
      <c r="F26" s="2"/>
      <c r="G26" s="2"/>
      <c r="H26" s="67"/>
    </row>
    <row r="27" spans="1:30" s="1" customFormat="1" x14ac:dyDescent="0.2">
      <c r="A27" s="147"/>
      <c r="B27" s="2"/>
      <c r="C27" s="2"/>
      <c r="D27" s="2"/>
      <c r="E27" s="2"/>
      <c r="F27" s="2"/>
      <c r="G27" s="2"/>
      <c r="H27" s="67"/>
    </row>
    <row r="28" spans="1:30" s="1" customFormat="1" x14ac:dyDescent="0.2">
      <c r="A28" s="147"/>
      <c r="B28" s="2"/>
      <c r="C28" s="2"/>
      <c r="D28" s="2"/>
      <c r="E28" s="2"/>
      <c r="F28" s="2"/>
      <c r="G28" s="2"/>
      <c r="H28" s="67"/>
    </row>
    <row r="29" spans="1:30" s="1" customFormat="1" x14ac:dyDescent="0.2">
      <c r="A29" s="147"/>
      <c r="B29" s="2"/>
      <c r="C29" s="2"/>
      <c r="D29" s="2"/>
      <c r="E29" s="2"/>
      <c r="F29" s="2"/>
      <c r="G29" s="2"/>
      <c r="H29" s="67"/>
    </row>
    <row r="30" spans="1:30" s="1" customFormat="1" x14ac:dyDescent="0.2">
      <c r="A30" s="147"/>
      <c r="B30" s="2"/>
      <c r="C30" s="2"/>
      <c r="D30" s="2"/>
      <c r="E30" s="2"/>
      <c r="F30" s="2"/>
      <c r="G30" s="2"/>
      <c r="H30" s="67"/>
    </row>
    <row r="31" spans="1:30" s="1" customFormat="1" x14ac:dyDescent="0.2">
      <c r="A31" s="147"/>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2023</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x14ac:dyDescent="0.2">
      <c r="A33" s="147"/>
      <c r="B33" s="2"/>
      <c r="C33" s="2"/>
      <c r="D33" s="2"/>
      <c r="E33" s="2"/>
      <c r="F33" s="2"/>
      <c r="G33" s="2"/>
      <c r="H33" s="67"/>
    </row>
    <row r="34" spans="1:8" s="1" customFormat="1" x14ac:dyDescent="0.2">
      <c r="A34" s="147"/>
      <c r="B34" s="2"/>
      <c r="C34" s="2"/>
      <c r="D34" s="2"/>
      <c r="E34" s="2"/>
      <c r="F34" s="2"/>
      <c r="G34" s="2"/>
      <c r="H34" s="67"/>
    </row>
    <row r="35" spans="1:8" s="1" customFormat="1" x14ac:dyDescent="0.2">
      <c r="A35" s="147"/>
      <c r="B35" s="2"/>
      <c r="C35" s="2"/>
      <c r="D35" s="2"/>
      <c r="E35" s="2"/>
      <c r="F35" s="2"/>
      <c r="G35" s="2"/>
      <c r="H35" s="67"/>
    </row>
    <row r="36" spans="1:8" s="1" customFormat="1" x14ac:dyDescent="0.2">
      <c r="A36" s="147"/>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s="1" customFormat="1" x14ac:dyDescent="0.2">
      <c r="A49" s="47"/>
      <c r="B49" s="48"/>
      <c r="C49" s="49"/>
      <c r="D49" s="49"/>
      <c r="E49" s="97"/>
      <c r="F49" s="49"/>
      <c r="G49" s="50"/>
      <c r="H49" s="51"/>
    </row>
    <row r="50" spans="1:36" s="1" customFormat="1" x14ac:dyDescent="0.2">
      <c r="A50" s="47"/>
      <c r="B50" s="48"/>
      <c r="C50" s="49"/>
      <c r="D50" s="49"/>
      <c r="E50" s="49"/>
      <c r="F50" s="49"/>
      <c r="G50" s="50"/>
      <c r="H50" s="51"/>
    </row>
    <row r="51" spans="1:36" s="1" customFormat="1" x14ac:dyDescent="0.2">
      <c r="A51" s="47"/>
      <c r="B51" s="48"/>
      <c r="C51" s="49"/>
      <c r="D51" s="49"/>
      <c r="E51" s="49"/>
      <c r="F51" s="49"/>
      <c r="G51" s="50"/>
      <c r="H51" s="51"/>
    </row>
    <row r="52" spans="1:36" s="1" customFormat="1" x14ac:dyDescent="0.2">
      <c r="A52" s="47"/>
      <c r="B52" s="48"/>
      <c r="C52" s="49"/>
      <c r="D52" s="49"/>
      <c r="E52" s="49"/>
      <c r="F52" s="49"/>
      <c r="G52" s="50"/>
      <c r="H52" s="51"/>
    </row>
    <row r="53" spans="1:36" s="1" customFormat="1" x14ac:dyDescent="0.2">
      <c r="A53" s="47"/>
      <c r="B53" s="48"/>
      <c r="C53" s="49"/>
      <c r="D53" s="49"/>
      <c r="E53" s="49"/>
      <c r="F53" s="49"/>
      <c r="G53" s="50"/>
      <c r="H53" s="51"/>
    </row>
    <row r="54" spans="1:36" s="1" customFormat="1" x14ac:dyDescent="0.2">
      <c r="A54" s="47"/>
      <c r="B54" s="48"/>
      <c r="C54" s="49"/>
      <c r="D54" s="49"/>
      <c r="E54" s="49"/>
      <c r="F54" s="49"/>
      <c r="G54" s="50"/>
      <c r="H54" s="51"/>
    </row>
    <row r="55" spans="1:36" s="1" customFormat="1" x14ac:dyDescent="0.2">
      <c r="A55" s="47"/>
      <c r="B55" s="48"/>
      <c r="C55" s="49"/>
      <c r="D55" s="49"/>
      <c r="E55" s="49"/>
      <c r="F55" s="49"/>
      <c r="G55" s="50"/>
      <c r="H55" s="51"/>
    </row>
    <row r="56" spans="1:36" s="1" customFormat="1" x14ac:dyDescent="0.2">
      <c r="A56" s="47"/>
      <c r="B56" s="48"/>
      <c r="C56" s="49"/>
      <c r="D56" s="49"/>
      <c r="E56" s="49"/>
      <c r="F56" s="49"/>
      <c r="G56" s="50"/>
      <c r="H56" s="51"/>
    </row>
    <row r="57" spans="1:36" s="1" customFormat="1" x14ac:dyDescent="0.2">
      <c r="A57" s="47"/>
      <c r="B57" s="48"/>
      <c r="C57" s="49"/>
      <c r="D57" s="49"/>
      <c r="E57" s="49"/>
      <c r="F57" s="49"/>
      <c r="G57" s="50"/>
      <c r="H57" s="51"/>
    </row>
    <row r="58" spans="1:36" s="1" customFormat="1" x14ac:dyDescent="0.2">
      <c r="A58" s="47"/>
      <c r="B58" s="48"/>
      <c r="C58" s="49"/>
      <c r="D58" s="49"/>
      <c r="E58" s="49"/>
      <c r="F58" s="49"/>
      <c r="G58" s="50"/>
      <c r="H58" s="51"/>
    </row>
    <row r="59" spans="1:36" s="1" customFormat="1" x14ac:dyDescent="0.2">
      <c r="A59" s="47"/>
      <c r="B59" s="48"/>
      <c r="C59" s="49"/>
      <c r="D59" s="49"/>
      <c r="E59" s="49"/>
      <c r="F59" s="49"/>
      <c r="G59" s="50"/>
      <c r="H59" s="51"/>
    </row>
    <row r="60" spans="1:36" s="1" customForma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s="1" customFormat="1" x14ac:dyDescent="0.2">
      <c r="A61" s="54" t="str">
        <f>+Innhold!B123</f>
        <v>Finans Norge / Skadeforsikringsstatistikk</v>
      </c>
      <c r="H61" s="200">
        <v>4</v>
      </c>
      <c r="I61" s="54" t="str">
        <f>+Innhold!B123</f>
        <v>Finans Norge / Skadeforsikringsstatistikk</v>
      </c>
      <c r="O61" s="200">
        <v>5</v>
      </c>
      <c r="P61" s="54" t="str">
        <f>+Innhold!B123</f>
        <v>Finans Norge / Skadeforsikringsstatistikk</v>
      </c>
      <c r="V61" s="200">
        <v>6</v>
      </c>
      <c r="W61" s="54" t="str">
        <f>+Innhold!B123</f>
        <v>Finans Norge / Skadeforsikringsstatistikk</v>
      </c>
      <c r="AC61" s="200">
        <v>7</v>
      </c>
      <c r="AD61" s="54" t="str">
        <f>+Innhold!B123</f>
        <v>Finans Norge / Skadeforsikringsstatistikk</v>
      </c>
      <c r="AJ61" s="200">
        <v>8</v>
      </c>
    </row>
    <row r="62" spans="1:36" s="1" customFormat="1" x14ac:dyDescent="0.2">
      <c r="A62" s="54" t="str">
        <f>+Innhold!B124</f>
        <v>Skadestatistikk for landbasert forsikring 1. kvartal 2023</v>
      </c>
      <c r="H62" s="201"/>
      <c r="I62" s="54" t="str">
        <f>+Innhold!B124</f>
        <v>Skadestatistikk for landbasert forsikring 1. kvartal 2023</v>
      </c>
      <c r="O62" s="201"/>
      <c r="P62" s="54" t="str">
        <f>+Innhold!B124</f>
        <v>Skadestatistikk for landbasert forsikring 1. kvartal 2023</v>
      </c>
      <c r="V62" s="201"/>
      <c r="W62" s="54" t="str">
        <f>+Innhold!B124</f>
        <v>Skadestatistikk for landbasert forsikring 1. kvartal 2023</v>
      </c>
      <c r="AC62" s="201"/>
      <c r="AD62" s="54" t="str">
        <f>+Innhold!B124</f>
        <v>Skadestatistikk for landbasert forsikring 1. kvartal 2023</v>
      </c>
      <c r="AJ62" s="201"/>
    </row>
    <row r="67" spans="1:26" ht="12.75" customHeight="1" x14ac:dyDescent="0.2"/>
    <row r="68" spans="1:26" ht="12.75" customHeight="1" x14ac:dyDescent="0.2">
      <c r="M68" s="169" t="s">
        <v>177</v>
      </c>
      <c r="P68" s="169" t="s">
        <v>179</v>
      </c>
      <c r="S68" s="169" t="s">
        <v>178</v>
      </c>
    </row>
    <row r="69" spans="1:26" x14ac:dyDescent="0.2">
      <c r="A69" s="170" t="s">
        <v>183</v>
      </c>
      <c r="B69" s="171"/>
      <c r="C69" s="171"/>
      <c r="D69" s="171" t="s">
        <v>74</v>
      </c>
      <c r="E69" s="171"/>
      <c r="F69" s="171"/>
      <c r="G69" s="171"/>
      <c r="H69" s="170"/>
      <c r="I69" s="172">
        <v>171.72416666666666</v>
      </c>
      <c r="J69" s="173" t="s">
        <v>234</v>
      </c>
      <c r="M69" s="169" t="s">
        <v>161</v>
      </c>
      <c r="P69" s="169" t="s">
        <v>175</v>
      </c>
      <c r="S69" s="169" t="s">
        <v>176</v>
      </c>
      <c r="V69" s="170" t="s">
        <v>184</v>
      </c>
      <c r="W69" s="171"/>
      <c r="X69" s="171"/>
      <c r="Y69" s="171"/>
      <c r="Z69" s="171"/>
    </row>
    <row r="70" spans="1:26" x14ac:dyDescent="0.2">
      <c r="A70" s="171" t="s">
        <v>75</v>
      </c>
      <c r="B70" s="171" t="s">
        <v>76</v>
      </c>
      <c r="C70" s="171" t="s">
        <v>26</v>
      </c>
      <c r="D70" s="171" t="s">
        <v>77</v>
      </c>
      <c r="E70" s="171"/>
      <c r="F70" s="171"/>
      <c r="G70" s="171"/>
      <c r="I70" s="174" t="s">
        <v>159</v>
      </c>
      <c r="J70" s="168" t="s">
        <v>229</v>
      </c>
      <c r="K70" s="174" t="s">
        <v>76</v>
      </c>
      <c r="L70" s="174" t="s">
        <v>108</v>
      </c>
      <c r="M70" s="174" t="s">
        <v>157</v>
      </c>
      <c r="N70" s="174" t="s">
        <v>158</v>
      </c>
      <c r="O70" s="174" t="s">
        <v>108</v>
      </c>
      <c r="P70" s="174" t="s">
        <v>157</v>
      </c>
      <c r="Q70" s="174" t="s">
        <v>158</v>
      </c>
      <c r="R70" s="174" t="s">
        <v>108</v>
      </c>
      <c r="S70" s="174" t="s">
        <v>157</v>
      </c>
      <c r="T70" s="174" t="s">
        <v>158</v>
      </c>
      <c r="V70" s="171" t="s">
        <v>81</v>
      </c>
      <c r="W70" s="171"/>
      <c r="X70" s="175" t="str">
        <f>+'Tab3'!C6</f>
        <v>2021</v>
      </c>
      <c r="Y70" s="175" t="str">
        <f>+'Tab3'!D6</f>
        <v>2022</v>
      </c>
      <c r="Z70" s="175" t="str">
        <f>+'Tab3'!E6</f>
        <v>2023</v>
      </c>
    </row>
    <row r="71" spans="1:26" x14ac:dyDescent="0.2">
      <c r="A71" s="171">
        <v>1</v>
      </c>
      <c r="B71" s="171">
        <v>1983</v>
      </c>
      <c r="C71" s="171">
        <v>97</v>
      </c>
      <c r="D71" s="171">
        <v>78.3</v>
      </c>
      <c r="E71" s="171"/>
      <c r="F71" s="171"/>
      <c r="G71" s="171"/>
      <c r="I71" s="176">
        <v>53.8</v>
      </c>
      <c r="J71" s="168">
        <v>1</v>
      </c>
      <c r="K71" s="168">
        <v>1983</v>
      </c>
      <c r="L71" s="177">
        <v>11621</v>
      </c>
      <c r="M71" s="176">
        <v>80.900000000000006</v>
      </c>
      <c r="N71" s="176">
        <f t="shared" ref="N71:N102" si="0">M71/I71*$I$69</f>
        <v>258.22462980173481</v>
      </c>
      <c r="V71" s="171"/>
      <c r="W71" s="171"/>
      <c r="X71" s="171"/>
      <c r="Y71" s="171"/>
      <c r="Z71" s="171"/>
    </row>
    <row r="72" spans="1:26" x14ac:dyDescent="0.2">
      <c r="A72" s="171">
        <v>2</v>
      </c>
      <c r="B72" s="171"/>
      <c r="C72" s="171">
        <v>78.8</v>
      </c>
      <c r="D72" s="171">
        <v>61.3</v>
      </c>
      <c r="E72" s="171"/>
      <c r="F72" s="171"/>
      <c r="G72" s="171"/>
      <c r="I72" s="176">
        <v>54.7</v>
      </c>
      <c r="J72" s="168">
        <v>2</v>
      </c>
      <c r="L72" s="177">
        <v>11120</v>
      </c>
      <c r="M72" s="176">
        <v>68.900000000000006</v>
      </c>
      <c r="N72" s="176">
        <f t="shared" si="0"/>
        <v>216.30338360755638</v>
      </c>
      <c r="V72" s="171" t="s">
        <v>26</v>
      </c>
      <c r="W72" s="171"/>
      <c r="X72" s="178">
        <f>IF('Tab6'!C36="",'Tab6'!C35,'Tab6'!C36)</f>
        <v>4346.5809320392218</v>
      </c>
      <c r="Y72" s="178">
        <f>IF('Tab6'!D36="",'Tab6'!D35,'Tab6'!D36)</f>
        <v>4836.7416705058095</v>
      </c>
      <c r="Z72" s="178">
        <f>IF('Tab6'!E36="",'Tab6'!E35,'Tab6'!E36)</f>
        <v>5502.8658901139079</v>
      </c>
    </row>
    <row r="73" spans="1:26" x14ac:dyDescent="0.2">
      <c r="A73" s="171">
        <v>3</v>
      </c>
      <c r="B73" s="171"/>
      <c r="C73" s="171">
        <v>84.8</v>
      </c>
      <c r="D73" s="171">
        <v>63</v>
      </c>
      <c r="E73" s="171"/>
      <c r="F73" s="171"/>
      <c r="G73" s="171"/>
      <c r="I73" s="176">
        <v>55.3</v>
      </c>
      <c r="J73" s="168">
        <v>3</v>
      </c>
      <c r="L73" s="177">
        <v>11918</v>
      </c>
      <c r="M73" s="176">
        <v>63.7</v>
      </c>
      <c r="N73" s="176">
        <f t="shared" si="0"/>
        <v>197.80885021097049</v>
      </c>
      <c r="V73" s="171"/>
      <c r="W73" s="171"/>
      <c r="X73" s="178"/>
      <c r="Y73" s="178"/>
      <c r="Z73" s="178"/>
    </row>
    <row r="74" spans="1:26" x14ac:dyDescent="0.2">
      <c r="A74" s="171">
        <v>4</v>
      </c>
      <c r="B74" s="171"/>
      <c r="C74" s="171">
        <v>91.2</v>
      </c>
      <c r="D74" s="171">
        <v>70.8</v>
      </c>
      <c r="E74" s="171"/>
      <c r="F74" s="171"/>
      <c r="G74" s="171"/>
      <c r="I74" s="176">
        <v>56.2</v>
      </c>
      <c r="J74" s="168">
        <v>4</v>
      </c>
      <c r="L74" s="177">
        <v>11905</v>
      </c>
      <c r="M74" s="176">
        <v>79.3</v>
      </c>
      <c r="N74" s="176">
        <f t="shared" si="0"/>
        <v>242.30829922894424</v>
      </c>
      <c r="V74" s="171" t="s">
        <v>63</v>
      </c>
      <c r="W74" s="171"/>
      <c r="X74" s="178">
        <f>IF('Tab6'!C36="",'Tab6'!C45+'Tab6'!C47,'Tab6'!C46+'Tab6'!C48)</f>
        <v>32.126135816742334</v>
      </c>
      <c r="Y74" s="178">
        <f>IF('Tab6'!D36="",'Tab6'!D45+'Tab6'!D47,'Tab6'!D46+'Tab6'!D48)</f>
        <v>39.837669286281852</v>
      </c>
      <c r="Z74" s="178">
        <f>IF('Tab6'!E36="",'Tab6'!E45+'Tab6'!E47,'Tab6'!E46+'Tab6'!E48)</f>
        <v>47.476768661491946</v>
      </c>
    </row>
    <row r="75" spans="1:26" x14ac:dyDescent="0.2">
      <c r="A75" s="171">
        <v>1</v>
      </c>
      <c r="B75" s="171">
        <v>1984</v>
      </c>
      <c r="C75" s="171">
        <v>112.2</v>
      </c>
      <c r="D75" s="171">
        <v>90.4</v>
      </c>
      <c r="E75" s="171"/>
      <c r="F75" s="171"/>
      <c r="G75" s="171"/>
      <c r="I75" s="176">
        <v>57.3</v>
      </c>
      <c r="J75" s="168">
        <v>1</v>
      </c>
      <c r="K75" s="168">
        <v>1984</v>
      </c>
      <c r="L75" s="177">
        <v>13205</v>
      </c>
      <c r="M75" s="176">
        <v>86.7</v>
      </c>
      <c r="N75" s="176">
        <f t="shared" si="0"/>
        <v>259.83394851657943</v>
      </c>
      <c r="V75" s="171" t="s">
        <v>39</v>
      </c>
      <c r="W75" s="171"/>
      <c r="X75" s="178">
        <f>IF('Tab6'!C36="",'Tab6'!C49,'Tab6'!C50)</f>
        <v>349.28489816586006</v>
      </c>
      <c r="Y75" s="178">
        <f>IF('Tab6'!D36="",'Tab6'!D49,'Tab6'!D50)</f>
        <v>409.60663645313167</v>
      </c>
      <c r="Z75" s="178">
        <f>IF('Tab6'!E36="",'Tab6'!E49,'Tab6'!E50)</f>
        <v>478.46245091077117</v>
      </c>
    </row>
    <row r="76" spans="1:26" x14ac:dyDescent="0.2">
      <c r="A76" s="171">
        <v>2</v>
      </c>
      <c r="B76" s="171"/>
      <c r="C76" s="171">
        <v>81.8</v>
      </c>
      <c r="D76" s="171">
        <v>64.400000000000006</v>
      </c>
      <c r="E76" s="171"/>
      <c r="F76" s="171"/>
      <c r="G76" s="171"/>
      <c r="I76" s="176">
        <v>58.2</v>
      </c>
      <c r="J76" s="168">
        <v>2</v>
      </c>
      <c r="L76" s="177">
        <v>12453</v>
      </c>
      <c r="M76" s="176">
        <v>83.3</v>
      </c>
      <c r="N76" s="176">
        <f t="shared" si="0"/>
        <v>245.78390177548678</v>
      </c>
      <c r="V76" s="171" t="s">
        <v>18</v>
      </c>
      <c r="W76" s="171"/>
      <c r="X76" s="178">
        <f>IF('Tab6'!C36="",'Tab6'!C43,'Tab6'!C44)</f>
        <v>74.844381229580634</v>
      </c>
      <c r="Y76" s="178">
        <f>IF('Tab6'!D36="",'Tab6'!D43,'Tab6'!D44)</f>
        <v>65.318115641068118</v>
      </c>
      <c r="Z76" s="178">
        <f>IF('Tab6'!E36="",'Tab6'!E43,'Tab6'!E44)</f>
        <v>63.001375513191135</v>
      </c>
    </row>
    <row r="77" spans="1:26" x14ac:dyDescent="0.2">
      <c r="A77" s="171">
        <v>3</v>
      </c>
      <c r="B77" s="171"/>
      <c r="C77" s="171">
        <v>90.4</v>
      </c>
      <c r="D77" s="171">
        <v>71.099999999999994</v>
      </c>
      <c r="E77" s="171"/>
      <c r="F77" s="171"/>
      <c r="G77" s="171"/>
      <c r="I77" s="176">
        <v>58.7</v>
      </c>
      <c r="J77" s="168">
        <v>3</v>
      </c>
      <c r="L77" s="177">
        <v>12278</v>
      </c>
      <c r="M77" s="176">
        <v>83.3</v>
      </c>
      <c r="N77" s="176">
        <f t="shared" si="0"/>
        <v>243.69034213515044</v>
      </c>
      <c r="V77" s="171" t="s">
        <v>82</v>
      </c>
      <c r="W77" s="171"/>
      <c r="X77" s="178">
        <f>IF('Tab6'!C36="",'Tab6'!C37+'Tab6'!C39,'Tab6'!C38+'Tab6'!C40)</f>
        <v>432.63372008264378</v>
      </c>
      <c r="Y77" s="178">
        <f>IF('Tab6'!D36="",'Tab6'!D37+'Tab6'!D39,'Tab6'!D38+'Tab6'!D40)</f>
        <v>487.67491097650395</v>
      </c>
      <c r="Z77" s="178">
        <f>IF('Tab6'!E36="",'Tab6'!E37+'Tab6'!E39,'Tab6'!E38+'Tab6'!E40)</f>
        <v>519.77764064758696</v>
      </c>
    </row>
    <row r="78" spans="1:26" x14ac:dyDescent="0.2">
      <c r="A78" s="171">
        <v>4</v>
      </c>
      <c r="B78" s="171"/>
      <c r="C78" s="171">
        <v>92.9</v>
      </c>
      <c r="D78" s="171">
        <v>73.900000000000006</v>
      </c>
      <c r="E78" s="171"/>
      <c r="F78" s="171"/>
      <c r="G78" s="171"/>
      <c r="I78" s="176">
        <v>59.6</v>
      </c>
      <c r="J78" s="168">
        <v>4</v>
      </c>
      <c r="L78" s="177">
        <v>11449</v>
      </c>
      <c r="M78" s="176">
        <v>94.6</v>
      </c>
      <c r="N78" s="176">
        <f t="shared" si="0"/>
        <v>272.56889541387022</v>
      </c>
      <c r="V78" s="171" t="s">
        <v>83</v>
      </c>
      <c r="W78" s="171"/>
      <c r="X78" s="179">
        <f>X72-X77-X76-X75-X74</f>
        <v>3457.6917967443956</v>
      </c>
      <c r="Y78" s="179">
        <f>Y72-Y77-Y76-Y75-Y74</f>
        <v>3834.3043381488237</v>
      </c>
      <c r="Z78" s="179">
        <f>Z72-Z77-Z76-Z75-Z74</f>
        <v>4394.1476543808658</v>
      </c>
    </row>
    <row r="79" spans="1:26" x14ac:dyDescent="0.2">
      <c r="A79" s="171">
        <v>1</v>
      </c>
      <c r="B79" s="171">
        <v>1985</v>
      </c>
      <c r="C79" s="171">
        <v>123.4</v>
      </c>
      <c r="D79" s="171">
        <v>100.8</v>
      </c>
      <c r="E79" s="171"/>
      <c r="F79" s="171"/>
      <c r="G79" s="171"/>
      <c r="I79" s="176">
        <v>60.4</v>
      </c>
      <c r="J79" s="168">
        <v>1</v>
      </c>
      <c r="K79" s="168">
        <v>1985</v>
      </c>
      <c r="L79" s="177">
        <v>16918</v>
      </c>
      <c r="M79" s="176">
        <v>103.6</v>
      </c>
      <c r="N79" s="176">
        <f t="shared" si="0"/>
        <v>294.54674944812359</v>
      </c>
      <c r="V79" s="171"/>
      <c r="W79" s="171"/>
      <c r="X79" s="171"/>
      <c r="Y79" s="171"/>
      <c r="Z79" s="171"/>
    </row>
    <row r="80" spans="1:26" x14ac:dyDescent="0.2">
      <c r="A80" s="171">
        <v>2</v>
      </c>
      <c r="B80" s="171"/>
      <c r="C80" s="171">
        <v>102</v>
      </c>
      <c r="D80" s="171">
        <v>81.099999999999994</v>
      </c>
      <c r="E80" s="171"/>
      <c r="F80" s="171"/>
      <c r="G80" s="171"/>
      <c r="I80" s="176">
        <v>61.5</v>
      </c>
      <c r="J80" s="168">
        <v>2</v>
      </c>
      <c r="L80" s="177">
        <v>14237</v>
      </c>
      <c r="M80" s="176">
        <v>115.3</v>
      </c>
      <c r="N80" s="176">
        <f t="shared" si="0"/>
        <v>321.94790921409214</v>
      </c>
      <c r="V80" s="170" t="s">
        <v>162</v>
      </c>
      <c r="W80" s="171"/>
      <c r="X80" s="171"/>
      <c r="Y80" s="171"/>
    </row>
    <row r="81" spans="1:25" x14ac:dyDescent="0.2">
      <c r="A81" s="171">
        <v>3</v>
      </c>
      <c r="B81" s="171"/>
      <c r="C81" s="171">
        <v>108.4</v>
      </c>
      <c r="D81" s="171">
        <v>86</v>
      </c>
      <c r="E81" s="171"/>
      <c r="F81" s="171"/>
      <c r="G81" s="171"/>
      <c r="I81" s="176">
        <v>62</v>
      </c>
      <c r="J81" s="168">
        <v>3</v>
      </c>
      <c r="L81" s="177">
        <v>14329</v>
      </c>
      <c r="M81" s="176">
        <v>103</v>
      </c>
      <c r="N81" s="176">
        <f t="shared" si="0"/>
        <v>285.28369623655914</v>
      </c>
      <c r="V81" s="171"/>
      <c r="W81" s="171"/>
      <c r="X81" s="171"/>
      <c r="Y81" s="171"/>
    </row>
    <row r="82" spans="1:25" x14ac:dyDescent="0.2">
      <c r="A82" s="171">
        <v>4</v>
      </c>
      <c r="B82" s="171"/>
      <c r="C82" s="171">
        <v>109.6</v>
      </c>
      <c r="D82" s="171">
        <v>87.1</v>
      </c>
      <c r="E82" s="171"/>
      <c r="F82" s="171"/>
      <c r="G82" s="171"/>
      <c r="I82" s="176">
        <v>63</v>
      </c>
      <c r="J82" s="168">
        <v>4</v>
      </c>
      <c r="L82" s="177">
        <v>13060</v>
      </c>
      <c r="M82" s="176">
        <v>118.7</v>
      </c>
      <c r="N82" s="176">
        <f t="shared" si="0"/>
        <v>323.55013624338625</v>
      </c>
      <c r="V82" s="171"/>
      <c r="W82" s="175" t="str">
        <f>+'Tab4'!C6</f>
        <v>2021</v>
      </c>
      <c r="X82" s="175" t="str">
        <f>+'Tab4'!D6</f>
        <v>2022</v>
      </c>
      <c r="Y82" s="175" t="str">
        <f>+'Tab4'!E6</f>
        <v>2023</v>
      </c>
    </row>
    <row r="83" spans="1:25" x14ac:dyDescent="0.2">
      <c r="A83" s="171">
        <v>1</v>
      </c>
      <c r="B83" s="171">
        <v>1986</v>
      </c>
      <c r="C83" s="171">
        <v>141</v>
      </c>
      <c r="D83" s="171">
        <v>115.2</v>
      </c>
      <c r="E83" s="171"/>
      <c r="F83" s="171"/>
      <c r="G83" s="171"/>
      <c r="I83" s="176">
        <v>64</v>
      </c>
      <c r="J83" s="168">
        <v>1</v>
      </c>
      <c r="K83" s="168">
        <v>1986</v>
      </c>
      <c r="L83" s="177">
        <v>14314</v>
      </c>
      <c r="M83" s="176">
        <v>111.8</v>
      </c>
      <c r="N83" s="176">
        <f t="shared" si="0"/>
        <v>299.98065364583334</v>
      </c>
      <c r="V83" s="171" t="s">
        <v>84</v>
      </c>
      <c r="W83" s="178">
        <f>IF('Tab4'!C14="",'Tab4'!C13,'Tab4'!C14)</f>
        <v>2965.4204490303</v>
      </c>
      <c r="X83" s="178">
        <f>IF('Tab4'!D14="",'Tab4'!D13,'Tab4'!D14)</f>
        <v>2505.6769390314967</v>
      </c>
      <c r="Y83" s="178">
        <f>IF('Tab4'!E14="",'Tab4'!E13,'Tab4'!E14)</f>
        <v>2558.3572859548399</v>
      </c>
    </row>
    <row r="84" spans="1:25" x14ac:dyDescent="0.2">
      <c r="A84" s="171">
        <v>2</v>
      </c>
      <c r="B84" s="171"/>
      <c r="C84" s="171">
        <v>120.5</v>
      </c>
      <c r="D84" s="171">
        <v>93.2</v>
      </c>
      <c r="E84" s="171"/>
      <c r="F84" s="171"/>
      <c r="G84" s="171"/>
      <c r="I84" s="176">
        <v>65</v>
      </c>
      <c r="J84" s="168">
        <v>2</v>
      </c>
      <c r="L84" s="177">
        <v>13505</v>
      </c>
      <c r="M84" s="176">
        <v>121.5</v>
      </c>
      <c r="N84" s="176">
        <f t="shared" si="0"/>
        <v>320.99209615384615</v>
      </c>
      <c r="V84" s="171" t="s">
        <v>169</v>
      </c>
      <c r="W84" s="178">
        <f>IF('Tab4'!C16="",'Tab4'!C15,'Tab4'!C16)</f>
        <v>1585.4037215067142</v>
      </c>
      <c r="X84" s="178">
        <f>IF('Tab4'!D16="",'Tab4'!D15,'Tab4'!D16)</f>
        <v>1689.9175000707487</v>
      </c>
      <c r="Y84" s="178">
        <f>IF('Tab4'!E16="",'Tab4'!E15,'Tab4'!E16)</f>
        <v>2172.8590638677833</v>
      </c>
    </row>
    <row r="85" spans="1:25" x14ac:dyDescent="0.2">
      <c r="A85" s="171">
        <v>3</v>
      </c>
      <c r="B85" s="171"/>
      <c r="C85" s="171">
        <v>115.7</v>
      </c>
      <c r="D85" s="171">
        <v>91.1</v>
      </c>
      <c r="E85" s="171"/>
      <c r="F85" s="171"/>
      <c r="G85" s="171"/>
      <c r="I85" s="176">
        <v>67</v>
      </c>
      <c r="J85" s="168">
        <v>3</v>
      </c>
      <c r="L85" s="177">
        <v>12132</v>
      </c>
      <c r="M85" s="176">
        <v>100.8</v>
      </c>
      <c r="N85" s="176">
        <f t="shared" si="0"/>
        <v>258.35516417910446</v>
      </c>
      <c r="V85" s="171" t="s">
        <v>7</v>
      </c>
      <c r="W85" s="178">
        <f>IF('Tab4'!C18="",'Tab4'!C17,'Tab4'!C18)</f>
        <v>482.14262646559507</v>
      </c>
      <c r="X85" s="178">
        <f>IF('Tab4'!D18="",'Tab4'!D17,'Tab4'!D18)</f>
        <v>455.45258046041744</v>
      </c>
      <c r="Y85" s="178">
        <f>IF('Tab4'!E18="",'Tab4'!E17,'Tab4'!E18)</f>
        <v>480.09060016829699</v>
      </c>
    </row>
    <row r="86" spans="1:25" x14ac:dyDescent="0.2">
      <c r="A86" s="171">
        <v>4</v>
      </c>
      <c r="B86" s="171"/>
      <c r="C86" s="171">
        <v>114.4</v>
      </c>
      <c r="D86" s="171">
        <v>90.8</v>
      </c>
      <c r="E86" s="171"/>
      <c r="F86" s="171"/>
      <c r="G86" s="171"/>
      <c r="I86" s="176">
        <v>68.5</v>
      </c>
      <c r="J86" s="168">
        <v>4</v>
      </c>
      <c r="L86" s="177">
        <v>11763</v>
      </c>
      <c r="M86" s="176">
        <v>120.6</v>
      </c>
      <c r="N86" s="176">
        <f t="shared" si="0"/>
        <v>302.33481021897808</v>
      </c>
      <c r="V86" s="168" t="s">
        <v>8</v>
      </c>
      <c r="W86" s="178">
        <f>IF('Tab4'!C20="",'Tab4'!C19,'Tab4'!C20)</f>
        <v>609.6751307627203</v>
      </c>
      <c r="X86" s="178">
        <f>IF('Tab4'!D20="",'Tab4'!D19,'Tab4'!D20)</f>
        <v>759.55744125825504</v>
      </c>
      <c r="Y86" s="178">
        <f>IF('Tab4'!E20="",'Tab4'!E19,'Tab4'!E20)</f>
        <v>691.94667116029279</v>
      </c>
    </row>
    <row r="87" spans="1:25" x14ac:dyDescent="0.2">
      <c r="A87" s="171">
        <v>1</v>
      </c>
      <c r="B87" s="171">
        <v>1987</v>
      </c>
      <c r="C87" s="171">
        <v>152.19999999999999</v>
      </c>
      <c r="D87" s="171">
        <v>121.3</v>
      </c>
      <c r="E87" s="171"/>
      <c r="F87" s="171"/>
      <c r="G87" s="171"/>
      <c r="I87" s="176">
        <v>70.5</v>
      </c>
      <c r="J87" s="168">
        <v>1</v>
      </c>
      <c r="K87" s="168">
        <v>1987</v>
      </c>
      <c r="L87" s="177">
        <v>17280</v>
      </c>
      <c r="M87" s="176">
        <v>135.6</v>
      </c>
      <c r="N87" s="176">
        <f t="shared" si="0"/>
        <v>330.29499290780137</v>
      </c>
      <c r="V87" s="171" t="s">
        <v>9</v>
      </c>
      <c r="W87" s="178">
        <f>IF('Tab4'!C20="",'Tab4'!C21,'Tab4'!C22)</f>
        <v>254.93649516953667</v>
      </c>
      <c r="X87" s="178">
        <f>IF('Tab4'!D20="",'Tab4'!D21,'Tab4'!D22)</f>
        <v>283.75611025797389</v>
      </c>
      <c r="Y87" s="178">
        <f>IF('Tab4'!E20="",'Tab4'!E21,'Tab4'!E22)</f>
        <v>217.7168526859424</v>
      </c>
    </row>
    <row r="88" spans="1:25" x14ac:dyDescent="0.2">
      <c r="A88" s="171">
        <v>2</v>
      </c>
      <c r="B88" s="171"/>
      <c r="C88" s="171">
        <v>109.2</v>
      </c>
      <c r="D88" s="171">
        <v>86.1</v>
      </c>
      <c r="E88" s="171"/>
      <c r="F88" s="171"/>
      <c r="G88" s="171"/>
      <c r="I88" s="176">
        <v>71.599999999999994</v>
      </c>
      <c r="J88" s="168">
        <v>2</v>
      </c>
      <c r="L88" s="177">
        <v>12241</v>
      </c>
      <c r="M88" s="176">
        <v>135.9</v>
      </c>
      <c r="N88" s="176">
        <f t="shared" si="0"/>
        <v>325.9401431564246</v>
      </c>
      <c r="V88" s="171" t="s">
        <v>10</v>
      </c>
      <c r="W88" s="178">
        <f>IF('Tab4'!C22="",'Tab4'!C29,'Tab4'!C30)</f>
        <v>110.55182730182818</v>
      </c>
      <c r="X88" s="178">
        <f>IF('Tab4'!D22="",'Tab4'!D29,'Tab4'!D30)</f>
        <v>414.36619515244865</v>
      </c>
      <c r="Y88" s="178">
        <f>IF('Tab4'!E22="",'Tab4'!E29,'Tab4'!E30)</f>
        <v>619.34148160607799</v>
      </c>
    </row>
    <row r="89" spans="1:25" x14ac:dyDescent="0.2">
      <c r="A89" s="171">
        <v>3</v>
      </c>
      <c r="B89" s="171"/>
      <c r="C89" s="171">
        <v>110.1</v>
      </c>
      <c r="D89" s="171">
        <v>87.3</v>
      </c>
      <c r="E89" s="171"/>
      <c r="F89" s="171"/>
      <c r="G89" s="171"/>
      <c r="I89" s="176">
        <v>72.3</v>
      </c>
      <c r="J89" s="168">
        <v>3</v>
      </c>
      <c r="L89" s="177">
        <v>11506</v>
      </c>
      <c r="M89" s="176">
        <v>112.3</v>
      </c>
      <c r="N89" s="176">
        <f t="shared" si="0"/>
        <v>266.73062125403413</v>
      </c>
      <c r="V89" s="171" t="s">
        <v>11</v>
      </c>
      <c r="W89" s="178">
        <f>IF('Tab4'!C30="",'Tab4'!C31,'Tab4'!C32)</f>
        <v>64.208836868916421</v>
      </c>
      <c r="X89" s="178">
        <f>IF('Tab4'!D30="",'Tab4'!D31,'Tab4'!D32)</f>
        <v>81.147399862018034</v>
      </c>
      <c r="Y89" s="178">
        <f>IF('Tab4'!E30="",'Tab4'!E31,'Tab4'!E32)</f>
        <v>74.038735819343103</v>
      </c>
    </row>
    <row r="90" spans="1:25" x14ac:dyDescent="0.2">
      <c r="A90" s="171">
        <v>4</v>
      </c>
      <c r="B90" s="171"/>
      <c r="C90" s="171">
        <v>112</v>
      </c>
      <c r="D90" s="171">
        <v>89.8</v>
      </c>
      <c r="E90" s="171"/>
      <c r="F90" s="171"/>
      <c r="G90" s="171"/>
      <c r="I90" s="176">
        <v>73.599999999999994</v>
      </c>
      <c r="J90" s="168">
        <v>4</v>
      </c>
      <c r="L90" s="177">
        <v>12860</v>
      </c>
      <c r="M90" s="176">
        <v>134.5</v>
      </c>
      <c r="N90" s="176">
        <f t="shared" si="0"/>
        <v>313.81658174818841</v>
      </c>
      <c r="V90" s="171" t="s">
        <v>12</v>
      </c>
      <c r="W90" s="178">
        <f>IF('Tab4'!C32="",'Tab4'!C33,'Tab4'!C34)</f>
        <v>398.64248721138262</v>
      </c>
      <c r="X90" s="178">
        <f>IF('Tab4'!D32="",'Tab4'!D33,'Tab4'!D34)</f>
        <v>414.92680469493013</v>
      </c>
      <c r="Y90" s="178">
        <f>IF('Tab4'!E32="",'Tab4'!E33,'Tab4'!E34)</f>
        <v>420.45726599679239</v>
      </c>
    </row>
    <row r="91" spans="1:25" x14ac:dyDescent="0.2">
      <c r="A91" s="171">
        <v>1</v>
      </c>
      <c r="B91" s="171">
        <v>1988</v>
      </c>
      <c r="C91" s="171">
        <v>134.1</v>
      </c>
      <c r="D91" s="171">
        <v>107.5</v>
      </c>
      <c r="E91" s="171"/>
      <c r="F91" s="171"/>
      <c r="G91" s="171"/>
      <c r="I91" s="176">
        <v>75.2</v>
      </c>
      <c r="J91" s="168">
        <v>1</v>
      </c>
      <c r="K91" s="168">
        <v>1988</v>
      </c>
      <c r="L91" s="177">
        <v>10180</v>
      </c>
      <c r="M91" s="176">
        <v>130.80000000000001</v>
      </c>
      <c r="N91" s="176">
        <f t="shared" si="0"/>
        <v>298.69043882978724</v>
      </c>
      <c r="V91" s="171" t="s">
        <v>13</v>
      </c>
      <c r="W91" s="178">
        <f>IF('Tab4'!C34="",'Tab4'!C35,'Tab4'!C36)</f>
        <v>25.507322123697413</v>
      </c>
      <c r="X91" s="178">
        <f>IF('Tab4'!D34="",'Tab4'!D35,'Tab4'!D36)</f>
        <v>25.872207222590546</v>
      </c>
      <c r="Y91" s="178">
        <f>IF('Tab4'!E34="",'Tab4'!E35,'Tab4'!E36)</f>
        <v>20.316945875929974</v>
      </c>
    </row>
    <row r="92" spans="1:25" x14ac:dyDescent="0.2">
      <c r="A92" s="171">
        <v>2</v>
      </c>
      <c r="B92" s="171"/>
      <c r="C92" s="171">
        <v>113.7</v>
      </c>
      <c r="D92" s="171">
        <v>90</v>
      </c>
      <c r="E92" s="171"/>
      <c r="F92" s="171"/>
      <c r="G92" s="171"/>
      <c r="I92" s="176">
        <v>76.7</v>
      </c>
      <c r="J92" s="168">
        <v>2</v>
      </c>
      <c r="L92" s="177">
        <v>11081</v>
      </c>
      <c r="M92" s="176">
        <v>95.1</v>
      </c>
      <c r="N92" s="176">
        <f t="shared" si="0"/>
        <v>212.92005541069099</v>
      </c>
      <c r="V92" s="171" t="s">
        <v>14</v>
      </c>
      <c r="W92" s="178">
        <f>IF('Tab4'!C38="",'Tab4'!C37,'Tab4'!C38)</f>
        <v>319.62647437515631</v>
      </c>
      <c r="X92" s="178">
        <f>IF('Tab4'!D38="",'Tab4'!D37,'Tab4'!D38)</f>
        <v>360.98911460955628</v>
      </c>
      <c r="Y92" s="178">
        <f>IF('Tab4'!E38="",'Tab4'!E37,'Tab4'!E38)</f>
        <v>368.30294866867189</v>
      </c>
    </row>
    <row r="93" spans="1:25" x14ac:dyDescent="0.2">
      <c r="A93" s="171">
        <v>3</v>
      </c>
      <c r="B93" s="171"/>
      <c r="C93" s="171">
        <v>116.3</v>
      </c>
      <c r="D93" s="171">
        <v>93.1</v>
      </c>
      <c r="E93" s="171"/>
      <c r="F93" s="171"/>
      <c r="G93" s="171"/>
      <c r="I93" s="176">
        <v>77</v>
      </c>
      <c r="J93" s="168">
        <v>3</v>
      </c>
      <c r="L93" s="177">
        <v>15987</v>
      </c>
      <c r="M93" s="176">
        <v>148.69999999999999</v>
      </c>
      <c r="N93" s="176">
        <f t="shared" si="0"/>
        <v>331.62835822510823</v>
      </c>
      <c r="V93" s="171" t="s">
        <v>85</v>
      </c>
      <c r="W93" s="179">
        <f>SUM(W83:W92)</f>
        <v>6816.1153708158472</v>
      </c>
      <c r="X93" s="179">
        <f>SUM(X83:X92)</f>
        <v>6991.6622926204354</v>
      </c>
      <c r="Y93" s="179">
        <f>SUM(Y83:Y92)</f>
        <v>7623.427851803971</v>
      </c>
    </row>
    <row r="94" spans="1:25" x14ac:dyDescent="0.2">
      <c r="A94" s="171">
        <v>4</v>
      </c>
      <c r="B94" s="171"/>
      <c r="C94" s="171">
        <v>115.2</v>
      </c>
      <c r="D94" s="171">
        <v>93.4</v>
      </c>
      <c r="E94" s="171"/>
      <c r="F94" s="171"/>
      <c r="G94" s="171"/>
      <c r="I94" s="176">
        <v>78.099999999999994</v>
      </c>
      <c r="J94" s="168">
        <v>4</v>
      </c>
      <c r="L94" s="177">
        <v>12493</v>
      </c>
      <c r="M94" s="176">
        <v>199.8</v>
      </c>
      <c r="N94" s="176">
        <f t="shared" si="0"/>
        <v>439.31483354673503</v>
      </c>
      <c r="V94" s="171"/>
      <c r="W94" s="171"/>
      <c r="X94" s="171"/>
      <c r="Y94" s="171"/>
    </row>
    <row r="95" spans="1:25" x14ac:dyDescent="0.2">
      <c r="A95" s="171">
        <v>1</v>
      </c>
      <c r="B95" s="171">
        <v>1989</v>
      </c>
      <c r="C95" s="171">
        <v>106.6</v>
      </c>
      <c r="D95" s="171">
        <v>86.4</v>
      </c>
      <c r="E95" s="171"/>
      <c r="F95" s="171"/>
      <c r="G95" s="171"/>
      <c r="I95" s="176">
        <v>78.900000000000006</v>
      </c>
      <c r="J95" s="168">
        <v>1</v>
      </c>
      <c r="K95" s="168">
        <v>1989</v>
      </c>
      <c r="L95" s="177">
        <v>10988</v>
      </c>
      <c r="M95" s="176">
        <v>142.6</v>
      </c>
      <c r="N95" s="176">
        <f t="shared" si="0"/>
        <v>310.36585762568649</v>
      </c>
      <c r="V95" s="171" t="s">
        <v>170</v>
      </c>
      <c r="W95" s="180">
        <f>+W93+X72</f>
        <v>11162.696302855069</v>
      </c>
      <c r="X95" s="180">
        <f>+X93+Y72</f>
        <v>11828.403963126246</v>
      </c>
      <c r="Y95" s="180">
        <f>+Y93+Z72</f>
        <v>13126.293741917878</v>
      </c>
    </row>
    <row r="96" spans="1:25" x14ac:dyDescent="0.2">
      <c r="A96" s="171">
        <v>2</v>
      </c>
      <c r="B96" s="171"/>
      <c r="C96" s="171">
        <v>98</v>
      </c>
      <c r="D96" s="171">
        <v>79.599999999999994</v>
      </c>
      <c r="E96" s="171"/>
      <c r="F96" s="171"/>
      <c r="G96" s="171"/>
      <c r="I96" s="176">
        <v>80.3</v>
      </c>
      <c r="J96" s="168">
        <v>2</v>
      </c>
      <c r="L96" s="177">
        <v>10292</v>
      </c>
      <c r="M96" s="176">
        <v>117.3</v>
      </c>
      <c r="N96" s="176">
        <f t="shared" si="0"/>
        <v>250.84987235367373</v>
      </c>
    </row>
    <row r="97" spans="1:25" x14ac:dyDescent="0.2">
      <c r="A97" s="171">
        <v>3</v>
      </c>
      <c r="B97" s="171"/>
      <c r="C97" s="171">
        <v>96.9</v>
      </c>
      <c r="D97" s="171">
        <v>79</v>
      </c>
      <c r="E97" s="171"/>
      <c r="F97" s="171"/>
      <c r="G97" s="171"/>
      <c r="I97" s="176">
        <v>80.599999999999994</v>
      </c>
      <c r="J97" s="168">
        <v>3</v>
      </c>
      <c r="L97" s="177">
        <v>11352</v>
      </c>
      <c r="M97" s="176">
        <v>103.6</v>
      </c>
      <c r="N97" s="176">
        <f t="shared" si="0"/>
        <v>220.72734077750204</v>
      </c>
      <c r="Y97" s="171"/>
    </row>
    <row r="98" spans="1:25" x14ac:dyDescent="0.2">
      <c r="A98" s="171">
        <v>4</v>
      </c>
      <c r="B98" s="171"/>
      <c r="C98" s="171">
        <v>93.4</v>
      </c>
      <c r="D98" s="171">
        <v>76.8</v>
      </c>
      <c r="E98" s="171"/>
      <c r="F98" s="171"/>
      <c r="G98" s="171"/>
      <c r="I98" s="176">
        <v>81.400000000000006</v>
      </c>
      <c r="J98" s="168">
        <v>4</v>
      </c>
      <c r="L98" s="177">
        <v>11958</v>
      </c>
      <c r="M98" s="176">
        <v>132</v>
      </c>
      <c r="N98" s="176">
        <f t="shared" si="0"/>
        <v>278.47162162162158</v>
      </c>
      <c r="V98" s="170" t="s">
        <v>185</v>
      </c>
      <c r="W98" s="171"/>
      <c r="X98" s="171"/>
      <c r="Y98" s="171"/>
    </row>
    <row r="99" spans="1:25" x14ac:dyDescent="0.2">
      <c r="A99" s="171">
        <v>1</v>
      </c>
      <c r="B99" s="171">
        <v>1990</v>
      </c>
      <c r="C99" s="171">
        <v>99.4</v>
      </c>
      <c r="D99" s="171">
        <v>81.3</v>
      </c>
      <c r="E99" s="171"/>
      <c r="F99" s="171"/>
      <c r="G99" s="171"/>
      <c r="I99" s="176">
        <v>82.3</v>
      </c>
      <c r="J99" s="168">
        <v>1</v>
      </c>
      <c r="K99" s="168">
        <v>1990</v>
      </c>
      <c r="L99" s="177">
        <v>13741</v>
      </c>
      <c r="M99" s="176">
        <v>142.9</v>
      </c>
      <c r="N99" s="176">
        <f t="shared" si="0"/>
        <v>298.16990785743218</v>
      </c>
      <c r="V99" s="171"/>
      <c r="X99" s="171"/>
      <c r="Y99" s="171"/>
    </row>
    <row r="100" spans="1:25" x14ac:dyDescent="0.2">
      <c r="A100" s="171">
        <v>2</v>
      </c>
      <c r="B100" s="171"/>
      <c r="C100" s="171">
        <v>88.6</v>
      </c>
      <c r="D100" s="171">
        <v>73.099999999999994</v>
      </c>
      <c r="E100" s="171"/>
      <c r="F100" s="171"/>
      <c r="G100" s="171"/>
      <c r="I100" s="176">
        <v>83.4</v>
      </c>
      <c r="J100" s="168">
        <v>2</v>
      </c>
      <c r="L100" s="177">
        <v>10045</v>
      </c>
      <c r="M100" s="176">
        <v>116.5</v>
      </c>
      <c r="N100" s="176">
        <f t="shared" si="0"/>
        <v>239.8784822142286</v>
      </c>
      <c r="V100" s="171"/>
      <c r="W100" s="175" t="str">
        <f>+W82</f>
        <v>2021</v>
      </c>
      <c r="X100" s="175" t="str">
        <f>+X82</f>
        <v>2022</v>
      </c>
      <c r="Y100" s="175" t="str">
        <f>+Y82</f>
        <v>2023</v>
      </c>
    </row>
    <row r="101" spans="1:25" x14ac:dyDescent="0.2">
      <c r="A101" s="171">
        <v>3</v>
      </c>
      <c r="B101" s="171"/>
      <c r="C101" s="171">
        <v>88.2</v>
      </c>
      <c r="D101" s="171">
        <v>72.5</v>
      </c>
      <c r="E101" s="171"/>
      <c r="F101" s="171"/>
      <c r="G101" s="171"/>
      <c r="I101" s="176">
        <v>83.7</v>
      </c>
      <c r="J101" s="168">
        <v>3</v>
      </c>
      <c r="L101" s="177">
        <v>10870</v>
      </c>
      <c r="M101" s="176">
        <v>101.4</v>
      </c>
      <c r="N101" s="176">
        <f t="shared" si="0"/>
        <v>208.03859617682198</v>
      </c>
      <c r="V101" s="171" t="s">
        <v>18</v>
      </c>
      <c r="W101" s="181">
        <f>IF('Tab7'!C10="",+'Tab7'!C9+'Tab11'!C9,+'Tab7'!C10+'Tab11'!C10)</f>
        <v>8185.2405021739132</v>
      </c>
      <c r="X101" s="181">
        <f>IF('Tab7'!D10="",+'Tab7'!D9+'Tab11'!D9,+'Tab7'!D10+'Tab11'!D10)</f>
        <v>6900.0468369565215</v>
      </c>
      <c r="Y101" s="181">
        <f>IF('Tab7'!E10="",+'Tab7'!E9+'Tab11'!E9,+'Tab7'!E10+'Tab11'!E10)</f>
        <v>6557.2362137681157</v>
      </c>
    </row>
    <row r="102" spans="1:25" x14ac:dyDescent="0.2">
      <c r="A102" s="171">
        <v>4</v>
      </c>
      <c r="B102" s="171"/>
      <c r="C102" s="171">
        <v>84.8</v>
      </c>
      <c r="D102" s="171">
        <v>70.2</v>
      </c>
      <c r="E102" s="171"/>
      <c r="F102" s="171"/>
      <c r="G102" s="171"/>
      <c r="I102" s="176">
        <v>85.1</v>
      </c>
      <c r="J102" s="168">
        <v>4</v>
      </c>
      <c r="L102" s="177">
        <v>11076</v>
      </c>
      <c r="M102" s="176">
        <v>120</v>
      </c>
      <c r="N102" s="176">
        <f t="shared" si="0"/>
        <v>242.14923619271445</v>
      </c>
      <c r="V102" s="171" t="s">
        <v>86</v>
      </c>
      <c r="W102" s="181">
        <f>IF('Tab7'!C12="",+'Tab7'!C11+'Tab11'!C11,+'Tab7'!C12+'Tab11'!C12)</f>
        <v>34994.274094861663</v>
      </c>
      <c r="X102" s="181">
        <f>IF('Tab7'!D12="",+'Tab7'!D11+'Tab11'!D11,+'Tab7'!D12+'Tab11'!D12)</f>
        <v>24505.067470355731</v>
      </c>
      <c r="Y102" s="181">
        <f>IF('Tab7'!E12="",+'Tab7'!E11+'Tab11'!E11,+'Tab7'!E12+'Tab11'!E12)</f>
        <v>26844.315237154147</v>
      </c>
    </row>
    <row r="103" spans="1:25" x14ac:dyDescent="0.2">
      <c r="A103" s="171">
        <v>1</v>
      </c>
      <c r="B103" s="171">
        <v>1991</v>
      </c>
      <c r="C103" s="171">
        <v>97.5</v>
      </c>
      <c r="D103" s="171">
        <v>82.4</v>
      </c>
      <c r="E103" s="171"/>
      <c r="F103" s="171"/>
      <c r="G103" s="171"/>
      <c r="I103" s="176">
        <v>85.5</v>
      </c>
      <c r="J103" s="168">
        <v>1</v>
      </c>
      <c r="K103" s="168">
        <v>1991</v>
      </c>
      <c r="L103" s="177">
        <v>10172</v>
      </c>
      <c r="M103" s="176">
        <v>130.10000000000002</v>
      </c>
      <c r="N103" s="176">
        <f t="shared" ref="N103:N106" si="1">M103/I103*$I$69</f>
        <v>261.30191910331388</v>
      </c>
      <c r="O103" s="177">
        <v>6727</v>
      </c>
      <c r="P103" s="176">
        <v>376.9</v>
      </c>
      <c r="Q103" s="176">
        <f>P103/I103*$I$69</f>
        <v>756.99226218323577</v>
      </c>
      <c r="R103" s="177">
        <v>9077</v>
      </c>
      <c r="S103" s="176">
        <v>139.9</v>
      </c>
      <c r="T103" s="176">
        <f>S103/I103*$I$69</f>
        <v>280.98492300194931</v>
      </c>
      <c r="V103" s="171" t="s">
        <v>63</v>
      </c>
      <c r="W103" s="181">
        <f>IF('Tab7'!C14="",+'Tab7'!C13+'Tab11'!C13,+'Tab7'!C14+'Tab11'!C14)</f>
        <v>6121.5967593167697</v>
      </c>
      <c r="X103" s="181">
        <f>IF('Tab7'!D14="",+'Tab7'!D13+'Tab11'!D13,+'Tab7'!D14+'Tab11'!D14)</f>
        <v>6778.6444332298142</v>
      </c>
      <c r="Y103" s="181">
        <f>IF('Tab7'!E14="",+'Tab7'!E13+'Tab11'!E13,+'Tab7'!E14+'Tab11'!E14)</f>
        <v>7838.5406661490688</v>
      </c>
    </row>
    <row r="104" spans="1:25" x14ac:dyDescent="0.2">
      <c r="A104" s="171">
        <v>2</v>
      </c>
      <c r="B104" s="171"/>
      <c r="C104" s="171">
        <v>93.9</v>
      </c>
      <c r="D104" s="171">
        <v>78</v>
      </c>
      <c r="E104" s="171"/>
      <c r="F104" s="171"/>
      <c r="G104" s="171"/>
      <c r="I104" s="176">
        <v>86.6</v>
      </c>
      <c r="J104" s="168">
        <v>2</v>
      </c>
      <c r="L104" s="177">
        <v>10188</v>
      </c>
      <c r="M104" s="176">
        <v>126.69999999999993</v>
      </c>
      <c r="N104" s="176">
        <f t="shared" si="1"/>
        <v>251.24078425712077</v>
      </c>
      <c r="O104" s="177">
        <v>5864</v>
      </c>
      <c r="P104" s="176">
        <v>369.29999999999995</v>
      </c>
      <c r="Q104" s="176">
        <f t="shared" ref="Q104:Q167" si="2">P104/I104*$I$69</f>
        <v>732.30640588914537</v>
      </c>
      <c r="R104" s="177">
        <v>12525</v>
      </c>
      <c r="S104" s="176">
        <v>176.29999999999998</v>
      </c>
      <c r="T104" s="176">
        <f t="shared" ref="T104:T167" si="3">S104/I104*$I$69</f>
        <v>349.59550327174748</v>
      </c>
      <c r="V104" s="171" t="s">
        <v>14</v>
      </c>
      <c r="W104" s="182">
        <f>+W106-SUM(W101:W103)</f>
        <v>83362.541784050933</v>
      </c>
      <c r="X104" s="182">
        <f>+X106-SUM(X101:X103)</f>
        <v>71207.251964443843</v>
      </c>
      <c r="Y104" s="182">
        <f>+Y106-SUM(Y101:Y103)</f>
        <v>75674.261737361783</v>
      </c>
    </row>
    <row r="105" spans="1:25" x14ac:dyDescent="0.2">
      <c r="A105" s="171">
        <v>3</v>
      </c>
      <c r="B105" s="171"/>
      <c r="C105" s="171">
        <v>90.2</v>
      </c>
      <c r="D105" s="171">
        <v>76.099999999999994</v>
      </c>
      <c r="E105" s="171"/>
      <c r="F105" s="171"/>
      <c r="G105" s="171"/>
      <c r="I105" s="176">
        <v>86.6</v>
      </c>
      <c r="J105" s="168">
        <v>3</v>
      </c>
      <c r="L105" s="177">
        <v>10621</v>
      </c>
      <c r="M105" s="176">
        <v>132.60000000000002</v>
      </c>
      <c r="N105" s="176">
        <f t="shared" si="1"/>
        <v>262.94023672055431</v>
      </c>
      <c r="O105" s="177">
        <v>7951</v>
      </c>
      <c r="P105" s="176">
        <v>430.9</v>
      </c>
      <c r="Q105" s="176">
        <f t="shared" si="2"/>
        <v>854.45662143956883</v>
      </c>
      <c r="R105" s="177">
        <v>14126</v>
      </c>
      <c r="S105" s="176">
        <v>204.90000000000003</v>
      </c>
      <c r="T105" s="176">
        <f t="shared" si="3"/>
        <v>406.30810334872984</v>
      </c>
      <c r="V105" s="171"/>
      <c r="W105" s="171"/>
      <c r="X105" s="171"/>
      <c r="Y105" s="171"/>
    </row>
    <row r="106" spans="1:25" x14ac:dyDescent="0.2">
      <c r="A106" s="171">
        <v>4</v>
      </c>
      <c r="B106" s="171"/>
      <c r="C106" s="171">
        <v>92.6</v>
      </c>
      <c r="D106" s="171">
        <v>78.099999999999994</v>
      </c>
      <c r="E106" s="171"/>
      <c r="F106" s="171"/>
      <c r="G106" s="171"/>
      <c r="I106" s="176">
        <v>87.3</v>
      </c>
      <c r="J106" s="168">
        <v>4</v>
      </c>
      <c r="L106" s="177">
        <v>11640</v>
      </c>
      <c r="M106" s="176">
        <v>138.20000000000005</v>
      </c>
      <c r="N106" s="176">
        <f t="shared" si="1"/>
        <v>271.84742077128686</v>
      </c>
      <c r="O106" s="177">
        <v>13048</v>
      </c>
      <c r="P106" s="176">
        <v>427.00000000000023</v>
      </c>
      <c r="Q106" s="176">
        <f t="shared" si="2"/>
        <v>839.93378197785466</v>
      </c>
      <c r="R106" s="177">
        <v>13048</v>
      </c>
      <c r="S106" s="176">
        <v>185</v>
      </c>
      <c r="T106" s="176">
        <f t="shared" si="3"/>
        <v>363.9057369224895</v>
      </c>
      <c r="V106" s="171" t="s">
        <v>87</v>
      </c>
      <c r="W106" s="181">
        <f>IF('Tab7'!C8="",+'Tab7'!C7+'Tab11'!C7,+'Tab7'!C8+'Tab11'!C8)</f>
        <v>132663.65314040327</v>
      </c>
      <c r="X106" s="181">
        <f>IF('Tab7'!D8="",+'Tab7'!D7+'Tab11'!D7,+'Tab7'!D8+'Tab11'!D8)</f>
        <v>109391.01070498591</v>
      </c>
      <c r="Y106" s="181">
        <f>IF('Tab7'!E8="",+'Tab7'!E7+'Tab11'!E7,+'Tab7'!E8+'Tab11'!E8)</f>
        <v>116914.35385443312</v>
      </c>
    </row>
    <row r="107" spans="1:25" x14ac:dyDescent="0.2">
      <c r="A107" s="171">
        <v>1</v>
      </c>
      <c r="B107" s="171">
        <v>1992</v>
      </c>
      <c r="C107" s="171">
        <v>102</v>
      </c>
      <c r="D107" s="171">
        <v>87.1</v>
      </c>
      <c r="E107" s="171"/>
      <c r="F107" s="171"/>
      <c r="G107" s="171"/>
      <c r="I107" s="176">
        <v>87.5</v>
      </c>
      <c r="J107" s="168">
        <v>1</v>
      </c>
      <c r="K107" s="168">
        <v>1992</v>
      </c>
      <c r="L107" s="177">
        <v>10520</v>
      </c>
      <c r="M107" s="176">
        <v>129.4</v>
      </c>
      <c r="N107" s="176">
        <f>M107/I107*$I$69</f>
        <v>253.95551047619048</v>
      </c>
      <c r="O107" s="177">
        <v>6509</v>
      </c>
      <c r="P107" s="176">
        <v>409.5</v>
      </c>
      <c r="Q107" s="176">
        <f t="shared" si="2"/>
        <v>803.66909999999996</v>
      </c>
      <c r="R107" s="177">
        <v>11030</v>
      </c>
      <c r="S107" s="176">
        <v>180.5</v>
      </c>
      <c r="T107" s="176">
        <f t="shared" si="3"/>
        <v>354.24242380952376</v>
      </c>
    </row>
    <row r="108" spans="1:25" x14ac:dyDescent="0.2">
      <c r="A108" s="171">
        <v>2</v>
      </c>
      <c r="B108" s="171"/>
      <c r="C108" s="171">
        <v>92.2</v>
      </c>
      <c r="D108" s="171">
        <v>78.900000000000006</v>
      </c>
      <c r="E108" s="171"/>
      <c r="F108" s="171"/>
      <c r="G108" s="171"/>
      <c r="I108" s="176">
        <v>88.6</v>
      </c>
      <c r="J108" s="168">
        <v>2</v>
      </c>
      <c r="L108" s="177">
        <v>10661</v>
      </c>
      <c r="M108" s="176">
        <v>112.9</v>
      </c>
      <c r="N108" s="176">
        <f t="shared" ref="N108:N171" si="4">M108/I108*$I$69</f>
        <v>218.8223297592175</v>
      </c>
      <c r="O108" s="177">
        <v>5632</v>
      </c>
      <c r="P108" s="176">
        <v>412</v>
      </c>
      <c r="Q108" s="176">
        <f t="shared" si="2"/>
        <v>798.53675696012033</v>
      </c>
      <c r="R108" s="177">
        <v>13252</v>
      </c>
      <c r="S108" s="176">
        <v>167</v>
      </c>
      <c r="T108" s="176">
        <f t="shared" si="3"/>
        <v>323.67873401053424</v>
      </c>
    </row>
    <row r="109" spans="1:25" x14ac:dyDescent="0.2">
      <c r="A109" s="171">
        <v>3</v>
      </c>
      <c r="B109" s="171"/>
      <c r="C109" s="171">
        <v>93.3</v>
      </c>
      <c r="D109" s="171">
        <v>79.900000000000006</v>
      </c>
      <c r="E109" s="171"/>
      <c r="F109" s="171"/>
      <c r="G109" s="171"/>
      <c r="I109" s="176">
        <v>88.7</v>
      </c>
      <c r="J109" s="168">
        <v>3</v>
      </c>
      <c r="L109" s="177">
        <v>11590</v>
      </c>
      <c r="M109" s="176">
        <v>130.59999999999997</v>
      </c>
      <c r="N109" s="176">
        <f t="shared" si="4"/>
        <v>252.84302329951137</v>
      </c>
      <c r="O109" s="177">
        <v>8642</v>
      </c>
      <c r="P109" s="176">
        <v>440.40000000000009</v>
      </c>
      <c r="Q109" s="176">
        <f t="shared" si="2"/>
        <v>852.61919954904192</v>
      </c>
      <c r="R109" s="177">
        <v>15450</v>
      </c>
      <c r="S109" s="176">
        <v>219.10000000000002</v>
      </c>
      <c r="T109" s="176">
        <f t="shared" si="3"/>
        <v>424.17998778654641</v>
      </c>
      <c r="V109" s="170" t="s">
        <v>186</v>
      </c>
      <c r="W109" s="171"/>
      <c r="X109" s="171"/>
      <c r="Y109" s="171"/>
    </row>
    <row r="110" spans="1:25" x14ac:dyDescent="0.2">
      <c r="A110" s="171">
        <v>4</v>
      </c>
      <c r="B110" s="171"/>
      <c r="C110" s="171">
        <v>90.8</v>
      </c>
      <c r="D110" s="171">
        <v>77.599999999999994</v>
      </c>
      <c r="E110" s="171"/>
      <c r="F110" s="171"/>
      <c r="G110" s="171"/>
      <c r="I110" s="176">
        <v>89.3</v>
      </c>
      <c r="J110" s="168">
        <v>4</v>
      </c>
      <c r="L110" s="177">
        <v>11917</v>
      </c>
      <c r="M110" s="176">
        <v>108.50000000000006</v>
      </c>
      <c r="N110" s="176">
        <f t="shared" si="4"/>
        <v>208.6458240014932</v>
      </c>
      <c r="O110" s="177">
        <v>7139</v>
      </c>
      <c r="P110" s="176">
        <v>425.59999999999991</v>
      </c>
      <c r="Q110" s="176">
        <f t="shared" si="2"/>
        <v>818.43007092198559</v>
      </c>
      <c r="R110" s="177">
        <v>12309</v>
      </c>
      <c r="S110" s="176">
        <v>109.39999999999998</v>
      </c>
      <c r="T110" s="176">
        <f t="shared" si="3"/>
        <v>210.37652668906304</v>
      </c>
      <c r="V110" s="171"/>
      <c r="W110" s="171"/>
      <c r="X110" s="171"/>
      <c r="Y110" s="171"/>
    </row>
    <row r="111" spans="1:25" x14ac:dyDescent="0.2">
      <c r="A111" s="171">
        <v>1</v>
      </c>
      <c r="B111" s="171">
        <v>1993</v>
      </c>
      <c r="C111" s="171">
        <v>112.6</v>
      </c>
      <c r="D111" s="171">
        <v>96.5</v>
      </c>
      <c r="E111" s="171"/>
      <c r="F111" s="171"/>
      <c r="G111" s="171"/>
      <c r="I111" s="176">
        <v>89.8</v>
      </c>
      <c r="J111" s="168">
        <v>1</v>
      </c>
      <c r="K111" s="168">
        <v>1993</v>
      </c>
      <c r="L111" s="177">
        <v>11275</v>
      </c>
      <c r="M111" s="176">
        <v>136.89999999999998</v>
      </c>
      <c r="N111" s="176">
        <f t="shared" si="4"/>
        <v>261.79330085374903</v>
      </c>
      <c r="O111" s="177">
        <v>6982</v>
      </c>
      <c r="P111" s="176">
        <v>449.4</v>
      </c>
      <c r="Q111" s="176">
        <f t="shared" si="2"/>
        <v>859.38575167037857</v>
      </c>
      <c r="R111" s="177">
        <v>10571</v>
      </c>
      <c r="S111" s="176">
        <v>175.5</v>
      </c>
      <c r="T111" s="176">
        <f t="shared" si="3"/>
        <v>335.60792037861916</v>
      </c>
      <c r="V111" s="171"/>
      <c r="W111" s="175" t="str">
        <f>+W100</f>
        <v>2021</v>
      </c>
      <c r="X111" s="175" t="str">
        <f>+X100</f>
        <v>2022</v>
      </c>
      <c r="Y111" s="175" t="str">
        <f>+Y100</f>
        <v>2023</v>
      </c>
    </row>
    <row r="112" spans="1:25" x14ac:dyDescent="0.2">
      <c r="A112" s="171">
        <v>2</v>
      </c>
      <c r="B112" s="171"/>
      <c r="C112" s="171">
        <f>205.6-C111</f>
        <v>93</v>
      </c>
      <c r="D112" s="171">
        <f>176.6-D111</f>
        <v>80.099999999999994</v>
      </c>
      <c r="E112" s="171"/>
      <c r="F112" s="171"/>
      <c r="G112" s="171"/>
      <c r="I112" s="176">
        <v>90.8</v>
      </c>
      <c r="J112" s="168">
        <v>2</v>
      </c>
      <c r="L112" s="177">
        <v>10076</v>
      </c>
      <c r="M112" s="176">
        <v>115.20000000000002</v>
      </c>
      <c r="N112" s="176">
        <f t="shared" si="4"/>
        <v>217.87030837004411</v>
      </c>
      <c r="O112" s="177">
        <v>6332</v>
      </c>
      <c r="P112" s="176">
        <v>352.9</v>
      </c>
      <c r="Q112" s="176">
        <f t="shared" si="2"/>
        <v>667.41694291483111</v>
      </c>
      <c r="R112" s="177">
        <v>12919</v>
      </c>
      <c r="S112" s="176">
        <v>191.20000000000005</v>
      </c>
      <c r="T112" s="176">
        <f t="shared" si="3"/>
        <v>361.60419236417039</v>
      </c>
      <c r="V112" s="171" t="s">
        <v>171</v>
      </c>
      <c r="W112" s="180">
        <f>IF('Tab7'!C38="",+'Tab7'!C37+'Tab11'!C37,+'Tab7'!C38+'Tab11'!C38)</f>
        <v>1464.197591740502</v>
      </c>
      <c r="X112" s="180">
        <f>IF('Tab7'!D38="",+'Tab7'!D37+'Tab11'!D37,+'Tab7'!D38+'Tab11'!D38)</f>
        <v>1583.5781374260632</v>
      </c>
      <c r="Y112" s="180">
        <f>IF('Tab7'!E38="",+'Tab7'!E37+'Tab11'!E37,+'Tab7'!E38+'Tab11'!E38)</f>
        <v>1683.6496945575759</v>
      </c>
    </row>
    <row r="113" spans="1:25" x14ac:dyDescent="0.2">
      <c r="A113" s="171">
        <v>3</v>
      </c>
      <c r="B113" s="171"/>
      <c r="C113" s="171">
        <f>293.1-C112-C111</f>
        <v>87.500000000000028</v>
      </c>
      <c r="D113" s="171">
        <f>250.2-D112-D111</f>
        <v>73.599999999999994</v>
      </c>
      <c r="E113" s="171"/>
      <c r="F113" s="171"/>
      <c r="G113" s="171"/>
      <c r="I113" s="176">
        <v>90.6</v>
      </c>
      <c r="J113" s="168">
        <v>3</v>
      </c>
      <c r="L113" s="177">
        <v>11766</v>
      </c>
      <c r="M113" s="176">
        <v>132.79999999999998</v>
      </c>
      <c r="N113" s="176">
        <f t="shared" si="4"/>
        <v>251.71047829286238</v>
      </c>
      <c r="O113" s="177">
        <v>6675</v>
      </c>
      <c r="P113" s="176">
        <v>388.50000000000023</v>
      </c>
      <c r="Q113" s="176">
        <f t="shared" si="2"/>
        <v>736.36687362030943</v>
      </c>
      <c r="R113" s="177">
        <v>14800</v>
      </c>
      <c r="S113" s="176">
        <v>216.89999999999998</v>
      </c>
      <c r="T113" s="176">
        <f t="shared" si="3"/>
        <v>411.11447847682115</v>
      </c>
      <c r="V113" s="171" t="s">
        <v>86</v>
      </c>
      <c r="W113" s="180">
        <f>IF('Tab7'!C40="",+'Tab7'!C39+'Tab11'!C39,+'Tab7'!C40+'Tab11'!C40)</f>
        <v>1823.5241188431364</v>
      </c>
      <c r="X113" s="180">
        <f>IF('Tab7'!D40="",+'Tab7'!D39+'Tab11'!D39,+'Tab7'!D40+'Tab11'!D40)</f>
        <v>1376.8794156428476</v>
      </c>
      <c r="Y113" s="180">
        <f>IF('Tab7'!E40="",+'Tab7'!E39+'Tab11'!E39,+'Tab7'!E40+'Tab11'!E40)</f>
        <v>1582.0941255005046</v>
      </c>
    </row>
    <row r="114" spans="1:25" x14ac:dyDescent="0.2">
      <c r="A114" s="171">
        <v>4</v>
      </c>
      <c r="B114" s="171"/>
      <c r="C114" s="171">
        <f>413.2-C113-C112-C111</f>
        <v>120.09999999999994</v>
      </c>
      <c r="D114" s="171">
        <f>356.8-D113-D112-D111</f>
        <v>106.60000000000005</v>
      </c>
      <c r="E114" s="171"/>
      <c r="F114" s="171"/>
      <c r="G114" s="171"/>
      <c r="I114" s="176">
        <v>91</v>
      </c>
      <c r="J114" s="168">
        <v>4</v>
      </c>
      <c r="L114" s="177">
        <v>12707</v>
      </c>
      <c r="M114" s="176">
        <v>157.79999999999995</v>
      </c>
      <c r="N114" s="176">
        <f t="shared" si="4"/>
        <v>297.78102747252734</v>
      </c>
      <c r="O114" s="177">
        <v>6319</v>
      </c>
      <c r="P114" s="176">
        <v>466.99999999999977</v>
      </c>
      <c r="Q114" s="176">
        <f t="shared" si="2"/>
        <v>881.26577838827802</v>
      </c>
      <c r="R114" s="177">
        <v>11391</v>
      </c>
      <c r="S114" s="176">
        <v>164.5</v>
      </c>
      <c r="T114" s="176">
        <f t="shared" si="3"/>
        <v>310.42445512820512</v>
      </c>
      <c r="V114" s="171" t="s">
        <v>63</v>
      </c>
      <c r="W114" s="180">
        <f>IF('Tab7'!C42="",+'Tab7'!C41+'Tab11'!C41,+'Tab7'!C42+'Tab11'!C42)</f>
        <v>112.87324166947002</v>
      </c>
      <c r="X114" s="180">
        <f>IF('Tab7'!D42="",+'Tab7'!D41+'Tab11'!D41,+'Tab7'!D42+'Tab11'!D42)</f>
        <v>123.13727232676555</v>
      </c>
      <c r="Y114" s="180">
        <f>IF('Tab7'!E42="",+'Tab7'!E41+'Tab11'!E41,+'Tab7'!E42+'Tab11'!E42)</f>
        <v>165.33913199150732</v>
      </c>
    </row>
    <row r="115" spans="1:25" x14ac:dyDescent="0.2">
      <c r="A115" s="171">
        <v>1</v>
      </c>
      <c r="B115" s="171">
        <v>1994</v>
      </c>
      <c r="C115" s="171">
        <v>138.4</v>
      </c>
      <c r="D115" s="171">
        <v>120</v>
      </c>
      <c r="E115" s="171"/>
      <c r="F115" s="171"/>
      <c r="G115" s="171"/>
      <c r="I115" s="176">
        <v>91</v>
      </c>
      <c r="J115" s="168">
        <v>1</v>
      </c>
      <c r="K115" s="168">
        <v>1994</v>
      </c>
      <c r="L115" s="177">
        <v>15224</v>
      </c>
      <c r="M115" s="176">
        <v>189</v>
      </c>
      <c r="N115" s="176">
        <f t="shared" si="4"/>
        <v>356.65788461538466</v>
      </c>
      <c r="O115" s="177">
        <v>6291</v>
      </c>
      <c r="P115" s="176">
        <v>427.6</v>
      </c>
      <c r="Q115" s="176">
        <f t="shared" si="2"/>
        <v>806.9148754578755</v>
      </c>
      <c r="R115" s="177">
        <v>8795</v>
      </c>
      <c r="S115" s="176">
        <v>161.69999999999999</v>
      </c>
      <c r="T115" s="176">
        <f t="shared" si="3"/>
        <v>305.14063461538461</v>
      </c>
      <c r="V115" s="171" t="s">
        <v>14</v>
      </c>
      <c r="W115" s="183">
        <f>+W117-SUM(W112:W114)</f>
        <v>1150.2292182839069</v>
      </c>
      <c r="X115" s="183">
        <f>+X117-SUM(X112:X114)</f>
        <v>1111.9996137065696</v>
      </c>
      <c r="Y115" s="183">
        <f>+Y117-SUM(Y112:Y114)</f>
        <v>1300.133397773036</v>
      </c>
    </row>
    <row r="116" spans="1:25" x14ac:dyDescent="0.2">
      <c r="A116" s="171">
        <v>2</v>
      </c>
      <c r="B116" s="171"/>
      <c r="C116" s="171">
        <f>252.9-C115</f>
        <v>114.5</v>
      </c>
      <c r="D116" s="171">
        <f>218.1-D115</f>
        <v>98.1</v>
      </c>
      <c r="E116" s="171"/>
      <c r="F116" s="171"/>
      <c r="G116" s="171"/>
      <c r="I116" s="176">
        <v>91.7</v>
      </c>
      <c r="J116" s="168">
        <v>2</v>
      </c>
      <c r="L116" s="177">
        <v>13585</v>
      </c>
      <c r="M116" s="176">
        <v>166.5</v>
      </c>
      <c r="N116" s="176">
        <f t="shared" si="4"/>
        <v>311.80014994547435</v>
      </c>
      <c r="O116" s="177">
        <v>5517</v>
      </c>
      <c r="P116" s="176">
        <v>494.30000000000007</v>
      </c>
      <c r="Q116" s="176">
        <f t="shared" si="2"/>
        <v>925.66254725554347</v>
      </c>
      <c r="R116" s="177">
        <v>13449</v>
      </c>
      <c r="S116" s="176">
        <v>196.2</v>
      </c>
      <c r="T116" s="176">
        <f t="shared" si="3"/>
        <v>367.41855507088331</v>
      </c>
      <c r="V116" s="171"/>
      <c r="W116" s="180"/>
      <c r="X116" s="180"/>
      <c r="Y116" s="180"/>
    </row>
    <row r="117" spans="1:25" x14ac:dyDescent="0.2">
      <c r="A117" s="171">
        <v>3</v>
      </c>
      <c r="B117" s="171"/>
      <c r="C117" s="171">
        <f>365.7-C115-C116</f>
        <v>112.79999999999998</v>
      </c>
      <c r="D117" s="171">
        <f>316.9-D115-D116</f>
        <v>98.799999999999983</v>
      </c>
      <c r="E117" s="171"/>
      <c r="F117" s="171"/>
      <c r="G117" s="171"/>
      <c r="I117" s="176">
        <v>92.1</v>
      </c>
      <c r="J117" s="168">
        <v>3</v>
      </c>
      <c r="L117" s="177">
        <v>13956</v>
      </c>
      <c r="M117" s="176">
        <v>169.89999999999998</v>
      </c>
      <c r="N117" s="176">
        <f t="shared" si="4"/>
        <v>316.78540626131013</v>
      </c>
      <c r="O117" s="177">
        <v>8952</v>
      </c>
      <c r="P117" s="176">
        <v>425.5</v>
      </c>
      <c r="Q117" s="176">
        <f t="shared" si="2"/>
        <v>793.3619209192907</v>
      </c>
      <c r="R117" s="177">
        <v>15669</v>
      </c>
      <c r="S117" s="176">
        <v>219.80000000000007</v>
      </c>
      <c r="T117" s="176">
        <f t="shared" si="3"/>
        <v>409.82596996018839</v>
      </c>
      <c r="V117" s="171" t="s">
        <v>87</v>
      </c>
      <c r="W117" s="180">
        <f>IF('Tab7'!C36="",+'Tab7'!C35+'Tab11'!C35,+'Tab7'!C36+'Tab11'!C36)</f>
        <v>4550.8241705370156</v>
      </c>
      <c r="X117" s="180">
        <f>IF('Tab7'!D36="",+'Tab7'!D35+'Tab11'!D35,+'Tab7'!D36+'Tab11'!D36)</f>
        <v>4195.5944391022458</v>
      </c>
      <c r="Y117" s="180">
        <f>IF('Tab7'!E36="",+'Tab7'!E35+'Tab11'!E35,+'Tab7'!E36+'Tab11'!E36)</f>
        <v>4731.2163498226237</v>
      </c>
    </row>
    <row r="118" spans="1:25" x14ac:dyDescent="0.2">
      <c r="A118" s="171">
        <v>4</v>
      </c>
      <c r="B118" s="171"/>
      <c r="C118" s="171">
        <f>480.2-C115-C116-C117</f>
        <v>114.49999999999997</v>
      </c>
      <c r="D118" s="171">
        <f>417.1-D115-D116-D117</f>
        <v>100.20000000000005</v>
      </c>
      <c r="E118" s="171"/>
      <c r="F118" s="171"/>
      <c r="G118" s="171"/>
      <c r="I118" s="176">
        <v>92.6</v>
      </c>
      <c r="J118" s="168">
        <v>4</v>
      </c>
      <c r="L118" s="177">
        <v>14006</v>
      </c>
      <c r="M118" s="176">
        <v>140.80000000000007</v>
      </c>
      <c r="N118" s="176">
        <f t="shared" si="4"/>
        <v>261.10974802015852</v>
      </c>
      <c r="O118" s="177">
        <v>8189</v>
      </c>
      <c r="P118" s="176">
        <v>390.59999999999991</v>
      </c>
      <c r="Q118" s="176">
        <f t="shared" si="2"/>
        <v>724.35701403887686</v>
      </c>
      <c r="R118" s="177">
        <v>14139</v>
      </c>
      <c r="S118" s="176">
        <v>214.39999999999998</v>
      </c>
      <c r="T118" s="176">
        <f t="shared" si="3"/>
        <v>397.59893448524116</v>
      </c>
      <c r="V118" s="171"/>
      <c r="X118" s="171"/>
    </row>
    <row r="119" spans="1:25" x14ac:dyDescent="0.2">
      <c r="A119" s="171">
        <v>1</v>
      </c>
      <c r="B119" s="171">
        <v>1995</v>
      </c>
      <c r="C119" s="171">
        <v>137.19999999999999</v>
      </c>
      <c r="D119" s="171">
        <v>119.3</v>
      </c>
      <c r="E119" s="171"/>
      <c r="F119" s="171"/>
      <c r="G119" s="171"/>
      <c r="I119" s="176">
        <v>93.4</v>
      </c>
      <c r="J119" s="168">
        <v>1</v>
      </c>
      <c r="K119" s="168">
        <v>1995</v>
      </c>
      <c r="L119" s="177">
        <v>13188</v>
      </c>
      <c r="M119" s="176">
        <v>171.1</v>
      </c>
      <c r="N119" s="176">
        <f t="shared" si="4"/>
        <v>314.58249375446104</v>
      </c>
      <c r="O119" s="177">
        <v>7699</v>
      </c>
      <c r="P119" s="176">
        <v>543</v>
      </c>
      <c r="Q119" s="176">
        <f t="shared" si="2"/>
        <v>998.35355995717339</v>
      </c>
      <c r="R119" s="177">
        <v>11007</v>
      </c>
      <c r="S119" s="176">
        <v>183.1</v>
      </c>
      <c r="T119" s="176">
        <f t="shared" si="3"/>
        <v>336.64555585296216</v>
      </c>
      <c r="V119" s="170" t="s">
        <v>180</v>
      </c>
    </row>
    <row r="120" spans="1:25" x14ac:dyDescent="0.2">
      <c r="A120" s="171">
        <v>2</v>
      </c>
      <c r="B120" s="171"/>
      <c r="C120" s="171">
        <f>248.2-C119</f>
        <v>111</v>
      </c>
      <c r="D120" s="171">
        <f>214.7-D119</f>
        <v>95.399999999999991</v>
      </c>
      <c r="E120" s="171"/>
      <c r="F120" s="171"/>
      <c r="G120" s="171"/>
      <c r="I120" s="176">
        <v>94.1</v>
      </c>
      <c r="J120" s="168">
        <v>2</v>
      </c>
      <c r="L120" s="177">
        <v>11077</v>
      </c>
      <c r="M120" s="176">
        <v>148.30000000000004</v>
      </c>
      <c r="N120" s="176">
        <f t="shared" si="4"/>
        <v>270.63436680835997</v>
      </c>
      <c r="O120" s="177">
        <v>5465</v>
      </c>
      <c r="P120" s="176">
        <v>462.40000000000009</v>
      </c>
      <c r="Q120" s="176">
        <f t="shared" si="2"/>
        <v>843.83905065533145</v>
      </c>
      <c r="R120" s="177">
        <v>13915</v>
      </c>
      <c r="S120" s="176">
        <v>213.4</v>
      </c>
      <c r="T120" s="176">
        <f t="shared" si="3"/>
        <v>389.43610166489549</v>
      </c>
    </row>
    <row r="121" spans="1:25" x14ac:dyDescent="0.2">
      <c r="A121" s="171">
        <v>3</v>
      </c>
      <c r="B121" s="171"/>
      <c r="C121" s="171">
        <f>364.1-C119-C120</f>
        <v>115.90000000000003</v>
      </c>
      <c r="D121" s="171">
        <f>315.7-D119-D120</f>
        <v>100.99999999999999</v>
      </c>
      <c r="E121" s="171"/>
      <c r="F121" s="171"/>
      <c r="G121" s="171"/>
      <c r="I121" s="176">
        <v>94.1</v>
      </c>
      <c r="J121" s="168">
        <v>3</v>
      </c>
      <c r="L121" s="177">
        <v>13937</v>
      </c>
      <c r="M121" s="176">
        <v>180.19999999999993</v>
      </c>
      <c r="N121" s="176">
        <f t="shared" si="4"/>
        <v>328.84904179950399</v>
      </c>
      <c r="O121" s="177">
        <v>9139</v>
      </c>
      <c r="P121" s="176">
        <v>487.89999999999986</v>
      </c>
      <c r="Q121" s="176">
        <f t="shared" si="2"/>
        <v>890.37429241941174</v>
      </c>
      <c r="R121" s="177">
        <v>17436</v>
      </c>
      <c r="S121" s="176">
        <v>224.09999999999991</v>
      </c>
      <c r="T121" s="176">
        <f t="shared" si="3"/>
        <v>408.96265409139198</v>
      </c>
      <c r="V121" s="171"/>
      <c r="W121" s="175" t="str">
        <f>+'Tab3'!C6</f>
        <v>2021</v>
      </c>
      <c r="X121" s="175" t="str">
        <f>+'Tab3'!D6</f>
        <v>2022</v>
      </c>
      <c r="Y121" s="175" t="str">
        <f>+'Tab3'!E6</f>
        <v>2023</v>
      </c>
    </row>
    <row r="122" spans="1:25" x14ac:dyDescent="0.2">
      <c r="A122" s="171">
        <v>4</v>
      </c>
      <c r="B122" s="171"/>
      <c r="C122" s="171">
        <f>482.9-C119-C120-C121</f>
        <v>118.79999999999995</v>
      </c>
      <c r="D122" s="171">
        <f>420.1-D119-D120-D121</f>
        <v>104.40000000000005</v>
      </c>
      <c r="E122" s="171"/>
      <c r="F122" s="171"/>
      <c r="G122" s="171"/>
      <c r="I122" s="176">
        <v>94.6</v>
      </c>
      <c r="J122" s="168">
        <v>4</v>
      </c>
      <c r="L122" s="177">
        <v>13920</v>
      </c>
      <c r="M122" s="176">
        <v>172.00000000000006</v>
      </c>
      <c r="N122" s="176">
        <f t="shared" si="4"/>
        <v>312.22575757575765</v>
      </c>
      <c r="O122" s="177">
        <v>7500</v>
      </c>
      <c r="P122" s="176">
        <v>369.89999999999986</v>
      </c>
      <c r="Q122" s="176">
        <f t="shared" si="2"/>
        <v>671.46690539112035</v>
      </c>
      <c r="R122" s="177">
        <v>15130</v>
      </c>
      <c r="S122" s="176">
        <v>206.30000000000018</v>
      </c>
      <c r="T122" s="176">
        <f t="shared" si="3"/>
        <v>374.48938248766768</v>
      </c>
      <c r="V122" s="171" t="s">
        <v>10</v>
      </c>
      <c r="W122" s="175">
        <f>IF('Tab3'!C22="",'Tab3'!C29,'Tab3'!C30)</f>
        <v>34290.493589743593</v>
      </c>
      <c r="X122" s="175">
        <f>IF('Tab3'!D22="",'Tab3'!D29,'Tab3'!D30)</f>
        <v>66033.36538461539</v>
      </c>
      <c r="Y122" s="175">
        <f>IF('Tab3'!E22="",'Tab3'!E29,'Tab3'!E30)</f>
        <v>85249</v>
      </c>
    </row>
    <row r="123" spans="1:25" x14ac:dyDescent="0.2">
      <c r="A123" s="171">
        <v>1</v>
      </c>
      <c r="B123" s="171">
        <v>1996</v>
      </c>
      <c r="C123" s="171">
        <v>143.9</v>
      </c>
      <c r="D123" s="171">
        <v>126.9</v>
      </c>
      <c r="E123" s="171"/>
      <c r="F123" s="171"/>
      <c r="G123" s="171"/>
      <c r="I123" s="176">
        <v>94.2</v>
      </c>
      <c r="J123" s="168">
        <v>1</v>
      </c>
      <c r="K123" s="168">
        <v>1996</v>
      </c>
      <c r="L123" s="177">
        <v>29850</v>
      </c>
      <c r="M123" s="176">
        <v>375.59999999999997</v>
      </c>
      <c r="N123" s="176">
        <f t="shared" si="4"/>
        <v>684.70909766454338</v>
      </c>
      <c r="O123" s="177">
        <v>7239</v>
      </c>
      <c r="P123" s="176">
        <v>479.9</v>
      </c>
      <c r="Q123" s="176">
        <f t="shared" si="2"/>
        <v>874.84530343241329</v>
      </c>
      <c r="R123" s="177">
        <v>11785</v>
      </c>
      <c r="S123" s="176">
        <v>198.60000000000002</v>
      </c>
      <c r="T123" s="176">
        <f t="shared" si="3"/>
        <v>362.04266985138008</v>
      </c>
      <c r="V123" s="168" t="s">
        <v>112</v>
      </c>
      <c r="W123" s="175">
        <f>IF('Tab9'!C8="",'Tab9'!C7,'Tab9'!C8)</f>
        <v>44786.944784527106</v>
      </c>
      <c r="X123" s="175">
        <f>IF('Tab9'!D8="",'Tab9'!D7,'Tab9'!D8)</f>
        <v>34271.789724271439</v>
      </c>
      <c r="Y123" s="175">
        <f>IF('Tab9'!E8="",'Tab9'!E7,'Tab9'!E8)</f>
        <v>35963.894992936745</v>
      </c>
    </row>
    <row r="124" spans="1:25" x14ac:dyDescent="0.2">
      <c r="A124" s="171">
        <v>2</v>
      </c>
      <c r="B124" s="171"/>
      <c r="C124" s="171">
        <f>275.5-C123</f>
        <v>131.6</v>
      </c>
      <c r="D124" s="171">
        <f>242.6-D123</f>
        <v>115.69999999999999</v>
      </c>
      <c r="E124" s="171"/>
      <c r="F124" s="171"/>
      <c r="G124" s="171"/>
      <c r="I124" s="176">
        <v>95.1</v>
      </c>
      <c r="J124" s="168">
        <v>2</v>
      </c>
      <c r="L124" s="177">
        <v>17799</v>
      </c>
      <c r="M124" s="176">
        <v>234.8</v>
      </c>
      <c r="N124" s="176">
        <f t="shared" si="4"/>
        <v>423.98353662811076</v>
      </c>
      <c r="O124" s="177">
        <v>6503</v>
      </c>
      <c r="P124" s="176">
        <v>585.30000000000007</v>
      </c>
      <c r="Q124" s="176">
        <f t="shared" si="2"/>
        <v>1056.8891140904311</v>
      </c>
      <c r="R124" s="177">
        <v>14642</v>
      </c>
      <c r="S124" s="176">
        <v>220.09999999999997</v>
      </c>
      <c r="T124" s="176">
        <f t="shared" si="3"/>
        <v>397.4394225376796</v>
      </c>
      <c r="V124" s="168" t="s">
        <v>111</v>
      </c>
      <c r="W124" s="175">
        <f>IF('Tab8'!C8="",'Tab8'!C7,'Tab8'!C8)</f>
        <v>57244.673067196847</v>
      </c>
      <c r="X124" s="175">
        <f>IF('Tab8'!D8="",'Tab8'!D7,'Tab8'!D8)</f>
        <v>55060.821866443432</v>
      </c>
      <c r="Y124" s="175">
        <f>IF('Tab8'!E8="",'Tab8'!E7,'Tab8'!E8)</f>
        <v>58109</v>
      </c>
    </row>
    <row r="125" spans="1:25" x14ac:dyDescent="0.2">
      <c r="A125" s="171">
        <v>3</v>
      </c>
      <c r="B125" s="171"/>
      <c r="C125" s="171">
        <f>387.5-C123-C124</f>
        <v>112</v>
      </c>
      <c r="D125" s="171">
        <f>339.3-D123-D124</f>
        <v>96.700000000000017</v>
      </c>
      <c r="E125" s="171"/>
      <c r="F125" s="171"/>
      <c r="G125" s="171"/>
      <c r="I125" s="176">
        <v>95.5</v>
      </c>
      <c r="J125" s="168">
        <v>3</v>
      </c>
      <c r="L125" s="177">
        <v>16263</v>
      </c>
      <c r="M125" s="176">
        <v>240.00000000000011</v>
      </c>
      <c r="N125" s="176">
        <f t="shared" si="4"/>
        <v>431.55811518324629</v>
      </c>
      <c r="O125" s="177">
        <v>8934</v>
      </c>
      <c r="P125" s="176">
        <v>581.89999999999986</v>
      </c>
      <c r="Q125" s="176">
        <f t="shared" si="2"/>
        <v>1046.348613438045</v>
      </c>
      <c r="R125" s="177">
        <v>17198</v>
      </c>
      <c r="S125" s="176">
        <v>233.2</v>
      </c>
      <c r="T125" s="176">
        <f t="shared" si="3"/>
        <v>419.33063525305408</v>
      </c>
      <c r="V125" s="171" t="s">
        <v>169</v>
      </c>
      <c r="W125" s="175">
        <f>IF('Tab3'!C16="",'Tab3'!C15,'Tab3'!C16)</f>
        <v>14184.867654085045</v>
      </c>
      <c r="X125" s="175">
        <f>IF('Tab3'!D16="",'Tab3'!D15,'Tab3'!D16)</f>
        <v>11825.08552317248</v>
      </c>
      <c r="Y125" s="175">
        <f>IF('Tab3'!E16="",'Tab3'!E15,'Tab3'!E16)</f>
        <v>14204.681955725435</v>
      </c>
    </row>
    <row r="126" spans="1:25" x14ac:dyDescent="0.2">
      <c r="A126" s="171">
        <v>4</v>
      </c>
      <c r="B126" s="171"/>
      <c r="C126" s="171">
        <f>520-C123-C124-C125</f>
        <v>132.50000000000003</v>
      </c>
      <c r="D126" s="171">
        <f>452.4-D123-D124-D125</f>
        <v>113.1</v>
      </c>
      <c r="E126" s="171"/>
      <c r="F126" s="171"/>
      <c r="G126" s="171"/>
      <c r="I126" s="176">
        <v>96.3</v>
      </c>
      <c r="J126" s="168">
        <v>4</v>
      </c>
      <c r="L126" s="177">
        <v>16638</v>
      </c>
      <c r="M126" s="176">
        <v>233.40000000000009</v>
      </c>
      <c r="N126" s="176">
        <f t="shared" si="4"/>
        <v>416.20374350986515</v>
      </c>
      <c r="O126" s="177">
        <v>7966</v>
      </c>
      <c r="P126" s="176">
        <v>665.80000000000018</v>
      </c>
      <c r="Q126" s="176">
        <f t="shared" si="2"/>
        <v>1187.2684337140884</v>
      </c>
      <c r="R126" s="177">
        <v>13841</v>
      </c>
      <c r="S126" s="176">
        <v>188.00000000000011</v>
      </c>
      <c r="T126" s="176">
        <f t="shared" si="3"/>
        <v>335.24551748009713</v>
      </c>
    </row>
    <row r="127" spans="1:25" x14ac:dyDescent="0.2">
      <c r="A127" s="171">
        <v>1</v>
      </c>
      <c r="B127" s="171">
        <v>1997</v>
      </c>
      <c r="C127" s="171">
        <v>142.6</v>
      </c>
      <c r="D127" s="171">
        <v>124.8</v>
      </c>
      <c r="E127" s="171"/>
      <c r="F127" s="171"/>
      <c r="G127" s="171"/>
      <c r="I127" s="176">
        <v>97.3</v>
      </c>
      <c r="J127" s="168">
        <v>1</v>
      </c>
      <c r="K127" s="168">
        <v>1997</v>
      </c>
      <c r="L127" s="177">
        <v>17837</v>
      </c>
      <c r="M127" s="176">
        <v>255.29999999999998</v>
      </c>
      <c r="N127" s="176">
        <f t="shared" si="4"/>
        <v>450.57738694758478</v>
      </c>
      <c r="O127" s="177">
        <v>7574</v>
      </c>
      <c r="P127" s="176">
        <v>625.70000000000005</v>
      </c>
      <c r="Q127" s="176">
        <f t="shared" si="2"/>
        <v>1104.2940501884207</v>
      </c>
      <c r="R127" s="177">
        <v>10571</v>
      </c>
      <c r="S127" s="176">
        <v>187.8</v>
      </c>
      <c r="T127" s="176">
        <f t="shared" si="3"/>
        <v>331.44705549845838</v>
      </c>
      <c r="V127" s="170" t="s">
        <v>181</v>
      </c>
    </row>
    <row r="128" spans="1:25" x14ac:dyDescent="0.2">
      <c r="A128" s="171">
        <v>2</v>
      </c>
      <c r="B128" s="171"/>
      <c r="C128" s="171">
        <f>284.4-C127</f>
        <v>141.79999999999998</v>
      </c>
      <c r="D128" s="171">
        <f>247.3-D127</f>
        <v>122.50000000000001</v>
      </c>
      <c r="E128" s="171"/>
      <c r="F128" s="171"/>
      <c r="G128" s="171"/>
      <c r="I128" s="176">
        <v>97.7</v>
      </c>
      <c r="J128" s="168">
        <v>2</v>
      </c>
      <c r="L128" s="177">
        <v>16872</v>
      </c>
      <c r="M128" s="176">
        <v>281.30000000000007</v>
      </c>
      <c r="N128" s="176">
        <f t="shared" si="4"/>
        <v>494.43201722961459</v>
      </c>
      <c r="O128" s="177">
        <v>7284</v>
      </c>
      <c r="P128" s="176">
        <v>664.39999999999986</v>
      </c>
      <c r="Q128" s="176">
        <f t="shared" si="2"/>
        <v>1167.7946400545884</v>
      </c>
      <c r="R128" s="177">
        <v>14837</v>
      </c>
      <c r="S128" s="176">
        <v>224.59999999999997</v>
      </c>
      <c r="T128" s="176">
        <f t="shared" si="3"/>
        <v>394.77223984988046</v>
      </c>
      <c r="W128" s="175" t="str">
        <f>+'Tab3'!C6</f>
        <v>2021</v>
      </c>
      <c r="X128" s="175" t="str">
        <f>+'Tab3'!D6</f>
        <v>2022</v>
      </c>
      <c r="Y128" s="175" t="str">
        <f>+'Tab3'!E6</f>
        <v>2023</v>
      </c>
    </row>
    <row r="129" spans="1:25" x14ac:dyDescent="0.2">
      <c r="A129" s="171">
        <v>3</v>
      </c>
      <c r="B129" s="171"/>
      <c r="C129" s="171">
        <f>419.8-C127-C128</f>
        <v>135.40000000000006</v>
      </c>
      <c r="D129" s="171">
        <f>364.6-D127-D128</f>
        <v>117.3</v>
      </c>
      <c r="E129" s="171"/>
      <c r="F129" s="171" t="s">
        <v>74</v>
      </c>
      <c r="G129" s="171"/>
      <c r="I129" s="176">
        <v>97.7</v>
      </c>
      <c r="J129" s="168">
        <v>3</v>
      </c>
      <c r="L129" s="177">
        <v>17873</v>
      </c>
      <c r="M129" s="176">
        <v>297.89999999999998</v>
      </c>
      <c r="N129" s="176">
        <f t="shared" si="4"/>
        <v>523.60930655066522</v>
      </c>
      <c r="O129" s="177">
        <v>14581</v>
      </c>
      <c r="P129" s="176">
        <v>720.30000000000018</v>
      </c>
      <c r="Q129" s="176">
        <f t="shared" si="2"/>
        <v>1266.0482830092121</v>
      </c>
      <c r="R129" s="177">
        <v>15670</v>
      </c>
      <c r="S129" s="176">
        <v>198.80000000000007</v>
      </c>
      <c r="T129" s="176">
        <f t="shared" si="3"/>
        <v>349.42440464005472</v>
      </c>
      <c r="V129" s="171" t="s">
        <v>11</v>
      </c>
      <c r="W129" s="175">
        <f>IF('Tab3'!C30="",'Tab3'!C31,'Tab3'!C32)</f>
        <v>1433.3104738154614</v>
      </c>
      <c r="X129" s="175">
        <f>IF('Tab3'!D30="",'Tab3'!D31,'Tab3'!D32)</f>
        <v>1816.3347880299252</v>
      </c>
      <c r="Y129" s="175">
        <f>IF('Tab3'!E30="",'Tab3'!E31,'Tab3'!E32)</f>
        <v>1472.7774314214464</v>
      </c>
    </row>
    <row r="130" spans="1:25" x14ac:dyDescent="0.2">
      <c r="A130" s="171">
        <v>4</v>
      </c>
      <c r="B130" s="171"/>
      <c r="C130" s="171">
        <f>550.4-C127-C128-C129</f>
        <v>130.59999999999994</v>
      </c>
      <c r="D130" s="171">
        <f>478.3-D127-D128-D129</f>
        <v>113.7</v>
      </c>
      <c r="E130" s="171"/>
      <c r="F130" s="171"/>
      <c r="G130" s="171"/>
      <c r="I130" s="176">
        <v>98.4</v>
      </c>
      <c r="J130" s="168">
        <v>4</v>
      </c>
      <c r="L130" s="177">
        <v>15493</v>
      </c>
      <c r="M130" s="176">
        <v>267.70000000000005</v>
      </c>
      <c r="N130" s="176">
        <f t="shared" si="4"/>
        <v>467.18048187669376</v>
      </c>
      <c r="O130" s="177">
        <v>9445</v>
      </c>
      <c r="P130" s="176">
        <v>564</v>
      </c>
      <c r="Q130" s="176">
        <f t="shared" si="2"/>
        <v>984.27266260162594</v>
      </c>
      <c r="R130" s="177">
        <v>13087</v>
      </c>
      <c r="S130" s="176">
        <v>185.09999999999991</v>
      </c>
      <c r="T130" s="176">
        <f t="shared" si="3"/>
        <v>323.02991107723557</v>
      </c>
      <c r="V130" s="171" t="s">
        <v>12</v>
      </c>
      <c r="W130" s="175">
        <f>IF('Tab3'!C32="",'Tab3'!C33,'Tab3'!C34)</f>
        <v>3104.3150039000002</v>
      </c>
      <c r="X130" s="175">
        <f>IF('Tab3'!D32="",'Tab3'!D33,'Tab3'!D34)</f>
        <v>3173.5819999999999</v>
      </c>
      <c r="Y130" s="175">
        <f>IF('Tab3'!E32="",'Tab3'!E33,'Tab3'!E34)</f>
        <v>3674.7310000000002</v>
      </c>
    </row>
    <row r="131" spans="1:25" x14ac:dyDescent="0.2">
      <c r="A131" s="171">
        <v>1</v>
      </c>
      <c r="B131" s="171">
        <v>1998</v>
      </c>
      <c r="C131" s="171">
        <v>150</v>
      </c>
      <c r="D131" s="171">
        <v>131.9</v>
      </c>
      <c r="E131" s="171"/>
      <c r="F131" s="171" t="s">
        <v>78</v>
      </c>
      <c r="G131" s="171"/>
      <c r="I131" s="176">
        <v>99.3</v>
      </c>
      <c r="J131" s="168">
        <v>1</v>
      </c>
      <c r="K131" s="168">
        <v>1998</v>
      </c>
      <c r="L131" s="177">
        <v>17629</v>
      </c>
      <c r="M131" s="176">
        <v>285</v>
      </c>
      <c r="N131" s="176">
        <f t="shared" si="4"/>
        <v>492.86392245720037</v>
      </c>
      <c r="O131" s="177">
        <v>7614</v>
      </c>
      <c r="P131" s="176">
        <v>599.6</v>
      </c>
      <c r="Q131" s="176">
        <f t="shared" si="2"/>
        <v>1036.916518966096</v>
      </c>
      <c r="R131" s="177">
        <v>11958</v>
      </c>
      <c r="S131" s="176">
        <v>185.4</v>
      </c>
      <c r="T131" s="176">
        <f t="shared" si="3"/>
        <v>320.62095166163147</v>
      </c>
      <c r="V131" s="171" t="s">
        <v>7</v>
      </c>
      <c r="W131" s="175">
        <f>IF('Tab3'!C18="",'Tab3'!C17,'Tab3'!C18)</f>
        <v>2405.7066122448982</v>
      </c>
      <c r="X131" s="175">
        <f>IF('Tab3'!D18="",'Tab3'!D17,'Tab3'!D18)</f>
        <v>2424.5147755102039</v>
      </c>
      <c r="Y131" s="175">
        <f>IF('Tab3'!E18="",'Tab3'!E17,'Tab3'!E18)</f>
        <v>2566.4587591836735</v>
      </c>
    </row>
    <row r="132" spans="1:25" x14ac:dyDescent="0.2">
      <c r="A132" s="171">
        <v>2</v>
      </c>
      <c r="B132" s="171"/>
      <c r="C132" s="171">
        <f>289.8-C131</f>
        <v>139.80000000000001</v>
      </c>
      <c r="D132" s="171">
        <f>253.9-D131</f>
        <v>122</v>
      </c>
      <c r="E132" s="171"/>
      <c r="F132" s="171" t="s">
        <v>79</v>
      </c>
      <c r="G132" s="171" t="s">
        <v>80</v>
      </c>
      <c r="I132" s="176">
        <v>99.7</v>
      </c>
      <c r="J132" s="168">
        <v>2</v>
      </c>
      <c r="L132" s="177">
        <v>14484</v>
      </c>
      <c r="M132" s="176">
        <v>253.5</v>
      </c>
      <c r="N132" s="176">
        <f t="shared" si="4"/>
        <v>436.63065446339016</v>
      </c>
      <c r="O132" s="177">
        <v>6009</v>
      </c>
      <c r="P132" s="176">
        <v>576.9</v>
      </c>
      <c r="Q132" s="176">
        <f t="shared" si="2"/>
        <v>993.65769057171508</v>
      </c>
      <c r="R132" s="177">
        <v>15060</v>
      </c>
      <c r="S132" s="176">
        <v>204.20000000000002</v>
      </c>
      <c r="T132" s="176">
        <f t="shared" si="3"/>
        <v>351.7158960213975</v>
      </c>
      <c r="V132" s="168" t="s">
        <v>113</v>
      </c>
      <c r="W132" s="175">
        <f>IF('Tab10'!C8="",'Tab10'!C7,'Tab10'!C8)</f>
        <v>6189.8587348924812</v>
      </c>
      <c r="X132" s="175">
        <f>IF('Tab10'!D8="",'Tab10'!D7,'Tab10'!D8)</f>
        <v>4575</v>
      </c>
      <c r="Y132" s="175">
        <f>IF('Tab10'!E8="",'Tab10'!E7,'Tab10'!E8)</f>
        <v>4666</v>
      </c>
    </row>
    <row r="133" spans="1:25" x14ac:dyDescent="0.2">
      <c r="A133" s="171">
        <v>3</v>
      </c>
      <c r="B133" s="171"/>
      <c r="C133" s="171">
        <f>+E133-C131-C132</f>
        <v>128.09999999999997</v>
      </c>
      <c r="D133" s="171">
        <f>+G133-D131-D132</f>
        <v>112.1</v>
      </c>
      <c r="E133" s="171">
        <v>417.9</v>
      </c>
      <c r="G133" s="171">
        <v>366</v>
      </c>
      <c r="I133" s="180">
        <v>99.8</v>
      </c>
      <c r="J133" s="168">
        <v>3</v>
      </c>
      <c r="L133" s="177">
        <v>15693</v>
      </c>
      <c r="M133" s="176">
        <v>257.89999999999998</v>
      </c>
      <c r="N133" s="176">
        <f t="shared" si="4"/>
        <v>443.76415414161653</v>
      </c>
      <c r="O133" s="177">
        <v>8328</v>
      </c>
      <c r="P133" s="176">
        <v>432.80000000000018</v>
      </c>
      <c r="Q133" s="176">
        <f t="shared" si="2"/>
        <v>744.71161656646666</v>
      </c>
      <c r="R133" s="177">
        <v>17098</v>
      </c>
      <c r="S133" s="176">
        <v>209.60000000000002</v>
      </c>
      <c r="T133" s="176">
        <f t="shared" si="3"/>
        <v>360.65516366065469</v>
      </c>
      <c r="V133" s="171" t="s">
        <v>9</v>
      </c>
      <c r="W133" s="175">
        <f>IF('Tab3'!C22="",'Tab3'!C21,'Tab3'!C22)</f>
        <v>7214.3441666666668</v>
      </c>
      <c r="X133" s="175">
        <f>IF('Tab3'!D22="",'Tab3'!D21,'Tab3'!D22)</f>
        <v>10160.966666666667</v>
      </c>
      <c r="Y133" s="175">
        <f>IF('Tab3'!E22="",'Tab3'!E21,'Tab3'!E22)</f>
        <v>10950.025</v>
      </c>
    </row>
    <row r="134" spans="1:25" x14ac:dyDescent="0.2">
      <c r="A134" s="171">
        <v>4</v>
      </c>
      <c r="B134" s="171"/>
      <c r="C134" s="171">
        <f>+E134-E133</f>
        <v>141.80000000000007</v>
      </c>
      <c r="D134" s="171">
        <f>+G134-G133</f>
        <v>125.60000000000002</v>
      </c>
      <c r="E134" s="171">
        <v>559.70000000000005</v>
      </c>
      <c r="G134" s="171">
        <v>491.6</v>
      </c>
      <c r="I134" s="180">
        <v>100.7</v>
      </c>
      <c r="J134" s="168">
        <v>4</v>
      </c>
      <c r="L134" s="177">
        <v>16502</v>
      </c>
      <c r="M134" s="176">
        <v>299.10000000000002</v>
      </c>
      <c r="N134" s="176">
        <f t="shared" si="4"/>
        <v>510.05658639523335</v>
      </c>
      <c r="O134" s="177">
        <v>7526</v>
      </c>
      <c r="P134" s="176">
        <v>738.59999999999945</v>
      </c>
      <c r="Q134" s="176">
        <f t="shared" si="2"/>
        <v>1259.5379294935442</v>
      </c>
      <c r="R134" s="177">
        <v>14647</v>
      </c>
      <c r="S134" s="176">
        <v>205.79999999999995</v>
      </c>
      <c r="T134" s="176">
        <f t="shared" si="3"/>
        <v>350.95167328699097</v>
      </c>
    </row>
    <row r="135" spans="1:25" x14ac:dyDescent="0.2">
      <c r="A135" s="171">
        <v>1</v>
      </c>
      <c r="B135" s="171">
        <v>1999</v>
      </c>
      <c r="C135" s="171">
        <f>+E135</f>
        <v>154.19999999999999</v>
      </c>
      <c r="D135" s="171">
        <f>+G135</f>
        <v>137.1</v>
      </c>
      <c r="E135" s="171">
        <v>154.19999999999999</v>
      </c>
      <c r="G135" s="171">
        <v>137.1</v>
      </c>
      <c r="I135" s="180">
        <v>101.4</v>
      </c>
      <c r="J135" s="168">
        <v>1</v>
      </c>
      <c r="K135" s="168">
        <v>1999</v>
      </c>
      <c r="L135" s="177">
        <v>18095</v>
      </c>
      <c r="M135" s="176">
        <v>328.50000000000006</v>
      </c>
      <c r="N135" s="176">
        <f t="shared" si="4"/>
        <v>556.3253328402368</v>
      </c>
      <c r="O135" s="177">
        <v>8863</v>
      </c>
      <c r="P135" s="176">
        <v>689.1</v>
      </c>
      <c r="Q135" s="176">
        <f t="shared" si="2"/>
        <v>1167.0130498027613</v>
      </c>
      <c r="R135" s="177">
        <v>11175</v>
      </c>
      <c r="S135" s="176">
        <v>162.80000000000001</v>
      </c>
      <c r="T135" s="176">
        <f t="shared" si="3"/>
        <v>275.7070447074293</v>
      </c>
    </row>
    <row r="136" spans="1:25" x14ac:dyDescent="0.2">
      <c r="A136" s="171">
        <v>2</v>
      </c>
      <c r="B136" s="171"/>
      <c r="C136" s="171">
        <f>+E136-E135</f>
        <v>159.30000000000001</v>
      </c>
      <c r="D136" s="171">
        <f>+G136-G135</f>
        <v>140.70000000000002</v>
      </c>
      <c r="E136" s="171">
        <v>313.5</v>
      </c>
      <c r="G136" s="171">
        <v>277.8</v>
      </c>
      <c r="I136" s="180">
        <v>102.2</v>
      </c>
      <c r="J136" s="168">
        <v>2</v>
      </c>
      <c r="L136" s="177">
        <v>12899</v>
      </c>
      <c r="M136" s="176">
        <v>332.7</v>
      </c>
      <c r="N136" s="176">
        <f t="shared" si="4"/>
        <v>559.02769324853227</v>
      </c>
      <c r="O136" s="177">
        <v>5920</v>
      </c>
      <c r="P136" s="176">
        <v>874.6</v>
      </c>
      <c r="Q136" s="176">
        <f t="shared" si="2"/>
        <v>1469.5690427266798</v>
      </c>
      <c r="R136" s="177">
        <v>12451</v>
      </c>
      <c r="S136" s="176">
        <v>199.09999999999997</v>
      </c>
      <c r="T136" s="176">
        <f t="shared" si="3"/>
        <v>334.54287263535542</v>
      </c>
    </row>
    <row r="137" spans="1:25" x14ac:dyDescent="0.2">
      <c r="A137" s="171">
        <v>3</v>
      </c>
      <c r="B137" s="171"/>
      <c r="C137" s="171">
        <f>+E137-E136</f>
        <v>146.30000000000001</v>
      </c>
      <c r="D137" s="171">
        <f>+G137-G136</f>
        <v>128.69999999999999</v>
      </c>
      <c r="E137" s="171">
        <v>459.8</v>
      </c>
      <c r="G137" s="171">
        <v>406.5</v>
      </c>
      <c r="I137" s="180">
        <v>101.7</v>
      </c>
      <c r="J137" s="168">
        <v>3</v>
      </c>
      <c r="L137" s="177">
        <v>23305</v>
      </c>
      <c r="M137" s="176">
        <v>445.5</v>
      </c>
      <c r="N137" s="176">
        <f t="shared" si="4"/>
        <v>752.24303097345125</v>
      </c>
      <c r="O137" s="177">
        <v>11181</v>
      </c>
      <c r="P137" s="176">
        <v>566.99999999999977</v>
      </c>
      <c r="Q137" s="176">
        <f t="shared" si="2"/>
        <v>957.40022123893766</v>
      </c>
      <c r="R137" s="177">
        <v>18817</v>
      </c>
      <c r="S137" s="176">
        <v>227.70000000000005</v>
      </c>
      <c r="T137" s="176">
        <f t="shared" si="3"/>
        <v>384.47977138643074</v>
      </c>
    </row>
    <row r="138" spans="1:25" x14ac:dyDescent="0.2">
      <c r="A138" s="171">
        <v>4</v>
      </c>
      <c r="B138" s="171"/>
      <c r="C138" s="171">
        <f>+E138-E137</f>
        <v>141.90000000000003</v>
      </c>
      <c r="D138" s="171">
        <f>+G138-G137</f>
        <v>126.39999999999998</v>
      </c>
      <c r="E138" s="171">
        <v>601.70000000000005</v>
      </c>
      <c r="G138" s="171">
        <v>532.9</v>
      </c>
      <c r="I138" s="176">
        <v>103.5</v>
      </c>
      <c r="J138" s="168">
        <v>4</v>
      </c>
      <c r="L138" s="177">
        <v>18359</v>
      </c>
      <c r="M138" s="176">
        <v>410.59999999999968</v>
      </c>
      <c r="N138" s="176">
        <f t="shared" si="4"/>
        <v>681.25548631239883</v>
      </c>
      <c r="O138" s="177">
        <v>9544</v>
      </c>
      <c r="P138" s="176">
        <v>935.5</v>
      </c>
      <c r="Q138" s="176">
        <f t="shared" si="2"/>
        <v>1552.1541827697263</v>
      </c>
      <c r="R138" s="177">
        <v>13692</v>
      </c>
      <c r="S138" s="176">
        <v>192.19999999999993</v>
      </c>
      <c r="T138" s="176">
        <f t="shared" si="3"/>
        <v>318.89260708534607</v>
      </c>
    </row>
    <row r="139" spans="1:25" x14ac:dyDescent="0.2">
      <c r="A139" s="171">
        <v>1</v>
      </c>
      <c r="B139" s="171">
        <v>2000</v>
      </c>
      <c r="C139" s="171">
        <f>+E139</f>
        <v>169.1</v>
      </c>
      <c r="D139" s="171">
        <f>+G139</f>
        <v>150.9</v>
      </c>
      <c r="E139" s="171">
        <v>169.1</v>
      </c>
      <c r="G139" s="171">
        <v>150.9</v>
      </c>
      <c r="I139" s="176">
        <v>104.6</v>
      </c>
      <c r="J139" s="168">
        <v>1</v>
      </c>
      <c r="K139" s="168">
        <v>2000</v>
      </c>
      <c r="L139" s="177">
        <v>17570</v>
      </c>
      <c r="M139" s="176">
        <v>345.9</v>
      </c>
      <c r="N139" s="176">
        <f t="shared" si="4"/>
        <v>567.87179015296363</v>
      </c>
      <c r="O139" s="177">
        <v>9154</v>
      </c>
      <c r="P139" s="176">
        <v>819.9</v>
      </c>
      <c r="Q139" s="176">
        <f t="shared" si="2"/>
        <v>1346.0482241873806</v>
      </c>
      <c r="R139" s="177">
        <v>12421</v>
      </c>
      <c r="S139" s="176">
        <v>198</v>
      </c>
      <c r="T139" s="176">
        <f t="shared" si="3"/>
        <v>325.06104206500959</v>
      </c>
    </row>
    <row r="140" spans="1:25" x14ac:dyDescent="0.2">
      <c r="A140" s="171">
        <v>2</v>
      </c>
      <c r="B140" s="171"/>
      <c r="C140" s="171">
        <f>+E140-E139</f>
        <v>151.50000000000003</v>
      </c>
      <c r="D140" s="171">
        <f>+G140-G139</f>
        <v>133.4</v>
      </c>
      <c r="E140" s="171">
        <v>320.60000000000002</v>
      </c>
      <c r="G140" s="171">
        <v>284.3</v>
      </c>
      <c r="I140" s="176">
        <v>105.1</v>
      </c>
      <c r="J140" s="168">
        <v>2</v>
      </c>
      <c r="L140" s="177">
        <v>14069</v>
      </c>
      <c r="M140" s="176">
        <v>252.39999999999998</v>
      </c>
      <c r="N140" s="176">
        <f t="shared" si="4"/>
        <v>412.39942594354579</v>
      </c>
      <c r="O140" s="177">
        <v>10238</v>
      </c>
      <c r="P140" s="176">
        <v>674.19999999999993</v>
      </c>
      <c r="Q140" s="176">
        <f t="shared" si="2"/>
        <v>1101.5835696162385</v>
      </c>
      <c r="R140" s="177">
        <v>13950</v>
      </c>
      <c r="S140" s="176">
        <v>184.5</v>
      </c>
      <c r="T140" s="176">
        <f t="shared" si="3"/>
        <v>301.45679115128451</v>
      </c>
    </row>
    <row r="141" spans="1:25" x14ac:dyDescent="0.2">
      <c r="A141" s="171">
        <v>3</v>
      </c>
      <c r="B141" s="171"/>
      <c r="C141" s="171">
        <f>+E141-E140</f>
        <v>139</v>
      </c>
      <c r="D141" s="171">
        <f>+G141-G140</f>
        <v>123.5</v>
      </c>
      <c r="E141" s="171">
        <v>459.6</v>
      </c>
      <c r="G141" s="171">
        <v>407.8</v>
      </c>
      <c r="I141" s="176">
        <v>105.3</v>
      </c>
      <c r="J141" s="168">
        <v>3</v>
      </c>
      <c r="L141" s="177">
        <v>16329</v>
      </c>
      <c r="M141" s="176">
        <v>313.5</v>
      </c>
      <c r="N141" s="176">
        <f t="shared" si="4"/>
        <v>511.25855887939218</v>
      </c>
      <c r="O141" s="177">
        <v>13877</v>
      </c>
      <c r="P141" s="176">
        <v>706.20000000000027</v>
      </c>
      <c r="Q141" s="176">
        <f t="shared" si="2"/>
        <v>1151.6771747388418</v>
      </c>
      <c r="R141" s="177">
        <v>14850</v>
      </c>
      <c r="S141" s="176">
        <v>193.89999999999998</v>
      </c>
      <c r="T141" s="176">
        <f t="shared" si="3"/>
        <v>316.21382636910408</v>
      </c>
    </row>
    <row r="142" spans="1:25" x14ac:dyDescent="0.2">
      <c r="A142" s="171">
        <v>4</v>
      </c>
      <c r="B142" s="171"/>
      <c r="C142" s="171">
        <f>+E142-E141</f>
        <v>135.10000000000002</v>
      </c>
      <c r="D142" s="171">
        <f>+G142-G141</f>
        <v>121.40000000000003</v>
      </c>
      <c r="E142" s="171">
        <v>594.70000000000005</v>
      </c>
      <c r="G142" s="171">
        <v>529.20000000000005</v>
      </c>
      <c r="I142" s="176">
        <v>106.8</v>
      </c>
      <c r="J142" s="168">
        <v>4</v>
      </c>
      <c r="L142" s="177">
        <v>21735</v>
      </c>
      <c r="M142" s="176">
        <v>484.79999999999995</v>
      </c>
      <c r="N142" s="176">
        <f t="shared" si="4"/>
        <v>779.51194756554298</v>
      </c>
      <c r="O142" s="177">
        <v>9978</v>
      </c>
      <c r="P142" s="176">
        <v>739.19999999999982</v>
      </c>
      <c r="Q142" s="176">
        <f t="shared" si="2"/>
        <v>1188.5627715355802</v>
      </c>
      <c r="R142" s="177">
        <v>13212</v>
      </c>
      <c r="S142" s="176">
        <v>215</v>
      </c>
      <c r="T142" s="176">
        <f t="shared" si="3"/>
        <v>345.69939918851435</v>
      </c>
    </row>
    <row r="143" spans="1:25" x14ac:dyDescent="0.2">
      <c r="A143" s="171">
        <v>1</v>
      </c>
      <c r="B143" s="171">
        <v>2001</v>
      </c>
      <c r="C143" s="171">
        <f>+E143</f>
        <v>158.5</v>
      </c>
      <c r="D143" s="171">
        <f>+G143</f>
        <v>143.1</v>
      </c>
      <c r="E143" s="171">
        <v>158.5</v>
      </c>
      <c r="G143" s="171">
        <v>143.1</v>
      </c>
      <c r="I143" s="176">
        <v>108.4</v>
      </c>
      <c r="J143" s="168">
        <v>1</v>
      </c>
      <c r="K143" s="168">
        <v>2001</v>
      </c>
      <c r="L143" s="177">
        <v>27280</v>
      </c>
      <c r="M143" s="176">
        <v>675.3</v>
      </c>
      <c r="N143" s="176">
        <f t="shared" si="4"/>
        <v>1069.7908648523983</v>
      </c>
      <c r="O143" s="177">
        <v>7776</v>
      </c>
      <c r="P143" s="176">
        <v>877</v>
      </c>
      <c r="Q143" s="176">
        <f t="shared" si="2"/>
        <v>1389.3182118696186</v>
      </c>
      <c r="R143" s="177">
        <v>10538</v>
      </c>
      <c r="S143" s="176">
        <v>164.1</v>
      </c>
      <c r="T143" s="176">
        <f t="shared" si="3"/>
        <v>259.96250691881914</v>
      </c>
    </row>
    <row r="144" spans="1:25" x14ac:dyDescent="0.2">
      <c r="A144" s="171">
        <v>2</v>
      </c>
      <c r="B144" s="171"/>
      <c r="C144" s="171">
        <f>+E144-E143</f>
        <v>140.45999999999998</v>
      </c>
      <c r="D144" s="171">
        <f>+G144-G143</f>
        <v>125.70000000000002</v>
      </c>
      <c r="E144" s="171">
        <v>298.95999999999998</v>
      </c>
      <c r="G144" s="171">
        <v>268.8</v>
      </c>
      <c r="I144" s="176">
        <v>109.6</v>
      </c>
      <c r="J144" s="168">
        <v>2</v>
      </c>
      <c r="L144" s="177">
        <v>17111</v>
      </c>
      <c r="M144" s="176">
        <v>452</v>
      </c>
      <c r="N144" s="176">
        <f t="shared" si="4"/>
        <v>708.20550486618004</v>
      </c>
      <c r="O144" s="177">
        <v>5711</v>
      </c>
      <c r="P144" s="176">
        <v>923</v>
      </c>
      <c r="Q144" s="176">
        <f t="shared" si="2"/>
        <v>1446.1807101581508</v>
      </c>
      <c r="R144" s="177">
        <v>11841</v>
      </c>
      <c r="S144" s="176">
        <v>190.29999999999998</v>
      </c>
      <c r="T144" s="176">
        <f t="shared" si="3"/>
        <v>298.16705215936736</v>
      </c>
    </row>
    <row r="145" spans="1:20" x14ac:dyDescent="0.2">
      <c r="A145" s="171">
        <v>3</v>
      </c>
      <c r="C145" s="171">
        <f>+E145-E144</f>
        <v>134.24</v>
      </c>
      <c r="D145" s="171">
        <f>+G145-G144</f>
        <v>119.19999999999999</v>
      </c>
      <c r="E145" s="171">
        <v>433.2</v>
      </c>
      <c r="G145" s="171">
        <v>388</v>
      </c>
      <c r="I145" s="176">
        <v>108.1</v>
      </c>
      <c r="J145" s="168">
        <v>3</v>
      </c>
      <c r="L145" s="177">
        <v>16407</v>
      </c>
      <c r="M145" s="176">
        <v>400.40000000000009</v>
      </c>
      <c r="N145" s="176">
        <f t="shared" si="4"/>
        <v>636.06250077089135</v>
      </c>
      <c r="O145" s="177">
        <v>15359</v>
      </c>
      <c r="P145" s="176">
        <v>1172.1999999999998</v>
      </c>
      <c r="Q145" s="176">
        <f t="shared" si="2"/>
        <v>1862.1190394696266</v>
      </c>
      <c r="R145" s="177">
        <v>13534</v>
      </c>
      <c r="S145" s="176">
        <v>158.5</v>
      </c>
      <c r="T145" s="176">
        <f t="shared" si="3"/>
        <v>251.7879779525131</v>
      </c>
    </row>
    <row r="146" spans="1:20" x14ac:dyDescent="0.2">
      <c r="A146" s="171">
        <v>4</v>
      </c>
      <c r="C146" s="171">
        <f>+E146-E145</f>
        <v>137.49520000000001</v>
      </c>
      <c r="D146" s="171">
        <f>+G146-G145</f>
        <v>124.07220000000007</v>
      </c>
      <c r="E146" s="179">
        <v>570.6952</v>
      </c>
      <c r="F146" s="184"/>
      <c r="G146" s="179">
        <v>512.07220000000007</v>
      </c>
      <c r="I146" s="176">
        <v>108.7</v>
      </c>
      <c r="J146" s="168">
        <v>4</v>
      </c>
      <c r="L146" s="177">
        <v>16945</v>
      </c>
      <c r="M146" s="176">
        <v>509.39999999999986</v>
      </c>
      <c r="N146" s="176">
        <f t="shared" si="4"/>
        <v>804.74968261269521</v>
      </c>
      <c r="O146" s="177">
        <v>9601</v>
      </c>
      <c r="P146" s="176">
        <v>803.30000000000018</v>
      </c>
      <c r="Q146" s="176">
        <f t="shared" si="2"/>
        <v>1269.0526502606565</v>
      </c>
      <c r="R146" s="177">
        <v>12341</v>
      </c>
      <c r="S146" s="176">
        <v>258.5</v>
      </c>
      <c r="T146" s="176">
        <f t="shared" si="3"/>
        <v>408.37807804354486</v>
      </c>
    </row>
    <row r="147" spans="1:20" x14ac:dyDescent="0.2">
      <c r="A147" s="171">
        <v>1</v>
      </c>
      <c r="B147" s="171">
        <v>2002</v>
      </c>
      <c r="C147" s="171">
        <f>+E147</f>
        <v>155.81399999999999</v>
      </c>
      <c r="D147" s="171">
        <f>+G147</f>
        <v>141.72399999999999</v>
      </c>
      <c r="E147" s="179">
        <v>155.81399999999999</v>
      </c>
      <c r="F147" s="184"/>
      <c r="G147" s="179">
        <v>141.72399999999999</v>
      </c>
      <c r="I147" s="176">
        <v>109.3</v>
      </c>
      <c r="J147" s="168">
        <v>1</v>
      </c>
      <c r="K147" s="168">
        <v>2002</v>
      </c>
      <c r="L147" s="177">
        <v>17523</v>
      </c>
      <c r="M147" s="176">
        <v>466.5</v>
      </c>
      <c r="N147" s="176">
        <f t="shared" si="4"/>
        <v>732.93068389752966</v>
      </c>
      <c r="O147" s="177">
        <v>6856</v>
      </c>
      <c r="P147" s="176">
        <v>820.40000000000009</v>
      </c>
      <c r="Q147" s="176">
        <f t="shared" si="2"/>
        <v>1288.952482464166</v>
      </c>
      <c r="R147" s="177">
        <v>9371</v>
      </c>
      <c r="S147" s="176">
        <v>197.9</v>
      </c>
      <c r="T147" s="176">
        <f t="shared" si="3"/>
        <v>310.92600716681915</v>
      </c>
    </row>
    <row r="148" spans="1:20" x14ac:dyDescent="0.2">
      <c r="A148" s="171">
        <v>2</v>
      </c>
      <c r="B148" s="171"/>
      <c r="C148" s="171">
        <f>+E148-E147</f>
        <v>146.54300000000003</v>
      </c>
      <c r="D148" s="171">
        <f>+G148-G147</f>
        <v>133.19</v>
      </c>
      <c r="E148" s="171">
        <v>302.35700000000003</v>
      </c>
      <c r="G148" s="171">
        <v>274.91399999999999</v>
      </c>
      <c r="I148" s="176">
        <v>110</v>
      </c>
      <c r="J148" s="168">
        <v>2</v>
      </c>
      <c r="L148" s="177">
        <v>17469</v>
      </c>
      <c r="M148" s="176">
        <v>408.5</v>
      </c>
      <c r="N148" s="176">
        <f t="shared" si="4"/>
        <v>637.72110984848484</v>
      </c>
      <c r="O148" s="177">
        <v>9323</v>
      </c>
      <c r="P148" s="176">
        <v>689.09999999999991</v>
      </c>
      <c r="Q148" s="176">
        <f t="shared" si="2"/>
        <v>1075.7738477272726</v>
      </c>
      <c r="R148" s="177">
        <v>14749</v>
      </c>
      <c r="S148" s="176">
        <v>233.49999999999997</v>
      </c>
      <c r="T148" s="176">
        <f t="shared" si="3"/>
        <v>364.52357196969695</v>
      </c>
    </row>
    <row r="149" spans="1:20" x14ac:dyDescent="0.2">
      <c r="A149" s="171">
        <v>3</v>
      </c>
      <c r="C149" s="171">
        <f>+E149-E148</f>
        <v>146.23099999999999</v>
      </c>
      <c r="D149" s="171">
        <f>+G149-G148</f>
        <v>127.14100000000002</v>
      </c>
      <c r="E149" s="171">
        <v>448.58800000000002</v>
      </c>
      <c r="G149" s="171">
        <v>402.05500000000001</v>
      </c>
      <c r="I149" s="176">
        <v>109.6</v>
      </c>
      <c r="J149" s="168">
        <v>3</v>
      </c>
      <c r="L149" s="177">
        <v>19641</v>
      </c>
      <c r="M149" s="176">
        <v>503</v>
      </c>
      <c r="N149" s="176">
        <f t="shared" si="4"/>
        <v>788.11364811435521</v>
      </c>
      <c r="O149" s="177">
        <v>17422</v>
      </c>
      <c r="P149" s="176">
        <v>895.90000000000009</v>
      </c>
      <c r="Q149" s="176">
        <f t="shared" si="2"/>
        <v>1403.7197163929441</v>
      </c>
      <c r="R149" s="177">
        <v>14722</v>
      </c>
      <c r="S149" s="176">
        <v>184.5</v>
      </c>
      <c r="T149" s="176">
        <f t="shared" si="3"/>
        <v>289.07945939781024</v>
      </c>
    </row>
    <row r="150" spans="1:20" x14ac:dyDescent="0.2">
      <c r="A150" s="171">
        <v>4</v>
      </c>
      <c r="C150" s="171">
        <f>+E150-E149</f>
        <v>137.96699999999993</v>
      </c>
      <c r="D150" s="171">
        <f>+G150-G149</f>
        <v>124.64100000000002</v>
      </c>
      <c r="E150" s="179">
        <v>586.55499999999995</v>
      </c>
      <c r="F150" s="184"/>
      <c r="G150" s="179">
        <v>526.69600000000003</v>
      </c>
      <c r="I150" s="176">
        <v>111</v>
      </c>
      <c r="J150" s="168">
        <v>4</v>
      </c>
      <c r="L150" s="177">
        <v>17442</v>
      </c>
      <c r="M150" s="176">
        <v>464.20000000000005</v>
      </c>
      <c r="N150" s="176">
        <f t="shared" si="4"/>
        <v>718.14737087087087</v>
      </c>
      <c r="O150" s="177">
        <v>8123</v>
      </c>
      <c r="P150" s="176">
        <v>938.5</v>
      </c>
      <c r="Q150" s="176">
        <f t="shared" si="2"/>
        <v>1451.9200938438439</v>
      </c>
      <c r="R150" s="177">
        <v>14689</v>
      </c>
      <c r="S150" s="176">
        <v>194.00000000000011</v>
      </c>
      <c r="T150" s="176">
        <f t="shared" si="3"/>
        <v>300.13052552552568</v>
      </c>
    </row>
    <row r="151" spans="1:20" x14ac:dyDescent="0.2">
      <c r="A151" s="171">
        <v>1</v>
      </c>
      <c r="B151" s="171">
        <v>2003</v>
      </c>
      <c r="C151" s="179">
        <f>+E151</f>
        <v>165.679</v>
      </c>
      <c r="D151" s="171">
        <f>+G151</f>
        <v>150.81100000000001</v>
      </c>
      <c r="E151" s="179">
        <v>165.679</v>
      </c>
      <c r="F151" s="184"/>
      <c r="G151" s="179">
        <v>150.81100000000001</v>
      </c>
      <c r="I151" s="176">
        <v>114.6</v>
      </c>
      <c r="J151" s="168">
        <v>1</v>
      </c>
      <c r="K151" s="168">
        <v>2003</v>
      </c>
      <c r="L151" s="177">
        <v>22781</v>
      </c>
      <c r="M151" s="176">
        <v>626.79999999999995</v>
      </c>
      <c r="N151" s="176">
        <f t="shared" si="4"/>
        <v>939.23828679464793</v>
      </c>
      <c r="O151" s="177">
        <v>6823</v>
      </c>
      <c r="P151" s="176">
        <v>1087.2</v>
      </c>
      <c r="Q151" s="176">
        <f t="shared" si="2"/>
        <v>1629.1318848167541</v>
      </c>
      <c r="R151" s="177">
        <v>10626</v>
      </c>
      <c r="S151" s="176">
        <v>183</v>
      </c>
      <c r="T151" s="176">
        <f t="shared" si="3"/>
        <v>274.21921902268764</v>
      </c>
    </row>
    <row r="152" spans="1:20" x14ac:dyDescent="0.2">
      <c r="A152" s="171">
        <v>2</v>
      </c>
      <c r="B152" s="171"/>
      <c r="C152" s="179">
        <f>+E152-E151</f>
        <v>135.02099999999999</v>
      </c>
      <c r="D152" s="171">
        <f>+G152-G151</f>
        <v>121.10099999999997</v>
      </c>
      <c r="E152" s="171">
        <v>300.7</v>
      </c>
      <c r="G152" s="171">
        <v>271.91199999999998</v>
      </c>
      <c r="I152" s="176">
        <v>112.3</v>
      </c>
      <c r="J152" s="168">
        <v>2</v>
      </c>
      <c r="L152" s="177">
        <v>15417</v>
      </c>
      <c r="M152" s="176">
        <v>406.10000000000014</v>
      </c>
      <c r="N152" s="176">
        <f t="shared" si="4"/>
        <v>620.99006307509671</v>
      </c>
      <c r="O152" s="177">
        <v>5618</v>
      </c>
      <c r="P152" s="176">
        <v>817.8</v>
      </c>
      <c r="Q152" s="176">
        <f t="shared" si="2"/>
        <v>1250.5433971504897</v>
      </c>
      <c r="R152" s="177">
        <v>12719</v>
      </c>
      <c r="S152" s="176">
        <v>203.2</v>
      </c>
      <c r="T152" s="176">
        <f t="shared" si="3"/>
        <v>310.72440486791328</v>
      </c>
    </row>
    <row r="153" spans="1:20" x14ac:dyDescent="0.2">
      <c r="A153" s="171">
        <v>3</v>
      </c>
      <c r="B153" s="171"/>
      <c r="C153" s="179">
        <f>+E153-E152</f>
        <v>134.11099999999999</v>
      </c>
      <c r="D153" s="171">
        <f>+G153-G152</f>
        <v>119.49100000000004</v>
      </c>
      <c r="E153" s="171">
        <v>434.81099999999998</v>
      </c>
      <c r="G153" s="171">
        <v>391.40300000000002</v>
      </c>
      <c r="I153" s="176">
        <v>111.9</v>
      </c>
      <c r="J153" s="168">
        <v>3</v>
      </c>
      <c r="L153" s="177">
        <v>18848</v>
      </c>
      <c r="M153" s="176">
        <v>430.5</v>
      </c>
      <c r="N153" s="176">
        <f t="shared" si="4"/>
        <v>660.65463583556743</v>
      </c>
      <c r="O153" s="177">
        <v>16056</v>
      </c>
      <c r="P153" s="176">
        <v>860.19999999999982</v>
      </c>
      <c r="Q153" s="176">
        <f t="shared" si="2"/>
        <v>1320.0815743223113</v>
      </c>
      <c r="R153" s="177">
        <v>13690</v>
      </c>
      <c r="S153" s="176">
        <v>188.8</v>
      </c>
      <c r="T153" s="176">
        <f t="shared" si="3"/>
        <v>289.73657432231158</v>
      </c>
    </row>
    <row r="154" spans="1:20" x14ac:dyDescent="0.2">
      <c r="A154" s="171">
        <v>4</v>
      </c>
      <c r="B154" s="171"/>
      <c r="C154" s="179">
        <f>+E154-E153</f>
        <v>142.01299999999998</v>
      </c>
      <c r="D154" s="171">
        <f>+G154-G153</f>
        <v>125.95899999999995</v>
      </c>
      <c r="E154" s="171">
        <v>576.82399999999996</v>
      </c>
      <c r="G154" s="171">
        <v>517.36199999999997</v>
      </c>
      <c r="I154" s="176">
        <v>112.6</v>
      </c>
      <c r="J154" s="168">
        <v>4</v>
      </c>
      <c r="L154" s="177">
        <v>16096</v>
      </c>
      <c r="M154" s="176">
        <v>471.89999999999986</v>
      </c>
      <c r="N154" s="176">
        <f t="shared" si="4"/>
        <v>719.68591696269959</v>
      </c>
      <c r="O154" s="177">
        <v>7652</v>
      </c>
      <c r="P154" s="176">
        <v>762.30000000000018</v>
      </c>
      <c r="Q154" s="176">
        <f t="shared" si="2"/>
        <v>1162.5695581705154</v>
      </c>
      <c r="R154" s="177">
        <v>11607</v>
      </c>
      <c r="S154" s="176">
        <v>220.90000000000009</v>
      </c>
      <c r="T154" s="176">
        <f t="shared" si="3"/>
        <v>336.89048327412684</v>
      </c>
    </row>
    <row r="155" spans="1:20" x14ac:dyDescent="0.2">
      <c r="A155" s="171">
        <v>1</v>
      </c>
      <c r="B155" s="171">
        <v>2004</v>
      </c>
      <c r="C155" s="179">
        <f>+E155</f>
        <v>168.309</v>
      </c>
      <c r="D155" s="171">
        <f>+G155</f>
        <v>153.04300000000001</v>
      </c>
      <c r="E155" s="171">
        <v>168.309</v>
      </c>
      <c r="G155" s="171">
        <v>153.04300000000001</v>
      </c>
      <c r="I155" s="176">
        <v>112.6</v>
      </c>
      <c r="J155" s="168">
        <v>1</v>
      </c>
      <c r="K155" s="168">
        <v>2004</v>
      </c>
      <c r="L155" s="177">
        <v>17805</v>
      </c>
      <c r="M155" s="176">
        <v>517.69999999999993</v>
      </c>
      <c r="N155" s="176">
        <f t="shared" si="4"/>
        <v>789.53464550029594</v>
      </c>
      <c r="O155" s="177">
        <v>7033</v>
      </c>
      <c r="P155" s="176">
        <v>735.2</v>
      </c>
      <c r="Q155" s="176">
        <f t="shared" si="2"/>
        <v>1121.2398519834223</v>
      </c>
      <c r="R155" s="177">
        <v>8913</v>
      </c>
      <c r="S155" s="176">
        <v>178.89999999999998</v>
      </c>
      <c r="T155" s="176">
        <f t="shared" si="3"/>
        <v>272.83706409117815</v>
      </c>
    </row>
    <row r="156" spans="1:20" x14ac:dyDescent="0.2">
      <c r="A156" s="171">
        <v>2</v>
      </c>
      <c r="B156" s="171"/>
      <c r="C156" s="179">
        <f>+E156-E155</f>
        <v>140.26700000000002</v>
      </c>
      <c r="D156" s="171">
        <f>+G156-G155</f>
        <v>125.56799999999998</v>
      </c>
      <c r="E156" s="171">
        <v>308.57600000000002</v>
      </c>
      <c r="G156" s="171">
        <v>278.61099999999999</v>
      </c>
      <c r="I156" s="176">
        <v>113.4</v>
      </c>
      <c r="J156" s="168">
        <v>2</v>
      </c>
      <c r="L156" s="177">
        <v>13855</v>
      </c>
      <c r="M156" s="176">
        <v>344.69999999999993</v>
      </c>
      <c r="N156" s="176">
        <f t="shared" si="4"/>
        <v>521.98695105820093</v>
      </c>
      <c r="O156" s="177">
        <v>6436</v>
      </c>
      <c r="P156" s="176">
        <v>708.3</v>
      </c>
      <c r="Q156" s="176">
        <f t="shared" si="2"/>
        <v>1072.5945965608464</v>
      </c>
      <c r="R156" s="177">
        <v>10802</v>
      </c>
      <c r="S156" s="176">
        <v>228.40000000000003</v>
      </c>
      <c r="T156" s="176">
        <f t="shared" si="3"/>
        <v>345.87124926513815</v>
      </c>
    </row>
    <row r="157" spans="1:20" x14ac:dyDescent="0.2">
      <c r="A157" s="171">
        <v>3</v>
      </c>
      <c r="B157" s="171"/>
      <c r="C157" s="179">
        <f>+E157-E156</f>
        <v>137.76999999999998</v>
      </c>
      <c r="D157" s="171">
        <f>+G157-G156</f>
        <v>123.12100000000004</v>
      </c>
      <c r="E157" s="171">
        <v>446.346</v>
      </c>
      <c r="G157" s="171">
        <v>401.73200000000003</v>
      </c>
      <c r="I157" s="176">
        <v>113</v>
      </c>
      <c r="J157" s="168">
        <v>3</v>
      </c>
      <c r="L157" s="177">
        <v>17630</v>
      </c>
      <c r="M157" s="176">
        <v>454.09999999999991</v>
      </c>
      <c r="N157" s="176">
        <f t="shared" si="4"/>
        <v>690.08800073746295</v>
      </c>
      <c r="O157" s="177">
        <v>11805</v>
      </c>
      <c r="P157" s="176">
        <v>652.69999999999982</v>
      </c>
      <c r="Q157" s="176">
        <f t="shared" si="2"/>
        <v>991.89702286135673</v>
      </c>
      <c r="R157" s="177">
        <v>11365</v>
      </c>
      <c r="S157" s="176">
        <v>160.7999999999999</v>
      </c>
      <c r="T157" s="176">
        <f t="shared" si="3"/>
        <v>244.36500884955737</v>
      </c>
    </row>
    <row r="158" spans="1:20" x14ac:dyDescent="0.2">
      <c r="A158" s="171">
        <v>4</v>
      </c>
      <c r="B158" s="171"/>
      <c r="C158" s="179">
        <f>+E158-E157</f>
        <v>137.68499999999995</v>
      </c>
      <c r="D158" s="171">
        <f>+G158-G157</f>
        <v>124.50600000000003</v>
      </c>
      <c r="E158" s="171">
        <v>584.03099999999995</v>
      </c>
      <c r="G158" s="171">
        <v>526.23800000000006</v>
      </c>
      <c r="I158" s="176">
        <v>114</v>
      </c>
      <c r="J158" s="168">
        <v>4</v>
      </c>
      <c r="L158" s="177">
        <v>16674</v>
      </c>
      <c r="M158" s="176">
        <v>428.20000000000027</v>
      </c>
      <c r="N158" s="176">
        <f t="shared" si="4"/>
        <v>645.02007163742735</v>
      </c>
      <c r="O158" s="177">
        <v>10088</v>
      </c>
      <c r="P158" s="176">
        <v>709.40000000000055</v>
      </c>
      <c r="Q158" s="176">
        <f t="shared" si="2"/>
        <v>1068.6063494152054</v>
      </c>
      <c r="R158" s="177">
        <v>9276</v>
      </c>
      <c r="S158" s="176">
        <v>162.90000000000009</v>
      </c>
      <c r="T158" s="176">
        <f t="shared" si="3"/>
        <v>245.38479605263171</v>
      </c>
    </row>
    <row r="159" spans="1:20" x14ac:dyDescent="0.2">
      <c r="A159" s="171">
        <v>1</v>
      </c>
      <c r="B159" s="171">
        <v>2005</v>
      </c>
      <c r="C159" s="179">
        <f>+E159</f>
        <v>147.31100000000001</v>
      </c>
      <c r="D159" s="171">
        <f>+G159</f>
        <v>133.756</v>
      </c>
      <c r="E159" s="171">
        <v>147.31100000000001</v>
      </c>
      <c r="G159" s="171">
        <v>133.756</v>
      </c>
      <c r="I159" s="176">
        <v>113.7</v>
      </c>
      <c r="J159" s="168">
        <v>1</v>
      </c>
      <c r="K159" s="168">
        <v>2005</v>
      </c>
      <c r="L159" s="177">
        <v>15151</v>
      </c>
      <c r="M159" s="176">
        <v>418</v>
      </c>
      <c r="N159" s="176">
        <f t="shared" si="4"/>
        <v>631.31663734975075</v>
      </c>
      <c r="O159" s="177">
        <v>7287</v>
      </c>
      <c r="P159" s="176">
        <v>715.2</v>
      </c>
      <c r="Q159" s="176">
        <f t="shared" si="2"/>
        <v>1080.1857871591908</v>
      </c>
      <c r="R159" s="177">
        <v>7498</v>
      </c>
      <c r="S159" s="176">
        <v>159.69999999999999</v>
      </c>
      <c r="T159" s="176">
        <f t="shared" si="3"/>
        <v>241.19920331281148</v>
      </c>
    </row>
    <row r="160" spans="1:20" x14ac:dyDescent="0.2">
      <c r="A160" s="171">
        <v>2</v>
      </c>
      <c r="B160" s="171"/>
      <c r="C160" s="179">
        <f>+E160-E159</f>
        <v>143.51699999999997</v>
      </c>
      <c r="D160" s="171">
        <f>+G160-G159</f>
        <v>128.79</v>
      </c>
      <c r="E160" s="171">
        <v>290.82799999999997</v>
      </c>
      <c r="G160" s="171">
        <v>262.54599999999999</v>
      </c>
      <c r="I160" s="176">
        <v>115.2</v>
      </c>
      <c r="J160" s="168">
        <v>2</v>
      </c>
      <c r="L160" s="177">
        <v>14855</v>
      </c>
      <c r="M160" s="176">
        <v>323.20000000000005</v>
      </c>
      <c r="N160" s="176">
        <f t="shared" si="4"/>
        <v>481.78168981481485</v>
      </c>
      <c r="O160" s="177">
        <v>6172</v>
      </c>
      <c r="P160" s="176">
        <v>745.5</v>
      </c>
      <c r="Q160" s="176">
        <f t="shared" si="2"/>
        <v>1111.2879014756943</v>
      </c>
      <c r="R160" s="177">
        <v>11610</v>
      </c>
      <c r="S160" s="176">
        <v>152.50000000000006</v>
      </c>
      <c r="T160" s="176">
        <f t="shared" si="3"/>
        <v>227.32582826967601</v>
      </c>
    </row>
    <row r="161" spans="1:20" x14ac:dyDescent="0.2">
      <c r="A161" s="171">
        <v>3</v>
      </c>
      <c r="B161" s="171"/>
      <c r="C161" s="179">
        <f>+E161-E160</f>
        <v>134.78300000000002</v>
      </c>
      <c r="D161" s="171">
        <f>+G161-G160</f>
        <v>120.57100000000003</v>
      </c>
      <c r="E161" s="171">
        <v>425.61099999999999</v>
      </c>
      <c r="G161" s="171">
        <v>383.11700000000002</v>
      </c>
      <c r="I161" s="176">
        <v>115.1</v>
      </c>
      <c r="J161" s="168">
        <v>3</v>
      </c>
      <c r="L161" s="177">
        <v>13014</v>
      </c>
      <c r="M161" s="176">
        <v>448.29999999999995</v>
      </c>
      <c r="N161" s="176">
        <f t="shared" si="4"/>
        <v>668.84399580075285</v>
      </c>
      <c r="O161" s="177">
        <v>6734</v>
      </c>
      <c r="P161" s="176">
        <v>832.10000000000014</v>
      </c>
      <c r="Q161" s="176">
        <f t="shared" si="2"/>
        <v>1241.4568121922969</v>
      </c>
      <c r="R161" s="177">
        <v>8742</v>
      </c>
      <c r="S161" s="176">
        <v>152.99999999999994</v>
      </c>
      <c r="T161" s="176">
        <f t="shared" si="3"/>
        <v>228.26930929626403</v>
      </c>
    </row>
    <row r="162" spans="1:20" x14ac:dyDescent="0.2">
      <c r="A162" s="171">
        <v>4</v>
      </c>
      <c r="B162" s="171"/>
      <c r="C162" s="179">
        <f>+E162-E161</f>
        <v>137.37</v>
      </c>
      <c r="D162" s="171">
        <f>+G162-G161</f>
        <v>124.38200000000001</v>
      </c>
      <c r="E162" s="171">
        <v>562.98099999999999</v>
      </c>
      <c r="G162" s="171">
        <v>507.49900000000002</v>
      </c>
      <c r="I162" s="176">
        <v>116</v>
      </c>
      <c r="J162" s="168">
        <v>4</v>
      </c>
      <c r="L162" s="177">
        <v>22745</v>
      </c>
      <c r="M162" s="176">
        <v>478.79999999999995</v>
      </c>
      <c r="N162" s="176">
        <f t="shared" si="4"/>
        <v>708.80630172413782</v>
      </c>
      <c r="O162" s="177">
        <v>8144</v>
      </c>
      <c r="P162" s="176">
        <v>795.79999999999973</v>
      </c>
      <c r="Q162" s="176">
        <f t="shared" si="2"/>
        <v>1178.086998563218</v>
      </c>
      <c r="R162" s="177">
        <v>11407</v>
      </c>
      <c r="S162" s="176">
        <v>142.00000000000006</v>
      </c>
      <c r="T162" s="176">
        <f t="shared" si="3"/>
        <v>210.21406609195412</v>
      </c>
    </row>
    <row r="163" spans="1:20" x14ac:dyDescent="0.2">
      <c r="A163" s="171">
        <v>1</v>
      </c>
      <c r="B163" s="171">
        <v>2006</v>
      </c>
      <c r="C163" s="179">
        <f>+E163</f>
        <v>155.21299999999999</v>
      </c>
      <c r="D163" s="171">
        <f>+G163</f>
        <v>139.72800000000001</v>
      </c>
      <c r="E163" s="171">
        <v>155.21299999999999</v>
      </c>
      <c r="G163" s="171">
        <v>139.72800000000001</v>
      </c>
      <c r="I163" s="176">
        <v>116.6</v>
      </c>
      <c r="J163" s="168">
        <v>1</v>
      </c>
      <c r="K163" s="168">
        <v>2006</v>
      </c>
      <c r="L163" s="177">
        <v>18196</v>
      </c>
      <c r="M163" s="176">
        <v>585</v>
      </c>
      <c r="N163" s="176">
        <f t="shared" si="4"/>
        <v>861.56635934819906</v>
      </c>
      <c r="O163" s="177">
        <v>6106</v>
      </c>
      <c r="P163" s="176">
        <v>947.2</v>
      </c>
      <c r="Q163" s="176">
        <f t="shared" si="2"/>
        <v>1395.001120640366</v>
      </c>
      <c r="R163" s="177">
        <v>7106</v>
      </c>
      <c r="S163" s="176">
        <v>150.6</v>
      </c>
      <c r="T163" s="176">
        <f t="shared" si="3"/>
        <v>221.79810891938249</v>
      </c>
    </row>
    <row r="164" spans="1:20" x14ac:dyDescent="0.2">
      <c r="A164" s="171">
        <v>2</v>
      </c>
      <c r="B164" s="171"/>
      <c r="C164" s="179">
        <f>+E164-E163</f>
        <v>147.44399999999999</v>
      </c>
      <c r="D164" s="171">
        <f>+G164-G163</f>
        <v>129.572</v>
      </c>
      <c r="E164" s="171">
        <v>302.65699999999998</v>
      </c>
      <c r="G164" s="171">
        <v>269.3</v>
      </c>
      <c r="I164" s="176">
        <v>117.9</v>
      </c>
      <c r="J164" s="168">
        <v>2</v>
      </c>
      <c r="L164" s="177">
        <v>13943</v>
      </c>
      <c r="M164" s="176">
        <v>433.79999999999995</v>
      </c>
      <c r="N164" s="176">
        <f t="shared" si="4"/>
        <v>631.84006361323145</v>
      </c>
      <c r="O164" s="177">
        <v>5246</v>
      </c>
      <c r="P164" s="176">
        <v>811.2</v>
      </c>
      <c r="Q164" s="176">
        <f t="shared" si="2"/>
        <v>1181.5321798134012</v>
      </c>
      <c r="R164" s="177">
        <v>9193</v>
      </c>
      <c r="S164" s="176">
        <v>176.1</v>
      </c>
      <c r="T164" s="176">
        <f t="shared" si="3"/>
        <v>256.49385708227311</v>
      </c>
    </row>
    <row r="165" spans="1:20" x14ac:dyDescent="0.2">
      <c r="A165" s="171">
        <v>3</v>
      </c>
      <c r="B165" s="171"/>
      <c r="C165" s="179">
        <f>+E165-E164</f>
        <v>143.45100000000002</v>
      </c>
      <c r="D165" s="171">
        <f>+G165-G164</f>
        <v>126.00599999999997</v>
      </c>
      <c r="E165" s="171">
        <v>446.108</v>
      </c>
      <c r="G165" s="171">
        <v>395.30599999999998</v>
      </c>
      <c r="I165" s="180">
        <v>117.3</v>
      </c>
      <c r="J165" s="168">
        <v>3</v>
      </c>
      <c r="L165" s="177">
        <v>13690</v>
      </c>
      <c r="M165" s="176">
        <v>496.59999999999991</v>
      </c>
      <c r="N165" s="176">
        <f t="shared" si="4"/>
        <v>727.00955811310018</v>
      </c>
      <c r="O165" s="177">
        <v>9450</v>
      </c>
      <c r="P165" s="176">
        <v>855.90000000000009</v>
      </c>
      <c r="Q165" s="176">
        <f t="shared" si="2"/>
        <v>1253.0154667519182</v>
      </c>
      <c r="R165" s="177">
        <v>10840</v>
      </c>
      <c r="S165" s="176">
        <v>167.10000000000002</v>
      </c>
      <c r="T165" s="176">
        <f t="shared" si="3"/>
        <v>244.63007885763002</v>
      </c>
    </row>
    <row r="166" spans="1:20" x14ac:dyDescent="0.2">
      <c r="A166" s="171">
        <v>4</v>
      </c>
      <c r="B166" s="171"/>
      <c r="C166" s="179">
        <f>+E166-E165</f>
        <v>148.56090999999998</v>
      </c>
      <c r="D166" s="171">
        <f>+G166-G165</f>
        <v>131.19532799999996</v>
      </c>
      <c r="E166" s="171">
        <v>594.66890999999998</v>
      </c>
      <c r="G166" s="171">
        <v>526.50132799999994</v>
      </c>
      <c r="I166" s="180">
        <v>119</v>
      </c>
      <c r="J166" s="168">
        <v>4</v>
      </c>
      <c r="L166" s="177">
        <v>16682</v>
      </c>
      <c r="M166" s="176">
        <v>525.60000000000014</v>
      </c>
      <c r="N166" s="176">
        <f t="shared" si="4"/>
        <v>758.47245378151274</v>
      </c>
      <c r="O166" s="177">
        <v>10233</v>
      </c>
      <c r="P166" s="176">
        <v>826</v>
      </c>
      <c r="Q166" s="176">
        <f t="shared" si="2"/>
        <v>1191.9677450980391</v>
      </c>
      <c r="R166" s="177">
        <v>9520</v>
      </c>
      <c r="S166" s="176">
        <v>144.09999999999997</v>
      </c>
      <c r="T166" s="176">
        <f t="shared" si="3"/>
        <v>207.94497829131646</v>
      </c>
    </row>
    <row r="167" spans="1:20" x14ac:dyDescent="0.2">
      <c r="A167" s="171">
        <v>1</v>
      </c>
      <c r="B167" s="171">
        <v>2007</v>
      </c>
      <c r="C167" s="179">
        <f>+E167</f>
        <v>158.09976</v>
      </c>
      <c r="D167" s="171">
        <f>+G167</f>
        <v>141.08400800000001</v>
      </c>
      <c r="E167" s="171">
        <v>158.09976</v>
      </c>
      <c r="G167" s="171">
        <v>141.08400800000001</v>
      </c>
      <c r="I167" s="180">
        <v>117.5</v>
      </c>
      <c r="J167" s="168">
        <v>1</v>
      </c>
      <c r="K167" s="168">
        <v>2007</v>
      </c>
      <c r="L167" s="177">
        <v>18623</v>
      </c>
      <c r="M167" s="176">
        <v>649.6</v>
      </c>
      <c r="N167" s="176">
        <f t="shared" si="4"/>
        <v>949.37888226950349</v>
      </c>
      <c r="O167" s="177">
        <v>7737</v>
      </c>
      <c r="P167" s="176">
        <v>1092.1999999999998</v>
      </c>
      <c r="Q167" s="176">
        <f t="shared" si="2"/>
        <v>1596.2309347517728</v>
      </c>
      <c r="R167" s="177">
        <v>8112</v>
      </c>
      <c r="S167" s="176">
        <v>167.4</v>
      </c>
      <c r="T167" s="176">
        <f t="shared" si="3"/>
        <v>244.6521319148936</v>
      </c>
    </row>
    <row r="168" spans="1:20" x14ac:dyDescent="0.2">
      <c r="A168" s="171">
        <v>2</v>
      </c>
      <c r="B168" s="171"/>
      <c r="C168" s="179">
        <f>+E168-E167</f>
        <v>161.61276000000004</v>
      </c>
      <c r="D168" s="171">
        <f>+G168-G167</f>
        <v>142.897008</v>
      </c>
      <c r="E168" s="171">
        <v>319.71252000000004</v>
      </c>
      <c r="G168" s="171">
        <v>283.98101600000001</v>
      </c>
      <c r="I168" s="180">
        <v>118.3</v>
      </c>
      <c r="J168" s="168">
        <v>2</v>
      </c>
      <c r="L168" s="177">
        <v>15831</v>
      </c>
      <c r="M168" s="176">
        <v>514.19999999999993</v>
      </c>
      <c r="N168" s="176">
        <f t="shared" si="4"/>
        <v>746.41222738799661</v>
      </c>
      <c r="O168" s="177">
        <v>5067</v>
      </c>
      <c r="P168" s="176">
        <v>1041.6999999999998</v>
      </c>
      <c r="Q168" s="176">
        <f t="shared" ref="Q168:Q189" si="5">P168/I168*$I$69</f>
        <v>1512.1307220343758</v>
      </c>
      <c r="R168" s="177">
        <v>10608</v>
      </c>
      <c r="S168" s="176">
        <v>160.99999999999997</v>
      </c>
      <c r="T168" s="176">
        <f t="shared" ref="T168:T189" si="6">S168/I168*$I$69</f>
        <v>233.7074457593688</v>
      </c>
    </row>
    <row r="169" spans="1:20" x14ac:dyDescent="0.2">
      <c r="A169" s="171">
        <v>3</v>
      </c>
      <c r="B169" s="171"/>
      <c r="C169" s="179">
        <f>+E169-E168</f>
        <v>135.82058024999998</v>
      </c>
      <c r="D169" s="171">
        <f>+G169-G168</f>
        <v>119.75308425000003</v>
      </c>
      <c r="E169" s="171">
        <v>455.53310025000002</v>
      </c>
      <c r="G169" s="171">
        <v>403.73410025000004</v>
      </c>
      <c r="I169" s="180">
        <v>117.8</v>
      </c>
      <c r="J169" s="168">
        <v>3</v>
      </c>
      <c r="L169" s="177">
        <v>18428</v>
      </c>
      <c r="M169" s="176">
        <v>654.20000000000027</v>
      </c>
      <c r="N169" s="176">
        <f t="shared" si="4"/>
        <v>953.66680673457881</v>
      </c>
      <c r="O169" s="177">
        <v>6417</v>
      </c>
      <c r="P169" s="176">
        <v>679.60000000000036</v>
      </c>
      <c r="Q169" s="176">
        <f t="shared" si="5"/>
        <v>990.69391907187378</v>
      </c>
      <c r="R169" s="177">
        <v>10319</v>
      </c>
      <c r="S169" s="176">
        <v>152.89999999999998</v>
      </c>
      <c r="T169" s="176">
        <f t="shared" si="6"/>
        <v>222.89155418788903</v>
      </c>
    </row>
    <row r="170" spans="1:20" x14ac:dyDescent="0.2">
      <c r="A170" s="171">
        <v>4</v>
      </c>
      <c r="B170" s="171"/>
      <c r="C170" s="179">
        <f>+E170-E169</f>
        <v>149.79139924999998</v>
      </c>
      <c r="D170" s="171">
        <f>+G170-G169</f>
        <v>133.49839924999998</v>
      </c>
      <c r="E170" s="171">
        <v>605.3244995</v>
      </c>
      <c r="G170" s="171">
        <v>537.23249950000002</v>
      </c>
      <c r="I170" s="180">
        <v>120.8</v>
      </c>
      <c r="J170" s="168">
        <v>4</v>
      </c>
      <c r="L170" s="177">
        <v>15870</v>
      </c>
      <c r="M170" s="176">
        <v>567.19999999999959</v>
      </c>
      <c r="N170" s="176">
        <f t="shared" si="4"/>
        <v>806.30751103752709</v>
      </c>
      <c r="O170" s="177">
        <v>5114</v>
      </c>
      <c r="P170" s="176">
        <v>911.69999999999982</v>
      </c>
      <c r="Q170" s="176">
        <f t="shared" si="5"/>
        <v>1296.0341287251654</v>
      </c>
      <c r="R170" s="177">
        <v>8645</v>
      </c>
      <c r="S170" s="176">
        <v>142.80000000000007</v>
      </c>
      <c r="T170" s="176">
        <f t="shared" si="6"/>
        <v>202.99843543046367</v>
      </c>
    </row>
    <row r="171" spans="1:20" x14ac:dyDescent="0.2">
      <c r="A171" s="171">
        <v>1</v>
      </c>
      <c r="B171" s="171">
        <v>2008</v>
      </c>
      <c r="C171" s="179">
        <f>+E171</f>
        <v>164.64169099999998</v>
      </c>
      <c r="D171" s="171">
        <f>+G171</f>
        <v>148.61369099999999</v>
      </c>
      <c r="E171" s="171">
        <v>164.64169099999998</v>
      </c>
      <c r="G171" s="171">
        <v>148.61369099999999</v>
      </c>
      <c r="I171" s="180">
        <v>121.9</v>
      </c>
      <c r="J171" s="168">
        <v>1</v>
      </c>
      <c r="K171" s="168">
        <v>2008</v>
      </c>
      <c r="L171" s="177">
        <v>17004</v>
      </c>
      <c r="M171" s="176">
        <v>591.9</v>
      </c>
      <c r="N171" s="176">
        <f t="shared" si="4"/>
        <v>833.82718826907285</v>
      </c>
      <c r="O171" s="177">
        <v>6274</v>
      </c>
      <c r="P171" s="176">
        <v>963.6</v>
      </c>
      <c r="Q171" s="176">
        <f t="shared" si="5"/>
        <v>1357.4520672682527</v>
      </c>
      <c r="R171" s="177">
        <v>7939</v>
      </c>
      <c r="S171" s="176">
        <v>160.1</v>
      </c>
      <c r="T171" s="176">
        <f t="shared" si="6"/>
        <v>225.53764629477712</v>
      </c>
    </row>
    <row r="172" spans="1:20" x14ac:dyDescent="0.2">
      <c r="A172" s="171">
        <v>2</v>
      </c>
      <c r="B172" s="171"/>
      <c r="C172" s="179">
        <f>+E172-E171</f>
        <v>197.28657850000002</v>
      </c>
      <c r="D172" s="171">
        <f>+G172-G171</f>
        <v>175.71357850000001</v>
      </c>
      <c r="E172" s="171">
        <v>361.9282695</v>
      </c>
      <c r="G172" s="171">
        <v>324.3272695</v>
      </c>
      <c r="I172" s="180">
        <v>122</v>
      </c>
      <c r="J172" s="168">
        <v>2</v>
      </c>
      <c r="L172" s="177">
        <v>14987</v>
      </c>
      <c r="M172" s="176">
        <v>548.4</v>
      </c>
      <c r="N172" s="176">
        <f t="shared" ref="N172:N181" si="7">M172/I172*$I$69</f>
        <v>771.91420491803274</v>
      </c>
      <c r="O172" s="177">
        <v>5831</v>
      </c>
      <c r="P172" s="176">
        <v>1153.8000000000002</v>
      </c>
      <c r="Q172" s="176">
        <f t="shared" si="5"/>
        <v>1624.0601926229513</v>
      </c>
      <c r="R172" s="177">
        <v>10207</v>
      </c>
      <c r="S172" s="176">
        <v>188.4</v>
      </c>
      <c r="T172" s="176">
        <f t="shared" si="6"/>
        <v>265.18715573770493</v>
      </c>
    </row>
    <row r="173" spans="1:20" x14ac:dyDescent="0.2">
      <c r="A173" s="171">
        <v>3</v>
      </c>
      <c r="B173" s="171"/>
      <c r="C173" s="179">
        <f>+E173-E172</f>
        <v>159.71767174999997</v>
      </c>
      <c r="D173" s="171">
        <f>+G173-G172</f>
        <v>141.40667174999999</v>
      </c>
      <c r="E173" s="171">
        <v>521.64594124999996</v>
      </c>
      <c r="G173" s="171">
        <v>465.73394124999999</v>
      </c>
      <c r="I173" s="180">
        <v>123.1</v>
      </c>
      <c r="J173" s="168">
        <v>3</v>
      </c>
      <c r="L173" s="177">
        <v>19290</v>
      </c>
      <c r="M173" s="176">
        <v>722.70000000000027</v>
      </c>
      <c r="N173" s="176">
        <f t="shared" si="7"/>
        <v>1008.1645430544278</v>
      </c>
      <c r="O173" s="177">
        <v>12252</v>
      </c>
      <c r="P173" s="176">
        <v>1486.4999999999995</v>
      </c>
      <c r="Q173" s="176">
        <f t="shared" si="5"/>
        <v>2073.663474817221</v>
      </c>
      <c r="R173" s="177">
        <v>11007</v>
      </c>
      <c r="S173" s="176">
        <v>186.29999999999995</v>
      </c>
      <c r="T173" s="176">
        <f t="shared" si="6"/>
        <v>259.8879955320877</v>
      </c>
    </row>
    <row r="174" spans="1:20" x14ac:dyDescent="0.2">
      <c r="A174" s="171">
        <v>4</v>
      </c>
      <c r="B174" s="171"/>
      <c r="C174" s="179">
        <f>+E174-E173</f>
        <v>170.05706974999998</v>
      </c>
      <c r="D174" s="171">
        <f>+G174-G173</f>
        <v>152.54014889999991</v>
      </c>
      <c r="E174" s="171">
        <v>691.70301099999995</v>
      </c>
      <c r="G174" s="171">
        <v>618.27409014999989</v>
      </c>
      <c r="I174" s="176">
        <v>124.7</v>
      </c>
      <c r="J174" s="168">
        <v>4</v>
      </c>
      <c r="L174" s="177">
        <v>16976</v>
      </c>
      <c r="M174" s="176">
        <v>703.10000000000014</v>
      </c>
      <c r="N174" s="176">
        <f t="shared" si="7"/>
        <v>968.23786353916091</v>
      </c>
      <c r="O174" s="177">
        <v>7247</v>
      </c>
      <c r="P174" s="176">
        <v>1160</v>
      </c>
      <c r="Q174" s="176">
        <f t="shared" si="5"/>
        <v>1597.4341085271319</v>
      </c>
      <c r="R174" s="177">
        <v>10145</v>
      </c>
      <c r="S174" s="176">
        <v>269.60000000000014</v>
      </c>
      <c r="T174" s="176">
        <f t="shared" si="6"/>
        <v>371.26572039561631</v>
      </c>
    </row>
    <row r="175" spans="1:20" x14ac:dyDescent="0.2">
      <c r="A175" s="171">
        <v>1</v>
      </c>
      <c r="B175" s="171">
        <v>2009</v>
      </c>
      <c r="C175" s="179">
        <f>+E175</f>
        <v>191.37959499999999</v>
      </c>
      <c r="D175" s="171">
        <f>+G175</f>
        <v>172.55938714999999</v>
      </c>
      <c r="E175" s="171">
        <v>191.37959499999999</v>
      </c>
      <c r="G175" s="171">
        <v>172.55938714999999</v>
      </c>
      <c r="I175" s="176">
        <v>125</v>
      </c>
      <c r="J175" s="168">
        <v>1</v>
      </c>
      <c r="K175" s="168">
        <v>2009</v>
      </c>
      <c r="L175" s="177">
        <v>18865</v>
      </c>
      <c r="M175" s="176">
        <v>739.59999999999991</v>
      </c>
      <c r="N175" s="176">
        <f t="shared" si="7"/>
        <v>1016.0575493333332</v>
      </c>
      <c r="O175" s="177">
        <v>6194</v>
      </c>
      <c r="P175" s="176">
        <v>1049.9000000000001</v>
      </c>
      <c r="Q175" s="176">
        <f t="shared" si="5"/>
        <v>1442.3456206666667</v>
      </c>
      <c r="R175" s="177">
        <v>8619</v>
      </c>
      <c r="S175" s="176">
        <v>213.2</v>
      </c>
      <c r="T175" s="176">
        <f t="shared" si="6"/>
        <v>292.89273866666667</v>
      </c>
    </row>
    <row r="176" spans="1:20" x14ac:dyDescent="0.2">
      <c r="A176" s="171">
        <v>2</v>
      </c>
      <c r="B176" s="171"/>
      <c r="C176" s="179">
        <f>+E176-E175</f>
        <v>178.90604250000001</v>
      </c>
      <c r="D176" s="171">
        <f>+G176-G175</f>
        <v>160.765232725</v>
      </c>
      <c r="E176" s="171">
        <v>370.28563750000001</v>
      </c>
      <c r="G176" s="171">
        <v>333.324619875</v>
      </c>
      <c r="I176" s="176">
        <v>125.7</v>
      </c>
      <c r="J176" s="168">
        <v>2</v>
      </c>
      <c r="L176" s="177">
        <v>14610</v>
      </c>
      <c r="M176" s="176">
        <v>603.80000000000018</v>
      </c>
      <c r="N176" s="176">
        <f t="shared" si="7"/>
        <v>824.87710289048016</v>
      </c>
      <c r="O176" s="177">
        <v>5486</v>
      </c>
      <c r="P176" s="176">
        <v>1077.9000000000001</v>
      </c>
      <c r="Q176" s="176">
        <f t="shared" si="5"/>
        <v>1472.5654673826571</v>
      </c>
      <c r="R176" s="177">
        <v>11296</v>
      </c>
      <c r="S176" s="176">
        <v>235.3</v>
      </c>
      <c r="T176" s="176">
        <f t="shared" si="6"/>
        <v>321.45343211349774</v>
      </c>
    </row>
    <row r="177" spans="1:20" x14ac:dyDescent="0.2">
      <c r="A177" s="171">
        <v>3</v>
      </c>
      <c r="B177" s="171"/>
      <c r="C177" s="179">
        <f>+E177-E176</f>
        <v>160.23377500000004</v>
      </c>
      <c r="D177" s="171">
        <f>+G177-G176</f>
        <v>142.31202375000004</v>
      </c>
      <c r="E177" s="171">
        <v>530.51941250000004</v>
      </c>
      <c r="G177" s="171">
        <v>475.63664362500003</v>
      </c>
      <c r="I177" s="176">
        <v>125.4</v>
      </c>
      <c r="J177" s="168">
        <v>3</v>
      </c>
      <c r="L177" s="177">
        <v>19220</v>
      </c>
      <c r="M177" s="176">
        <v>795.69999999999982</v>
      </c>
      <c r="N177" s="176">
        <f t="shared" si="7"/>
        <v>1089.6405057150448</v>
      </c>
      <c r="O177" s="177">
        <v>13278</v>
      </c>
      <c r="P177" s="176">
        <v>1278.0999999999999</v>
      </c>
      <c r="Q177" s="176">
        <f t="shared" si="5"/>
        <v>1750.244477006911</v>
      </c>
      <c r="R177" s="177">
        <v>11383</v>
      </c>
      <c r="S177" s="176">
        <v>231.79999999999995</v>
      </c>
      <c r="T177" s="176">
        <f t="shared" si="6"/>
        <v>317.42952020202011</v>
      </c>
    </row>
    <row r="178" spans="1:20" x14ac:dyDescent="0.2">
      <c r="A178" s="171">
        <v>4</v>
      </c>
      <c r="B178" s="171"/>
      <c r="C178" s="179">
        <f>+E178-E177</f>
        <v>179.8571388695641</v>
      </c>
      <c r="D178" s="171">
        <f>+G178-G177</f>
        <v>163.53199924456408</v>
      </c>
      <c r="E178" s="171">
        <v>710.37655136956414</v>
      </c>
      <c r="G178" s="171">
        <v>639.16864286956411</v>
      </c>
      <c r="I178" s="176">
        <v>126.6</v>
      </c>
      <c r="J178" s="168">
        <v>4</v>
      </c>
      <c r="L178" s="177">
        <v>16838</v>
      </c>
      <c r="M178" s="176">
        <v>759.30000000000018</v>
      </c>
      <c r="N178" s="176">
        <f t="shared" si="7"/>
        <v>1029.9380706951029</v>
      </c>
      <c r="O178" s="177">
        <v>6227</v>
      </c>
      <c r="P178" s="176">
        <v>1192.2000000000003</v>
      </c>
      <c r="Q178" s="176">
        <f t="shared" si="5"/>
        <v>1617.1370576619279</v>
      </c>
      <c r="R178" s="177">
        <v>10409</v>
      </c>
      <c r="S178" s="176">
        <v>276.40000000000009</v>
      </c>
      <c r="T178" s="176">
        <f t="shared" si="6"/>
        <v>374.91753291205913</v>
      </c>
    </row>
    <row r="179" spans="1:20" x14ac:dyDescent="0.2">
      <c r="A179" s="171">
        <v>1</v>
      </c>
      <c r="B179" s="171">
        <v>2010</v>
      </c>
      <c r="C179" s="179">
        <f>+E179</f>
        <v>204.63648875000001</v>
      </c>
      <c r="D179" s="171">
        <f>+G179</f>
        <v>186.506571025</v>
      </c>
      <c r="E179" s="171">
        <v>204.63648875000001</v>
      </c>
      <c r="G179" s="171">
        <v>186.506571025</v>
      </c>
      <c r="I179" s="176">
        <v>128.69999999999999</v>
      </c>
      <c r="J179" s="168">
        <v>1</v>
      </c>
      <c r="K179" s="168">
        <v>2010</v>
      </c>
      <c r="L179" s="177">
        <v>40484.70904761905</v>
      </c>
      <c r="M179" s="176">
        <v>1693.2251146266974</v>
      </c>
      <c r="N179" s="176">
        <f t="shared" si="7"/>
        <v>2259.2670690624768</v>
      </c>
      <c r="O179" s="177">
        <v>6690</v>
      </c>
      <c r="P179" s="176">
        <v>1648.5</v>
      </c>
      <c r="Q179" s="176">
        <f t="shared" si="5"/>
        <v>2199.5904331779334</v>
      </c>
      <c r="R179" s="177">
        <v>7227</v>
      </c>
      <c r="S179" s="176">
        <v>243.10000000000002</v>
      </c>
      <c r="T179" s="176">
        <f t="shared" si="6"/>
        <v>324.36787037037044</v>
      </c>
    </row>
    <row r="180" spans="1:20" x14ac:dyDescent="0.2">
      <c r="A180" s="171">
        <v>2</v>
      </c>
      <c r="B180" s="171"/>
      <c r="C180" s="179">
        <f>+E180-E179</f>
        <v>188.95691625000001</v>
      </c>
      <c r="D180" s="171">
        <f>+G180-G179</f>
        <v>170.46253197500002</v>
      </c>
      <c r="E180" s="171">
        <v>393.59340500000002</v>
      </c>
      <c r="G180" s="171">
        <v>356.96910300000002</v>
      </c>
      <c r="I180" s="176">
        <v>128.9</v>
      </c>
      <c r="J180" s="168">
        <v>2</v>
      </c>
      <c r="L180" s="177">
        <v>20633.79583333333</v>
      </c>
      <c r="M180" s="176">
        <v>864.97098885712671</v>
      </c>
      <c r="N180" s="176">
        <f t="shared" si="7"/>
        <v>1152.3384193353972</v>
      </c>
      <c r="O180" s="177">
        <v>5716</v>
      </c>
      <c r="P180" s="176">
        <v>1381.6999999999998</v>
      </c>
      <c r="Q180" s="176">
        <f t="shared" si="5"/>
        <v>1840.739186061546</v>
      </c>
      <c r="R180" s="177">
        <v>10696</v>
      </c>
      <c r="S180" s="176">
        <v>201.60000000000002</v>
      </c>
      <c r="T180" s="176">
        <f t="shared" si="6"/>
        <v>268.57712955779675</v>
      </c>
    </row>
    <row r="181" spans="1:20" x14ac:dyDescent="0.2">
      <c r="A181" s="171">
        <v>3</v>
      </c>
      <c r="B181" s="171"/>
      <c r="C181" s="179">
        <f>+E181-E180</f>
        <v>172.07737875000004</v>
      </c>
      <c r="D181" s="171">
        <f>+G181-G180</f>
        <v>154.15607493749997</v>
      </c>
      <c r="E181" s="171">
        <v>565.67078375000006</v>
      </c>
      <c r="G181" s="171">
        <v>511.12517793749998</v>
      </c>
      <c r="I181" s="176">
        <v>127.8</v>
      </c>
      <c r="J181" s="168">
        <v>3</v>
      </c>
      <c r="L181" s="177">
        <v>19149.335833333338</v>
      </c>
      <c r="M181" s="176">
        <v>861.71516601647909</v>
      </c>
      <c r="N181" s="176">
        <f t="shared" si="7"/>
        <v>1157.8819936479515</v>
      </c>
      <c r="O181" s="177">
        <v>9089</v>
      </c>
      <c r="P181" s="176">
        <v>1286.1999999999998</v>
      </c>
      <c r="Q181" s="176">
        <f t="shared" si="5"/>
        <v>1728.2599621804902</v>
      </c>
      <c r="R181" s="177">
        <v>11532</v>
      </c>
      <c r="S181" s="176">
        <v>200.69999999999993</v>
      </c>
      <c r="T181" s="176">
        <f t="shared" si="6"/>
        <v>269.67950117370884</v>
      </c>
    </row>
    <row r="182" spans="1:20" x14ac:dyDescent="0.2">
      <c r="A182" s="171">
        <v>4</v>
      </c>
      <c r="B182" s="171"/>
      <c r="C182" s="179">
        <f>+E182-E181</f>
        <v>192.96143124999992</v>
      </c>
      <c r="D182" s="171">
        <f>+G182-G181</f>
        <v>174.39946771249993</v>
      </c>
      <c r="E182" s="171">
        <v>758.63221499999997</v>
      </c>
      <c r="G182" s="171">
        <v>685.52464564999991</v>
      </c>
      <c r="I182" s="176">
        <v>129</v>
      </c>
      <c r="J182" s="168">
        <v>4</v>
      </c>
      <c r="L182" s="177">
        <v>22322.361666666664</v>
      </c>
      <c r="M182" s="176">
        <v>889.84894905372039</v>
      </c>
      <c r="N182" s="176">
        <f t="shared" ref="N182" si="8">M182/I182*$I$69</f>
        <v>1184.5625522128623</v>
      </c>
      <c r="O182" s="177">
        <v>5858</v>
      </c>
      <c r="P182" s="176">
        <v>1310.8000000000011</v>
      </c>
      <c r="Q182" s="176">
        <f t="shared" si="5"/>
        <v>1744.9305245478049</v>
      </c>
      <c r="R182" s="177">
        <v>9548</v>
      </c>
      <c r="S182" s="176">
        <v>205</v>
      </c>
      <c r="T182" s="176">
        <f t="shared" si="6"/>
        <v>272.89499354005164</v>
      </c>
    </row>
    <row r="183" spans="1:20" x14ac:dyDescent="0.2">
      <c r="A183" s="171">
        <v>1</v>
      </c>
      <c r="B183" s="171">
        <v>2011</v>
      </c>
      <c r="C183" s="179">
        <f>+E183</f>
        <v>204.00503875000001</v>
      </c>
      <c r="D183" s="171">
        <f>+G183</f>
        <v>184.8599929625</v>
      </c>
      <c r="E183" s="171">
        <v>204.00503875000001</v>
      </c>
      <c r="G183" s="171">
        <v>184.8599929625</v>
      </c>
      <c r="I183" s="176">
        <v>130.19999999999999</v>
      </c>
      <c r="J183" s="168">
        <v>1</v>
      </c>
      <c r="K183" s="168">
        <v>2011</v>
      </c>
      <c r="L183" s="177">
        <v>26141.662648809524</v>
      </c>
      <c r="M183" s="176">
        <v>1061.4209517567813</v>
      </c>
      <c r="N183" s="176">
        <f t="shared" ref="N183:N186" si="9">M183/I183*$I$69</f>
        <v>1399.9357021733754</v>
      </c>
      <c r="O183" s="177">
        <v>5959</v>
      </c>
      <c r="P183" s="176">
        <v>1698.7</v>
      </c>
      <c r="Q183" s="176">
        <f t="shared" si="5"/>
        <v>2240.4596153353814</v>
      </c>
      <c r="R183" s="177">
        <v>6732</v>
      </c>
      <c r="S183" s="176">
        <v>156.5</v>
      </c>
      <c r="T183" s="176">
        <f t="shared" si="6"/>
        <v>206.41192076292884</v>
      </c>
    </row>
    <row r="184" spans="1:20" x14ac:dyDescent="0.2">
      <c r="A184" s="171">
        <v>2</v>
      </c>
      <c r="B184" s="171"/>
      <c r="C184" s="179">
        <f>+E184-E183</f>
        <v>188.74104374999999</v>
      </c>
      <c r="D184" s="171">
        <f>+G184-G183</f>
        <v>171.33320521249996</v>
      </c>
      <c r="E184" s="168">
        <v>392.7460825</v>
      </c>
      <c r="G184" s="168">
        <v>356.19319817499996</v>
      </c>
      <c r="I184" s="176">
        <v>131</v>
      </c>
      <c r="J184" s="168">
        <v>2</v>
      </c>
      <c r="L184" s="185">
        <v>18851.951101190472</v>
      </c>
      <c r="M184" s="186">
        <v>776.58308820124375</v>
      </c>
      <c r="N184" s="176">
        <f t="shared" si="9"/>
        <v>1018.000638693016</v>
      </c>
      <c r="O184" s="177">
        <v>7524</v>
      </c>
      <c r="P184" s="176">
        <v>1533.4000000000003</v>
      </c>
      <c r="Q184" s="176">
        <f t="shared" si="5"/>
        <v>2010.0903600508909</v>
      </c>
      <c r="R184" s="177">
        <v>10017</v>
      </c>
      <c r="S184" s="176">
        <v>197.79999999999995</v>
      </c>
      <c r="T184" s="176">
        <f t="shared" si="6"/>
        <v>259.29038295165384</v>
      </c>
    </row>
    <row r="185" spans="1:20" x14ac:dyDescent="0.2">
      <c r="A185" s="171">
        <v>3</v>
      </c>
      <c r="C185" s="179">
        <f>+E185-E184</f>
        <v>169.93391749999995</v>
      </c>
      <c r="D185" s="171">
        <f>+G185-G184</f>
        <v>151.69380182500004</v>
      </c>
      <c r="E185" s="168">
        <v>562.67999999999995</v>
      </c>
      <c r="G185" s="168">
        <v>507.887</v>
      </c>
      <c r="I185" s="176">
        <v>129.4</v>
      </c>
      <c r="J185" s="168">
        <v>3</v>
      </c>
      <c r="L185" s="185">
        <v>24107.386250000007</v>
      </c>
      <c r="M185" s="186">
        <v>914.64669811090494</v>
      </c>
      <c r="N185" s="176">
        <f t="shared" si="9"/>
        <v>1213.8094437984032</v>
      </c>
      <c r="O185" s="177">
        <v>10171</v>
      </c>
      <c r="P185" s="176">
        <v>1285.3999999999996</v>
      </c>
      <c r="Q185" s="176">
        <f t="shared" si="5"/>
        <v>1705.828777691911</v>
      </c>
      <c r="R185" s="177">
        <v>10339</v>
      </c>
      <c r="S185" s="176">
        <v>167.29999999999995</v>
      </c>
      <c r="T185" s="176">
        <f t="shared" si="6"/>
        <v>222.02050296239042</v>
      </c>
    </row>
    <row r="186" spans="1:20" x14ac:dyDescent="0.2">
      <c r="A186" s="168">
        <v>4</v>
      </c>
      <c r="C186" s="179">
        <f>+E186-E185</f>
        <v>202.17554500000006</v>
      </c>
      <c r="D186" s="171">
        <f>+G186-G185</f>
        <v>178.91908595000001</v>
      </c>
      <c r="E186" s="168">
        <v>764.85554500000001</v>
      </c>
      <c r="G186" s="168">
        <v>686.80608595000001</v>
      </c>
      <c r="I186" s="168">
        <v>130.5</v>
      </c>
      <c r="J186" s="168">
        <v>4</v>
      </c>
      <c r="L186" s="185">
        <v>18022.572976190484</v>
      </c>
      <c r="M186" s="176">
        <v>777.38419736292576</v>
      </c>
      <c r="N186" s="176">
        <f t="shared" si="9"/>
        <v>1022.9551990190342</v>
      </c>
      <c r="O186" s="185">
        <v>8775.7956028314002</v>
      </c>
      <c r="P186" s="176">
        <v>1286.8626975018997</v>
      </c>
      <c r="Q186" s="176">
        <f t="shared" si="5"/>
        <v>1693.3748991795592</v>
      </c>
      <c r="R186" s="185">
        <v>9645.4866500746648</v>
      </c>
      <c r="S186" s="176">
        <v>181.103452008619</v>
      </c>
      <c r="T186" s="176">
        <f t="shared" si="6"/>
        <v>238.31294541484107</v>
      </c>
    </row>
    <row r="187" spans="1:20" x14ac:dyDescent="0.2">
      <c r="A187" s="168">
        <v>1</v>
      </c>
      <c r="B187" s="168">
        <v>2012</v>
      </c>
      <c r="C187" s="179">
        <f>+E187</f>
        <v>195.82938625</v>
      </c>
      <c r="D187" s="171">
        <f>+G187</f>
        <v>177.0717714875</v>
      </c>
      <c r="E187" s="168">
        <v>195.82938625</v>
      </c>
      <c r="G187" s="168">
        <v>177.0717714875</v>
      </c>
      <c r="I187" s="168">
        <v>131.69999999999999</v>
      </c>
      <c r="J187" s="168">
        <v>1</v>
      </c>
      <c r="K187" s="168">
        <v>2012</v>
      </c>
      <c r="L187" s="185">
        <v>18517.39324404762</v>
      </c>
      <c r="M187" s="176">
        <v>869.15461769403078</v>
      </c>
      <c r="N187" s="176">
        <f t="shared" ref="N187:N193" si="10">M187/I187*$I$69</f>
        <v>1133.2942477448194</v>
      </c>
      <c r="O187" s="177">
        <v>6822.44890070785</v>
      </c>
      <c r="P187" s="176">
        <v>1150.314057295883</v>
      </c>
      <c r="Q187" s="176">
        <f t="shared" si="5"/>
        <v>1499.8991867432633</v>
      </c>
      <c r="R187" s="177">
        <v>7564.3716625186662</v>
      </c>
      <c r="S187" s="176">
        <v>175.73767321176348</v>
      </c>
      <c r="T187" s="176">
        <f t="shared" si="6"/>
        <v>229.14506821738098</v>
      </c>
    </row>
    <row r="188" spans="1:20" x14ac:dyDescent="0.2">
      <c r="A188" s="168">
        <v>2</v>
      </c>
      <c r="C188" s="179">
        <f>+E188-E187</f>
        <v>182.75061374999999</v>
      </c>
      <c r="D188" s="171">
        <f>+G188-G187</f>
        <v>165.12822851249999</v>
      </c>
      <c r="E188" s="187">
        <v>378.58</v>
      </c>
      <c r="G188" s="187">
        <v>342.2</v>
      </c>
      <c r="I188" s="168">
        <v>131.69999999999999</v>
      </c>
      <c r="J188" s="168">
        <v>2</v>
      </c>
      <c r="L188" s="185">
        <v>14087.60675595238</v>
      </c>
      <c r="M188" s="176">
        <v>635.43152402028181</v>
      </c>
      <c r="N188" s="176">
        <f t="shared" si="10"/>
        <v>828.54175350123683</v>
      </c>
      <c r="O188" s="177">
        <v>4838.55109929215</v>
      </c>
      <c r="P188" s="176">
        <v>1037.7970664905204</v>
      </c>
      <c r="Q188" s="176">
        <f t="shared" si="5"/>
        <v>1353.1878239346688</v>
      </c>
      <c r="R188" s="177">
        <v>10002.628337481334</v>
      </c>
      <c r="S188" s="176">
        <v>184.20744441885319</v>
      </c>
      <c r="T188" s="176">
        <f t="shared" si="6"/>
        <v>240.18883740792623</v>
      </c>
    </row>
    <row r="189" spans="1:20" x14ac:dyDescent="0.2">
      <c r="A189" s="171">
        <v>3</v>
      </c>
      <c r="C189" s="179">
        <f>+E189-E188</f>
        <v>165.72960875000007</v>
      </c>
      <c r="D189" s="171">
        <f>+G189-G188</f>
        <v>148.24155396250001</v>
      </c>
      <c r="E189" s="168">
        <v>544.30960875000005</v>
      </c>
      <c r="G189" s="168">
        <v>490.4415539625</v>
      </c>
      <c r="I189" s="168">
        <v>130</v>
      </c>
      <c r="J189" s="168">
        <v>3</v>
      </c>
      <c r="L189" s="188">
        <v>20999.460714285713</v>
      </c>
      <c r="M189" s="189">
        <v>864.77367174435972</v>
      </c>
      <c r="N189" s="176">
        <f t="shared" si="10"/>
        <v>1142.3272164274902</v>
      </c>
      <c r="O189" s="188">
        <v>6828.0536397386386</v>
      </c>
      <c r="P189" s="189">
        <v>1132.0609213635664</v>
      </c>
      <c r="Q189" s="176">
        <f t="shared" si="5"/>
        <v>1495.4016795158254</v>
      </c>
      <c r="R189" s="188">
        <v>10877.781177428844</v>
      </c>
      <c r="S189" s="189">
        <v>190.02859425457928</v>
      </c>
      <c r="T189" s="176">
        <f t="shared" si="6"/>
        <v>251.01924608619805</v>
      </c>
    </row>
    <row r="190" spans="1:20" x14ac:dyDescent="0.2">
      <c r="A190" s="171">
        <v>4</v>
      </c>
      <c r="C190" s="179">
        <f>+E190-E189</f>
        <v>166.80539124999996</v>
      </c>
      <c r="D190" s="171">
        <f>+G190-G189</f>
        <v>151.72844603749996</v>
      </c>
      <c r="E190" s="168">
        <v>711.11500000000001</v>
      </c>
      <c r="G190" s="168">
        <v>642.16999999999996</v>
      </c>
      <c r="I190" s="168">
        <v>132</v>
      </c>
      <c r="J190" s="168">
        <v>4</v>
      </c>
      <c r="L190" s="188">
        <v>17946.539285714287</v>
      </c>
      <c r="M190" s="189">
        <v>826.79347775776318</v>
      </c>
      <c r="N190" s="176">
        <f t="shared" si="10"/>
        <v>1075.6092497983868</v>
      </c>
      <c r="O190" s="188">
        <v>5621.9463602613596</v>
      </c>
      <c r="P190" s="189">
        <v>1071.0118577206574</v>
      </c>
      <c r="Q190" s="176">
        <f t="shared" ref="Q190:Q231" si="11">P190/I190*$I$69</f>
        <v>1393.3228693727156</v>
      </c>
      <c r="R190" s="188">
        <v>8525.2188225711561</v>
      </c>
      <c r="S190" s="189">
        <v>190.41732478586363</v>
      </c>
      <c r="T190" s="176">
        <f t="shared" ref="T190:T231" si="12">S190/I190*$I$69</f>
        <v>247.72163952839728</v>
      </c>
    </row>
    <row r="191" spans="1:20" x14ac:dyDescent="0.2">
      <c r="A191" s="168">
        <v>1</v>
      </c>
      <c r="B191" s="168">
        <v>2013</v>
      </c>
      <c r="C191" s="179">
        <f>+E191</f>
        <v>199.180995</v>
      </c>
      <c r="D191" s="171">
        <f>+G191</f>
        <v>183.65288545000001</v>
      </c>
      <c r="E191" s="168">
        <v>199.180995</v>
      </c>
      <c r="G191" s="168">
        <v>183.65288545000001</v>
      </c>
      <c r="I191" s="168">
        <v>133</v>
      </c>
      <c r="J191" s="168">
        <v>1</v>
      </c>
      <c r="K191" s="168">
        <f>B191</f>
        <v>2013</v>
      </c>
      <c r="L191" s="188">
        <v>21974.571815476189</v>
      </c>
      <c r="M191" s="189">
        <v>1023.0812127444322</v>
      </c>
      <c r="N191" s="176">
        <f t="shared" si="10"/>
        <v>1320.9606668485737</v>
      </c>
      <c r="O191" s="188">
        <v>5520.4451678348678</v>
      </c>
      <c r="P191" s="189">
        <v>1148.1840804128565</v>
      </c>
      <c r="Q191" s="176">
        <f t="shared" si="11"/>
        <v>1482.4883788633892</v>
      </c>
      <c r="R191" s="188">
        <v>5958.3970505452735</v>
      </c>
      <c r="S191" s="189">
        <v>167.84779905693762</v>
      </c>
      <c r="T191" s="176">
        <f t="shared" si="12"/>
        <v>216.71822120215589</v>
      </c>
    </row>
    <row r="192" spans="1:20" x14ac:dyDescent="0.2">
      <c r="A192" s="168">
        <v>2</v>
      </c>
      <c r="C192" s="179">
        <f>+E192-E191</f>
        <v>205.01500500000003</v>
      </c>
      <c r="D192" s="171">
        <f>+G192-G191</f>
        <v>185.63411454999996</v>
      </c>
      <c r="E192" s="168">
        <v>404.19600000000003</v>
      </c>
      <c r="G192" s="168">
        <v>369.28699999999998</v>
      </c>
      <c r="I192" s="168">
        <v>134.30000000000001</v>
      </c>
      <c r="J192" s="168">
        <v>2</v>
      </c>
      <c r="L192" s="188">
        <v>23960.428184523811</v>
      </c>
      <c r="M192" s="189">
        <v>1011.581560458749</v>
      </c>
      <c r="N192" s="176">
        <f t="shared" si="10"/>
        <v>1293.4698472460532</v>
      </c>
      <c r="O192" s="188">
        <v>6388.5548321651322</v>
      </c>
      <c r="P192" s="189">
        <v>1133.7065185307133</v>
      </c>
      <c r="Q192" s="176">
        <f t="shared" si="11"/>
        <v>1449.6262631366687</v>
      </c>
      <c r="R192" s="188">
        <v>10154.602949454726</v>
      </c>
      <c r="S192" s="189">
        <v>176.1673175310234</v>
      </c>
      <c r="T192" s="176">
        <f t="shared" si="12"/>
        <v>225.25827101204055</v>
      </c>
    </row>
    <row r="193" spans="1:20" x14ac:dyDescent="0.2">
      <c r="A193" s="168">
        <v>3</v>
      </c>
      <c r="C193" s="179">
        <f>+E193-E192</f>
        <v>172.04383408071794</v>
      </c>
      <c r="D193" s="171">
        <f>+G193-G192</f>
        <v>153.21019910313902</v>
      </c>
      <c r="E193" s="168">
        <v>576.23983408071797</v>
      </c>
      <c r="G193" s="168">
        <v>522.497199103139</v>
      </c>
      <c r="I193" s="168">
        <v>134.19999999999999</v>
      </c>
      <c r="J193" s="168">
        <v>3</v>
      </c>
      <c r="L193" s="188">
        <v>18388.581422924897</v>
      </c>
      <c r="M193" s="189">
        <v>735.52528494140915</v>
      </c>
      <c r="N193" s="176">
        <f t="shared" si="10"/>
        <v>941.18827584818212</v>
      </c>
      <c r="O193" s="188">
        <v>11492.955434782609</v>
      </c>
      <c r="P193" s="189">
        <v>1323.3889549928699</v>
      </c>
      <c r="Q193" s="176">
        <f t="shared" si="11"/>
        <v>1693.4267173772089</v>
      </c>
      <c r="R193" s="188">
        <v>11786.02326086957</v>
      </c>
      <c r="S193" s="189">
        <v>172.41802435151402</v>
      </c>
      <c r="T193" s="176">
        <f t="shared" si="12"/>
        <v>220.62847652814298</v>
      </c>
    </row>
    <row r="194" spans="1:20" x14ac:dyDescent="0.2">
      <c r="A194" s="171">
        <v>4</v>
      </c>
      <c r="C194" s="179">
        <f>+E194-E193</f>
        <v>204.099832585949</v>
      </c>
      <c r="D194" s="171">
        <f>+G194-G193</f>
        <v>188.07946756352794</v>
      </c>
      <c r="E194" s="168">
        <v>780.33966666666697</v>
      </c>
      <c r="G194" s="168">
        <v>710.57666666666694</v>
      </c>
      <c r="I194" s="168">
        <v>135.30000000000001</v>
      </c>
      <c r="J194" s="168">
        <v>4</v>
      </c>
      <c r="L194" s="188">
        <v>18420.418577075106</v>
      </c>
      <c r="M194" s="188">
        <v>895.71090498583999</v>
      </c>
      <c r="N194" s="176">
        <f>M194/I194*$I$69</f>
        <v>1136.8455930002897</v>
      </c>
      <c r="O194" s="188">
        <v>7745.0445652173912</v>
      </c>
      <c r="P194" s="188">
        <v>1212.6630411771803</v>
      </c>
      <c r="Q194" s="176">
        <f t="shared" si="11"/>
        <v>1539.124539494582</v>
      </c>
      <c r="R194" s="188">
        <v>11621.97673913043</v>
      </c>
      <c r="S194" s="188">
        <v>180.100371437175</v>
      </c>
      <c r="T194" s="176">
        <f t="shared" si="12"/>
        <v>228.5852638684849</v>
      </c>
    </row>
    <row r="195" spans="1:20" x14ac:dyDescent="0.2">
      <c r="A195" s="171">
        <v>1</v>
      </c>
      <c r="B195" s="168">
        <v>2014</v>
      </c>
      <c r="C195" s="179">
        <f>E195</f>
        <v>196.17699999999999</v>
      </c>
      <c r="D195" s="171">
        <f>G195</f>
        <v>179.55199999999999</v>
      </c>
      <c r="E195" s="168">
        <v>196.17699999999999</v>
      </c>
      <c r="G195" s="168">
        <v>179.55199999999999</v>
      </c>
      <c r="I195" s="168">
        <v>135.80000000000001</v>
      </c>
      <c r="J195" s="168">
        <f>A195</f>
        <v>1</v>
      </c>
      <c r="K195" s="168">
        <f>B195</f>
        <v>2014</v>
      </c>
      <c r="L195" s="188">
        <v>19713</v>
      </c>
      <c r="M195" s="188">
        <v>886.67647724495987</v>
      </c>
      <c r="N195" s="176">
        <f>M195/I195*$I$69</f>
        <v>1121.2354871710336</v>
      </c>
      <c r="O195" s="188">
        <v>7032</v>
      </c>
      <c r="P195" s="188">
        <v>1484.9150299297401</v>
      </c>
      <c r="Q195" s="176">
        <f t="shared" ref="Q195" si="13">P195/I195*$I$69</f>
        <v>1877.7304571833063</v>
      </c>
      <c r="R195" s="188">
        <v>8004</v>
      </c>
      <c r="S195" s="188">
        <v>165.16263465729782</v>
      </c>
      <c r="T195" s="176">
        <f t="shared" ref="T195" si="14">S195/I195*$I$69</f>
        <v>208.85431370394389</v>
      </c>
    </row>
    <row r="196" spans="1:20" x14ac:dyDescent="0.2">
      <c r="A196" s="168">
        <v>2</v>
      </c>
      <c r="C196" s="179">
        <f>+E196-E195</f>
        <v>197.965</v>
      </c>
      <c r="D196" s="171">
        <f>+G196-G195</f>
        <v>179.76700000000002</v>
      </c>
      <c r="E196" s="168">
        <v>394.142</v>
      </c>
      <c r="G196" s="168">
        <v>359.31900000000002</v>
      </c>
      <c r="I196" s="168">
        <v>136.69999999999999</v>
      </c>
      <c r="J196" s="168">
        <v>2</v>
      </c>
      <c r="L196" s="188">
        <v>16691</v>
      </c>
      <c r="M196" s="188">
        <v>732.96206934555016</v>
      </c>
      <c r="N196" s="176">
        <f t="shared" ref="N196:N231" si="15">M196/I196*$I$69</f>
        <v>920.75567342092279</v>
      </c>
      <c r="O196" s="188">
        <v>6228</v>
      </c>
      <c r="P196" s="188">
        <v>1158.7677611998799</v>
      </c>
      <c r="Q196" s="176">
        <f t="shared" si="11"/>
        <v>1455.6578504187885</v>
      </c>
      <c r="R196" s="188">
        <v>11579</v>
      </c>
      <c r="S196" s="188">
        <v>167.32102845142202</v>
      </c>
      <c r="T196" s="176">
        <f t="shared" si="12"/>
        <v>210.19066698339481</v>
      </c>
    </row>
    <row r="197" spans="1:20" x14ac:dyDescent="0.2">
      <c r="A197" s="168">
        <v>3</v>
      </c>
      <c r="C197" s="179">
        <f>+E197-E196</f>
        <v>192.10452006852</v>
      </c>
      <c r="D197" s="171">
        <f>+G197-G196</f>
        <v>173.47352006851992</v>
      </c>
      <c r="E197" s="168">
        <v>586.24652006852</v>
      </c>
      <c r="G197" s="168">
        <v>532.79252006851993</v>
      </c>
      <c r="I197" s="168">
        <v>137</v>
      </c>
      <c r="J197" s="168">
        <v>3</v>
      </c>
      <c r="L197" s="188">
        <v>21817</v>
      </c>
      <c r="M197" s="188">
        <v>1080.59231996894</v>
      </c>
      <c r="N197" s="176">
        <f t="shared" si="15"/>
        <v>1354.4804062267608</v>
      </c>
      <c r="O197" s="188">
        <v>20407</v>
      </c>
      <c r="P197" s="188">
        <v>1259.8740491119995</v>
      </c>
      <c r="Q197" s="176">
        <f t="shared" si="11"/>
        <v>1579.2030743701985</v>
      </c>
      <c r="R197" s="188">
        <v>11684</v>
      </c>
      <c r="S197" s="188">
        <v>177.03184293206914</v>
      </c>
      <c r="T197" s="176">
        <f t="shared" si="12"/>
        <v>221.90252336477224</v>
      </c>
    </row>
    <row r="198" spans="1:20" x14ac:dyDescent="0.2">
      <c r="A198" s="168">
        <v>4</v>
      </c>
      <c r="C198" s="179">
        <f>+E198-E197</f>
        <v>196.808833167682</v>
      </c>
      <c r="D198" s="171">
        <f>+G198-G197</f>
        <v>184.73883316768206</v>
      </c>
      <c r="E198" s="168">
        <v>783.055353236202</v>
      </c>
      <c r="G198" s="168">
        <v>717.53135323620199</v>
      </c>
      <c r="I198" s="168">
        <v>137.9</v>
      </c>
      <c r="J198" s="168">
        <v>4</v>
      </c>
      <c r="L198" s="188">
        <v>20183</v>
      </c>
      <c r="M198" s="188">
        <v>869.67426416194962</v>
      </c>
      <c r="N198" s="176">
        <f t="shared" si="15"/>
        <v>1082.9883124340633</v>
      </c>
      <c r="O198" s="188">
        <v>12863</v>
      </c>
      <c r="P198" s="188">
        <v>1106.850761909501</v>
      </c>
      <c r="Q198" s="176">
        <f t="shared" si="11"/>
        <v>1378.3395555712409</v>
      </c>
      <c r="R198" s="188">
        <v>9690</v>
      </c>
      <c r="S198" s="188">
        <v>175.42101671448501</v>
      </c>
      <c r="T198" s="176">
        <f t="shared" si="12"/>
        <v>218.44835323505686</v>
      </c>
    </row>
    <row r="199" spans="1:20" x14ac:dyDescent="0.2">
      <c r="A199" s="168">
        <v>1</v>
      </c>
      <c r="B199" s="168">
        <v>2015</v>
      </c>
      <c r="C199" s="179">
        <f>E199</f>
        <v>219.418599054541</v>
      </c>
      <c r="D199" s="171">
        <f>G199</f>
        <v>202.59159905454101</v>
      </c>
      <c r="E199" s="168">
        <v>219.418599054541</v>
      </c>
      <c r="G199" s="168">
        <v>202.59159905454101</v>
      </c>
      <c r="I199" s="168">
        <v>138.4</v>
      </c>
      <c r="J199" s="168">
        <v>1</v>
      </c>
      <c r="K199" s="168">
        <v>2015</v>
      </c>
      <c r="L199" s="188">
        <v>19630</v>
      </c>
      <c r="M199" s="188">
        <v>957.60520650282388</v>
      </c>
      <c r="N199" s="176">
        <f t="shared" si="15"/>
        <v>1188.1788734274471</v>
      </c>
      <c r="O199" s="188">
        <v>9848</v>
      </c>
      <c r="P199" s="188">
        <v>1279.8360091262539</v>
      </c>
      <c r="Q199" s="176">
        <f t="shared" si="11"/>
        <v>1587.9969085057683</v>
      </c>
      <c r="R199" s="188">
        <v>7135</v>
      </c>
      <c r="S199" s="188">
        <v>155.36971992416409</v>
      </c>
      <c r="T199" s="176">
        <f t="shared" si="12"/>
        <v>192.7798820752202</v>
      </c>
    </row>
    <row r="200" spans="1:20" x14ac:dyDescent="0.2">
      <c r="A200" s="168">
        <v>2</v>
      </c>
      <c r="C200" s="179">
        <f>+E200-E199</f>
        <v>188.69592411436798</v>
      </c>
      <c r="D200" s="171">
        <f>+G200-G199</f>
        <v>171.45081948058601</v>
      </c>
      <c r="E200" s="168">
        <v>408.11452316890899</v>
      </c>
      <c r="G200" s="168">
        <v>374.04241853512701</v>
      </c>
      <c r="I200" s="168">
        <v>139.6</v>
      </c>
      <c r="J200" s="168">
        <v>2</v>
      </c>
      <c r="L200" s="188">
        <v>15703.949675889351</v>
      </c>
      <c r="M200" s="188">
        <v>739.71582874915612</v>
      </c>
      <c r="N200" s="176">
        <f t="shared" si="15"/>
        <v>909.93613368260412</v>
      </c>
      <c r="O200" s="188">
        <v>5422.7168724637304</v>
      </c>
      <c r="P200" s="188">
        <v>1206.7408437095464</v>
      </c>
      <c r="Q200" s="176">
        <f t="shared" si="11"/>
        <v>1484.4309868814621</v>
      </c>
      <c r="R200" s="188">
        <v>9988.3050621118018</v>
      </c>
      <c r="S200" s="188">
        <v>168.85276765034422</v>
      </c>
      <c r="T200" s="176">
        <f t="shared" si="12"/>
        <v>207.70845855383703</v>
      </c>
    </row>
    <row r="201" spans="1:20" x14ac:dyDescent="0.2">
      <c r="A201" s="168">
        <v>3</v>
      </c>
      <c r="C201" s="179">
        <f>+E201-E200</f>
        <v>180.38826158445403</v>
      </c>
      <c r="D201" s="171">
        <f>+G201-G200</f>
        <v>162.29720926756397</v>
      </c>
      <c r="E201" s="168">
        <v>588.50278475336302</v>
      </c>
      <c r="G201" s="168">
        <v>536.33962780269098</v>
      </c>
      <c r="I201" s="168">
        <v>139.69999999999999</v>
      </c>
      <c r="J201" s="168">
        <v>3</v>
      </c>
      <c r="L201" s="188">
        <v>22728.974837944646</v>
      </c>
      <c r="M201" s="188">
        <v>979.87465749478997</v>
      </c>
      <c r="N201" s="176">
        <f t="shared" si="15"/>
        <v>1204.4964852976252</v>
      </c>
      <c r="O201" s="188">
        <v>8619.8584362319707</v>
      </c>
      <c r="P201" s="188">
        <v>1341.1049733657396</v>
      </c>
      <c r="Q201" s="176">
        <f t="shared" si="11"/>
        <v>1648.5335287312373</v>
      </c>
      <c r="R201" s="188">
        <v>10649.652531055901</v>
      </c>
      <c r="S201" s="188">
        <v>131.16322330640469</v>
      </c>
      <c r="T201" s="176">
        <f t="shared" si="12"/>
        <v>161.23045969653728</v>
      </c>
    </row>
    <row r="202" spans="1:20" x14ac:dyDescent="0.2">
      <c r="A202" s="168">
        <v>4</v>
      </c>
      <c r="C202" s="179">
        <f>+E202-E201</f>
        <v>195.22963867497901</v>
      </c>
      <c r="D202" s="171">
        <f>+G202-G201</f>
        <v>179.89113138755602</v>
      </c>
      <c r="E202" s="168">
        <v>783.73242342834203</v>
      </c>
      <c r="G202" s="168">
        <v>716.230759190247</v>
      </c>
      <c r="I202" s="168">
        <v>141.69999999999999</v>
      </c>
      <c r="J202" s="168">
        <v>4</v>
      </c>
      <c r="L202" s="188">
        <v>17661.404213438705</v>
      </c>
      <c r="M202" s="188">
        <v>882.4718984768997</v>
      </c>
      <c r="N202" s="176">
        <f t="shared" si="15"/>
        <v>1069.4548438440147</v>
      </c>
      <c r="O202" s="188">
        <v>7193.856491304301</v>
      </c>
      <c r="P202" s="188">
        <v>1425.3376484527203</v>
      </c>
      <c r="Q202" s="176">
        <f t="shared" si="11"/>
        <v>1727.3459414196873</v>
      </c>
      <c r="R202" s="188">
        <v>9159.825978260902</v>
      </c>
      <c r="S202" s="188">
        <v>158.55842389179503</v>
      </c>
      <c r="T202" s="176">
        <f t="shared" si="12"/>
        <v>192.15464510090749</v>
      </c>
    </row>
    <row r="203" spans="1:20" x14ac:dyDescent="0.2">
      <c r="A203" s="168">
        <v>1</v>
      </c>
      <c r="B203" s="168">
        <v>2016</v>
      </c>
      <c r="C203" s="179">
        <f>E203</f>
        <v>217.297581707322</v>
      </c>
      <c r="D203" s="171">
        <f>G203</f>
        <v>201.19677375494101</v>
      </c>
      <c r="E203" s="168">
        <v>217.297581707322</v>
      </c>
      <c r="G203" s="168">
        <v>201.19677375494101</v>
      </c>
      <c r="I203" s="168">
        <v>142.69999999999999</v>
      </c>
      <c r="J203" s="168">
        <v>1</v>
      </c>
      <c r="K203" s="168">
        <v>2016</v>
      </c>
      <c r="L203" s="188">
        <v>20668.165818181998</v>
      </c>
      <c r="M203" s="188">
        <v>1021.6300324660001</v>
      </c>
      <c r="N203" s="176">
        <f t="shared" si="15"/>
        <v>1229.4223263270042</v>
      </c>
      <c r="O203" s="188">
        <v>6682.5362000000005</v>
      </c>
      <c r="P203" s="188">
        <v>1267.176908724</v>
      </c>
      <c r="Q203" s="176">
        <f t="shared" si="11"/>
        <v>1524.9116935520087</v>
      </c>
      <c r="R203" s="188">
        <v>6340.7358571430004</v>
      </c>
      <c r="S203" s="188">
        <v>128.592957756</v>
      </c>
      <c r="T203" s="176">
        <f t="shared" si="12"/>
        <v>154.74785220638384</v>
      </c>
    </row>
    <row r="204" spans="1:20" x14ac:dyDescent="0.2">
      <c r="A204" s="168">
        <v>2</v>
      </c>
      <c r="C204" s="179">
        <f>+E204-E203</f>
        <v>210.94903078835901</v>
      </c>
      <c r="D204" s="171">
        <f>+G204-G203</f>
        <v>192.89311593057502</v>
      </c>
      <c r="E204" s="168">
        <v>428.24661249568101</v>
      </c>
      <c r="G204" s="168">
        <v>394.08988968551603</v>
      </c>
      <c r="I204" s="168">
        <v>144.30000000000001</v>
      </c>
      <c r="J204" s="168">
        <v>2</v>
      </c>
      <c r="L204" s="188">
        <v>19039.287573122998</v>
      </c>
      <c r="M204" s="188">
        <v>795.20392340999979</v>
      </c>
      <c r="N204" s="176">
        <f t="shared" si="15"/>
        <v>946.33216270024968</v>
      </c>
      <c r="O204" s="188">
        <v>5385.3991579709982</v>
      </c>
      <c r="P204" s="188">
        <v>991.5183596400002</v>
      </c>
      <c r="Q204" s="176">
        <f t="shared" si="11"/>
        <v>1179.9560917801755</v>
      </c>
      <c r="R204" s="188">
        <v>10107.700518632999</v>
      </c>
      <c r="S204" s="188">
        <v>152.61472035099999</v>
      </c>
      <c r="T204" s="176">
        <f t="shared" si="12"/>
        <v>181.61909683535583</v>
      </c>
    </row>
    <row r="205" spans="1:20" x14ac:dyDescent="0.2">
      <c r="A205" s="168">
        <v>3</v>
      </c>
      <c r="C205" s="179">
        <f>+E205-E204</f>
        <v>193.64755294266695</v>
      </c>
      <c r="D205" s="171">
        <f>+G205-G204</f>
        <v>175.641874720337</v>
      </c>
      <c r="E205" s="168">
        <v>621.89416543834795</v>
      </c>
      <c r="G205" s="168">
        <v>569.73176440585303</v>
      </c>
      <c r="I205" s="168">
        <v>145.30000000000001</v>
      </c>
      <c r="J205" s="168">
        <v>3</v>
      </c>
      <c r="L205" s="188">
        <v>25325.005330874006</v>
      </c>
      <c r="M205" s="188">
        <v>1404.3111468839998</v>
      </c>
      <c r="N205" s="176">
        <f t="shared" si="15"/>
        <v>1659.6982893280506</v>
      </c>
      <c r="O205" s="188">
        <v>9666.7747891530034</v>
      </c>
      <c r="P205" s="188">
        <v>1492.4533452979995</v>
      </c>
      <c r="Q205" s="176">
        <f t="shared" si="11"/>
        <v>1763.8699725407973</v>
      </c>
      <c r="R205" s="188">
        <v>10325.156290487997</v>
      </c>
      <c r="S205" s="188">
        <v>149.15188867200001</v>
      </c>
      <c r="T205" s="176">
        <f t="shared" si="12"/>
        <v>176.2765573913189</v>
      </c>
    </row>
    <row r="206" spans="1:20" x14ac:dyDescent="0.2">
      <c r="A206" s="168">
        <v>4</v>
      </c>
      <c r="C206" s="179">
        <f>+E206-E205</f>
        <v>194.66297676649504</v>
      </c>
      <c r="D206" s="171">
        <f>+G206-G205</f>
        <v>178.45454935802093</v>
      </c>
      <c r="E206" s="168">
        <v>816.55714220484299</v>
      </c>
      <c r="G206" s="168">
        <v>748.18631376387395</v>
      </c>
      <c r="I206" s="168">
        <v>146.69999999999999</v>
      </c>
      <c r="J206" s="168">
        <v>4</v>
      </c>
      <c r="L206" s="188">
        <v>18369.446222722992</v>
      </c>
      <c r="M206" s="188">
        <v>962.00640138500057</v>
      </c>
      <c r="N206" s="176">
        <f t="shared" si="15"/>
        <v>1126.1059823165513</v>
      </c>
      <c r="O206" s="188">
        <v>6575.4640743699983</v>
      </c>
      <c r="P206" s="188">
        <v>1222.1149542560006</v>
      </c>
      <c r="Q206" s="176">
        <f t="shared" si="11"/>
        <v>1430.5839951634844</v>
      </c>
      <c r="R206" s="188">
        <v>7957.0224983410008</v>
      </c>
      <c r="S206" s="188">
        <v>147.86469469900001</v>
      </c>
      <c r="T206" s="176">
        <f t="shared" si="12"/>
        <v>173.08753562785864</v>
      </c>
    </row>
    <row r="207" spans="1:20" x14ac:dyDescent="0.2">
      <c r="A207" s="168">
        <v>1</v>
      </c>
      <c r="B207" s="168">
        <v>2017</v>
      </c>
      <c r="C207" s="179">
        <f>E207</f>
        <v>227.02914608932699</v>
      </c>
      <c r="D207" s="171">
        <f>G207</f>
        <v>210.737716871462</v>
      </c>
      <c r="E207" s="168">
        <v>227.02914608932699</v>
      </c>
      <c r="G207" s="168">
        <v>210.737716871462</v>
      </c>
      <c r="I207" s="168">
        <v>146.4</v>
      </c>
      <c r="J207" s="168">
        <v>1</v>
      </c>
      <c r="K207" s="168">
        <v>2017</v>
      </c>
      <c r="L207" s="188">
        <v>20188.970584052</v>
      </c>
      <c r="M207" s="188">
        <v>1029.1484993670001</v>
      </c>
      <c r="N207" s="176">
        <f t="shared" si="15"/>
        <v>1207.1698663254685</v>
      </c>
      <c r="O207" s="188">
        <v>7124.2571060979999</v>
      </c>
      <c r="P207" s="188">
        <v>1296.4468783369998</v>
      </c>
      <c r="Q207" s="176">
        <f t="shared" si="11"/>
        <v>1520.7053265711932</v>
      </c>
      <c r="R207" s="188">
        <v>6121.3819215860003</v>
      </c>
      <c r="S207" s="188">
        <v>141.149656131</v>
      </c>
      <c r="T207" s="176">
        <f t="shared" si="12"/>
        <v>165.56562209277686</v>
      </c>
    </row>
    <row r="208" spans="1:20" x14ac:dyDescent="0.2">
      <c r="A208" s="168">
        <v>2</v>
      </c>
      <c r="C208" s="179">
        <f>+E208-E207</f>
        <v>200.76722202181199</v>
      </c>
      <c r="D208" s="171">
        <f>+G208-G207</f>
        <v>183.70797761744905</v>
      </c>
      <c r="E208" s="168">
        <v>427.79636811113897</v>
      </c>
      <c r="G208" s="168">
        <v>394.44569448891104</v>
      </c>
      <c r="I208" s="168">
        <v>147.4</v>
      </c>
      <c r="J208" s="168">
        <v>2</v>
      </c>
      <c r="L208" s="188">
        <v>16357.538075795001</v>
      </c>
      <c r="M208" s="188">
        <v>768.50776898899994</v>
      </c>
      <c r="N208" s="176">
        <f t="shared" si="15"/>
        <v>895.32806110240972</v>
      </c>
      <c r="O208" s="188">
        <v>5007.3623026510004</v>
      </c>
      <c r="P208" s="188">
        <v>1681.8190342150001</v>
      </c>
      <c r="Q208" s="176">
        <f t="shared" si="11"/>
        <v>1959.3553062056244</v>
      </c>
      <c r="R208" s="188">
        <v>7194.9193664359991</v>
      </c>
      <c r="S208" s="188">
        <v>119.946167266</v>
      </c>
      <c r="T208" s="176">
        <f t="shared" si="12"/>
        <v>139.73986172737082</v>
      </c>
    </row>
    <row r="209" spans="1:20" x14ac:dyDescent="0.2">
      <c r="A209" s="168">
        <v>3</v>
      </c>
      <c r="C209" s="179">
        <f>+E209-E208</f>
        <v>195.05863188886104</v>
      </c>
      <c r="D209" s="171">
        <f>+G209-G208</f>
        <v>176.76630551108894</v>
      </c>
      <c r="E209" s="168">
        <v>622.85500000000002</v>
      </c>
      <c r="G209" s="168">
        <v>571.21199999999999</v>
      </c>
      <c r="I209" s="168">
        <v>147.30000000000001</v>
      </c>
      <c r="J209" s="168">
        <v>3</v>
      </c>
      <c r="L209" s="188">
        <v>19399</v>
      </c>
      <c r="M209" s="188">
        <v>907</v>
      </c>
      <c r="N209" s="176">
        <f t="shared" si="15"/>
        <v>1057.3918477031002</v>
      </c>
      <c r="O209" s="188">
        <v>8892</v>
      </c>
      <c r="P209" s="188">
        <v>954</v>
      </c>
      <c r="Q209" s="176">
        <f t="shared" si="11"/>
        <v>1112.1850305498981</v>
      </c>
      <c r="R209" s="188">
        <v>8727</v>
      </c>
      <c r="S209" s="188">
        <v>128</v>
      </c>
      <c r="T209" s="176">
        <f t="shared" si="12"/>
        <v>149.22398732744963</v>
      </c>
    </row>
    <row r="210" spans="1:20" x14ac:dyDescent="0.2">
      <c r="A210" s="168">
        <v>4</v>
      </c>
      <c r="C210" s="179">
        <f>+E210-E209</f>
        <v>225.423</v>
      </c>
      <c r="D210" s="171">
        <f>+G210-G209</f>
        <v>208.21799999999996</v>
      </c>
      <c r="E210" s="168">
        <v>848.27800000000002</v>
      </c>
      <c r="G210" s="168">
        <v>779.43</v>
      </c>
      <c r="I210" s="168">
        <v>148.4</v>
      </c>
      <c r="J210" s="168">
        <v>4</v>
      </c>
      <c r="L210" s="188">
        <v>23333</v>
      </c>
      <c r="M210" s="188">
        <v>1141</v>
      </c>
      <c r="N210" s="176">
        <f t="shared" si="15"/>
        <v>1320.3320361635219</v>
      </c>
      <c r="O210" s="188">
        <v>6366</v>
      </c>
      <c r="P210" s="188">
        <v>1205</v>
      </c>
      <c r="Q210" s="176">
        <f t="shared" si="11"/>
        <v>1394.3909759658579</v>
      </c>
      <c r="R210" s="188">
        <v>7520</v>
      </c>
      <c r="S210" s="188">
        <v>124</v>
      </c>
      <c r="T210" s="176">
        <f t="shared" si="12"/>
        <v>143.48919586702607</v>
      </c>
    </row>
    <row r="211" spans="1:20" x14ac:dyDescent="0.2">
      <c r="A211" s="168">
        <v>1</v>
      </c>
      <c r="B211" s="168">
        <v>2018</v>
      </c>
      <c r="C211" s="179">
        <f>E211</f>
        <v>241.52799999999999</v>
      </c>
      <c r="D211" s="179">
        <f>G211</f>
        <v>222.678</v>
      </c>
      <c r="E211" s="168">
        <v>241.52799999999999</v>
      </c>
      <c r="G211" s="168">
        <v>222.678</v>
      </c>
      <c r="I211" s="168">
        <v>149.69999999999999</v>
      </c>
      <c r="J211" s="168">
        <v>1</v>
      </c>
      <c r="K211" s="168">
        <v>2018</v>
      </c>
      <c r="L211" s="188">
        <v>25111</v>
      </c>
      <c r="M211" s="188">
        <v>1175</v>
      </c>
      <c r="N211" s="176">
        <f t="shared" si="15"/>
        <v>1347.8683756401692</v>
      </c>
      <c r="O211" s="188">
        <v>6317</v>
      </c>
      <c r="P211" s="188">
        <v>1262</v>
      </c>
      <c r="Q211" s="176">
        <f t="shared" si="11"/>
        <v>1447.667991538633</v>
      </c>
      <c r="R211" s="188">
        <v>5433</v>
      </c>
      <c r="S211" s="188">
        <v>116</v>
      </c>
      <c r="T211" s="176">
        <f t="shared" si="12"/>
        <v>133.06615453128481</v>
      </c>
    </row>
    <row r="212" spans="1:20" x14ac:dyDescent="0.2">
      <c r="A212" s="168">
        <v>2</v>
      </c>
      <c r="C212" s="179">
        <f>+E212-E211</f>
        <v>226.77080239162902</v>
      </c>
      <c r="D212" s="179">
        <f>+G212-G211</f>
        <v>208.83864191330298</v>
      </c>
      <c r="E212" s="168">
        <v>468.29880239162901</v>
      </c>
      <c r="G212" s="168">
        <v>431.51664191330298</v>
      </c>
      <c r="I212" s="168">
        <v>150.80000000000001</v>
      </c>
      <c r="J212" s="168">
        <v>2</v>
      </c>
      <c r="L212" s="188">
        <v>20973.437462450995</v>
      </c>
      <c r="M212" s="188">
        <v>1076.7915513600001</v>
      </c>
      <c r="N212" s="176">
        <f t="shared" si="15"/>
        <v>1226.201139462886</v>
      </c>
      <c r="O212" s="188">
        <v>5869.5992710140017</v>
      </c>
      <c r="P212" s="188">
        <v>1471.9660798479999</v>
      </c>
      <c r="Q212" s="176">
        <f t="shared" si="11"/>
        <v>1676.2078807924263</v>
      </c>
      <c r="R212" s="188">
        <v>9319.6839472049996</v>
      </c>
      <c r="S212" s="188">
        <v>135.61776245999999</v>
      </c>
      <c r="T212" s="176">
        <f t="shared" si="12"/>
        <v>154.43532654934646</v>
      </c>
    </row>
    <row r="213" spans="1:20" x14ac:dyDescent="0.2">
      <c r="A213" s="168">
        <v>3</v>
      </c>
      <c r="C213" s="179">
        <f>+E213-E212</f>
        <v>230.04425590433516</v>
      </c>
      <c r="D213" s="179">
        <f>+G213-G212</f>
        <v>207.39460472346803</v>
      </c>
      <c r="E213" s="168">
        <v>698.34305829596417</v>
      </c>
      <c r="G213" s="168">
        <v>638.91124663677101</v>
      </c>
      <c r="I213" s="168">
        <v>152.30000000000001</v>
      </c>
      <c r="J213" s="168">
        <v>3</v>
      </c>
      <c r="L213" s="188">
        <v>22635.655438734771</v>
      </c>
      <c r="M213" s="188">
        <v>1212.1884087902995</v>
      </c>
      <c r="N213" s="176">
        <f t="shared" si="15"/>
        <v>1366.7895229317587</v>
      </c>
      <c r="O213" s="188">
        <v>10333.380031159912</v>
      </c>
      <c r="P213" s="188">
        <v>1822.4517080118057</v>
      </c>
      <c r="Q213" s="176">
        <f t="shared" si="11"/>
        <v>2054.8851007785333</v>
      </c>
      <c r="R213" s="188">
        <v>9726.2967189440697</v>
      </c>
      <c r="S213" s="188">
        <v>150.27129325880639</v>
      </c>
      <c r="T213" s="176">
        <f t="shared" si="12"/>
        <v>169.43672100322266</v>
      </c>
    </row>
    <row r="214" spans="1:20" x14ac:dyDescent="0.2">
      <c r="A214" s="168">
        <v>4</v>
      </c>
      <c r="C214" s="179">
        <f>+E214-E213</f>
        <v>212.66674917787782</v>
      </c>
      <c r="D214" s="179">
        <f>+G214-G213</f>
        <v>195.66619934230232</v>
      </c>
      <c r="E214" s="168">
        <v>911.00980747384199</v>
      </c>
      <c r="G214" s="168">
        <v>834.57744597907333</v>
      </c>
      <c r="I214" s="168">
        <v>153.6</v>
      </c>
      <c r="J214" s="168">
        <v>4</v>
      </c>
      <c r="L214" s="188">
        <v>22335.438371541502</v>
      </c>
      <c r="M214" s="188">
        <v>1078.6341079945755</v>
      </c>
      <c r="N214" s="176">
        <f t="shared" si="15"/>
        <v>1205.9084852448686</v>
      </c>
      <c r="O214" s="188">
        <v>7362.2217963768126</v>
      </c>
      <c r="P214" s="188">
        <v>1452.0805351783911</v>
      </c>
      <c r="Q214" s="176">
        <f t="shared" si="11"/>
        <v>1623.4200510182068</v>
      </c>
      <c r="R214" s="188">
        <v>8182.2589673913026</v>
      </c>
      <c r="S214" s="188">
        <v>116.53210966099653</v>
      </c>
      <c r="T214" s="176">
        <f t="shared" si="12"/>
        <v>130.28241810835445</v>
      </c>
    </row>
    <row r="215" spans="1:20" x14ac:dyDescent="0.2">
      <c r="A215" s="168">
        <v>1</v>
      </c>
      <c r="B215" s="168">
        <v>2019</v>
      </c>
      <c r="C215" s="179">
        <f>E215</f>
        <v>242.05576995515696</v>
      </c>
      <c r="D215" s="179">
        <f>G215</f>
        <v>223.58363596412556</v>
      </c>
      <c r="E215" s="168">
        <v>242.05576995515696</v>
      </c>
      <c r="G215" s="168">
        <v>223.58363596412556</v>
      </c>
      <c r="I215" s="168">
        <v>154.1</v>
      </c>
      <c r="J215" s="168">
        <v>1</v>
      </c>
      <c r="K215" s="168">
        <v>2019</v>
      </c>
      <c r="L215" s="188">
        <v>22394.924612648225</v>
      </c>
      <c r="M215" s="188">
        <v>1151.1138601930163</v>
      </c>
      <c r="N215" s="176">
        <f t="shared" si="15"/>
        <v>1282.764882414637</v>
      </c>
      <c r="O215" s="188">
        <v>6179.0660115942028</v>
      </c>
      <c r="P215" s="188">
        <v>1384.5030606846908</v>
      </c>
      <c r="Q215" s="176">
        <f t="shared" si="11"/>
        <v>1542.8464266289939</v>
      </c>
      <c r="R215" s="188">
        <v>6840.1016739130437</v>
      </c>
      <c r="S215" s="188">
        <v>122.43916062391185</v>
      </c>
      <c r="T215" s="176">
        <f t="shared" si="12"/>
        <v>136.44232852373401</v>
      </c>
    </row>
    <row r="216" spans="1:20" x14ac:dyDescent="0.2">
      <c r="A216" s="168">
        <v>2</v>
      </c>
      <c r="C216" s="179">
        <f>+E216-E215</f>
        <v>221.71122705530604</v>
      </c>
      <c r="D216" s="179">
        <f>+G216-G215</f>
        <v>199.97176164424542</v>
      </c>
      <c r="E216" s="168">
        <v>463.766997010463</v>
      </c>
      <c r="G216" s="168">
        <v>423.55539760837098</v>
      </c>
      <c r="I216" s="168">
        <v>154.6</v>
      </c>
      <c r="J216" s="168">
        <v>2</v>
      </c>
      <c r="L216" s="188">
        <v>19703.243703557309</v>
      </c>
      <c r="M216" s="188">
        <v>1006.9446819648526</v>
      </c>
      <c r="N216" s="176">
        <f t="shared" si="15"/>
        <v>1118.4782431426004</v>
      </c>
      <c r="O216" s="188">
        <v>8628.701004347824</v>
      </c>
      <c r="P216" s="188">
        <v>1346.7424148398591</v>
      </c>
      <c r="Q216" s="176">
        <f t="shared" si="11"/>
        <v>1495.9134469794897</v>
      </c>
      <c r="R216" s="188">
        <v>10227.612341614906</v>
      </c>
      <c r="S216" s="188">
        <v>141.53554504088498</v>
      </c>
      <c r="T216" s="176">
        <f t="shared" si="12"/>
        <v>157.21263600167168</v>
      </c>
    </row>
    <row r="217" spans="1:20" x14ac:dyDescent="0.2">
      <c r="A217" s="168">
        <v>3</v>
      </c>
      <c r="C217" s="179">
        <f>+E217-E216</f>
        <v>200.66800298953694</v>
      </c>
      <c r="D217" s="179">
        <f>+G217-G216</f>
        <v>183.517602391629</v>
      </c>
      <c r="E217" s="168">
        <v>664.43499999999995</v>
      </c>
      <c r="G217" s="168">
        <v>607.07299999999998</v>
      </c>
      <c r="I217" s="168">
        <v>154.69999999999999</v>
      </c>
      <c r="J217" s="168">
        <v>3</v>
      </c>
      <c r="L217" s="188">
        <v>26165.077849802379</v>
      </c>
      <c r="M217" s="188">
        <v>1402.3482904344257</v>
      </c>
      <c r="N217" s="176">
        <f t="shared" si="15"/>
        <v>1556.671567881554</v>
      </c>
      <c r="O217" s="188">
        <v>13748.462299275363</v>
      </c>
      <c r="P217" s="188">
        <v>1484.9789315777889</v>
      </c>
      <c r="Q217" s="176">
        <f t="shared" si="11"/>
        <v>1648.3954075161785</v>
      </c>
      <c r="R217" s="188">
        <v>10507.793672360251</v>
      </c>
      <c r="S217" s="188">
        <v>144.78676128055025</v>
      </c>
      <c r="T217" s="176">
        <f t="shared" si="12"/>
        <v>160.7200124451719</v>
      </c>
    </row>
    <row r="218" spans="1:20" x14ac:dyDescent="0.2">
      <c r="A218" s="168">
        <v>4</v>
      </c>
      <c r="C218" s="179">
        <f>+E218-E217</f>
        <v>216.91973572496272</v>
      </c>
      <c r="D218" s="179">
        <f>+G218-G217</f>
        <v>199.72038857997018</v>
      </c>
      <c r="E218" s="168">
        <v>881.35473572496267</v>
      </c>
      <c r="G218" s="168">
        <v>806.79338857997016</v>
      </c>
      <c r="I218" s="168">
        <v>156.1</v>
      </c>
      <c r="J218" s="168">
        <v>4</v>
      </c>
      <c r="L218" s="188">
        <v>22621.988837944664</v>
      </c>
      <c r="M218" s="188">
        <v>1317.7971704198299</v>
      </c>
      <c r="N218" s="176">
        <f t="shared" si="15"/>
        <v>1449.6964825498819</v>
      </c>
      <c r="O218" s="188">
        <v>7776.9221253623255</v>
      </c>
      <c r="P218" s="188">
        <v>1227.7391162265512</v>
      </c>
      <c r="Q218" s="176">
        <f t="shared" si="11"/>
        <v>1350.62444982751</v>
      </c>
      <c r="R218" s="188">
        <v>9597.5708897515542</v>
      </c>
      <c r="S218" s="188">
        <v>133.20019148427383</v>
      </c>
      <c r="T218" s="176">
        <f t="shared" si="12"/>
        <v>146.5322990549478</v>
      </c>
    </row>
    <row r="219" spans="1:20" x14ac:dyDescent="0.2">
      <c r="A219" s="168">
        <v>1</v>
      </c>
      <c r="B219" s="168">
        <v>2020</v>
      </c>
      <c r="C219" s="179">
        <f>E219</f>
        <v>245.16278393124065</v>
      </c>
      <c r="D219" s="179">
        <f>G219</f>
        <v>227.94719714499254</v>
      </c>
      <c r="E219" s="168">
        <v>245.16278393124065</v>
      </c>
      <c r="G219" s="168">
        <v>227.94719714499254</v>
      </c>
      <c r="I219" s="168">
        <v>155.52000000000001</v>
      </c>
      <c r="J219" s="168">
        <v>1</v>
      </c>
      <c r="K219" s="168">
        <v>2020</v>
      </c>
      <c r="L219" s="188">
        <v>22417.308750988144</v>
      </c>
      <c r="M219" s="188">
        <v>1187.0066434405767</v>
      </c>
      <c r="N219" s="176">
        <f t="shared" si="15"/>
        <v>1310.6849708888255</v>
      </c>
      <c r="O219" s="188">
        <v>7817.2878601449283</v>
      </c>
      <c r="P219" s="188">
        <v>1773.3957103534681</v>
      </c>
      <c r="Q219" s="176">
        <f t="shared" si="11"/>
        <v>1958.1719427127741</v>
      </c>
      <c r="R219" s="188">
        <v>8173.2696444099374</v>
      </c>
      <c r="S219" s="188">
        <v>145.83786039029874</v>
      </c>
      <c r="T219" s="176">
        <f t="shared" si="12"/>
        <v>161.03321144530429</v>
      </c>
    </row>
    <row r="220" spans="1:20" x14ac:dyDescent="0.2">
      <c r="A220" s="168">
        <v>2</v>
      </c>
      <c r="C220" s="179">
        <f>+E220-E219</f>
        <v>219.4338294469357</v>
      </c>
      <c r="D220" s="179">
        <f>+G220-G219</f>
        <v>199.23928355754859</v>
      </c>
      <c r="E220" s="187">
        <v>464.59661337817636</v>
      </c>
      <c r="G220" s="168">
        <v>427.18648070254113</v>
      </c>
      <c r="I220" s="168">
        <v>156.5</v>
      </c>
      <c r="J220" s="168">
        <v>2</v>
      </c>
      <c r="L220" s="188">
        <v>20318.697663474304</v>
      </c>
      <c r="M220" s="188">
        <v>1003.3659178621033</v>
      </c>
      <c r="N220" s="176">
        <f t="shared" si="15"/>
        <v>1100.9723712882096</v>
      </c>
      <c r="O220" s="188">
        <v>6698.4276256020294</v>
      </c>
      <c r="P220" s="188">
        <v>1195.3385633418739</v>
      </c>
      <c r="Q220" s="176">
        <f t="shared" si="11"/>
        <v>1311.6199276320374</v>
      </c>
      <c r="R220" s="188">
        <v>9378.7613872911825</v>
      </c>
      <c r="S220" s="188">
        <v>125.6048434375343</v>
      </c>
      <c r="T220" s="176">
        <f t="shared" si="12"/>
        <v>137.82355954381924</v>
      </c>
    </row>
    <row r="221" spans="1:20" x14ac:dyDescent="0.2">
      <c r="A221" s="168">
        <v>3</v>
      </c>
      <c r="C221" s="179">
        <f>+E221-E220</f>
        <v>230.4091689088192</v>
      </c>
      <c r="D221" s="179">
        <f>+G221-G220</f>
        <v>212.03913512705532</v>
      </c>
      <c r="E221" s="187">
        <v>695.00578228699555</v>
      </c>
      <c r="G221" s="168">
        <v>639.22561582959645</v>
      </c>
      <c r="I221" s="168">
        <v>157.34</v>
      </c>
      <c r="J221" s="168">
        <v>3</v>
      </c>
      <c r="L221" s="188">
        <v>23115.129949173919</v>
      </c>
      <c r="M221" s="188">
        <v>1190.2908927373355</v>
      </c>
      <c r="N221" s="176">
        <f t="shared" si="15"/>
        <v>1299.1083745153276</v>
      </c>
      <c r="O221" s="188">
        <v>9381.5569490356484</v>
      </c>
      <c r="P221" s="188">
        <v>1044.8337260564822</v>
      </c>
      <c r="Q221" s="176">
        <f t="shared" si="11"/>
        <v>1140.353380655127</v>
      </c>
      <c r="R221" s="188">
        <v>12479.986334758509</v>
      </c>
      <c r="S221" s="188">
        <v>159.02277544572789</v>
      </c>
      <c r="T221" s="176">
        <f t="shared" si="12"/>
        <v>173.56078298231904</v>
      </c>
    </row>
    <row r="222" spans="1:20" x14ac:dyDescent="0.2">
      <c r="A222" s="168">
        <v>4</v>
      </c>
      <c r="C222" s="179">
        <f>+E222-E221</f>
        <v>210.53825269058302</v>
      </c>
      <c r="D222" s="179">
        <f>+G222-G221</f>
        <v>195.42257215246639</v>
      </c>
      <c r="E222" s="187">
        <v>905.54403497757858</v>
      </c>
      <c r="G222" s="168">
        <v>834.64818798206284</v>
      </c>
      <c r="I222" s="168">
        <v>156.08000000000001</v>
      </c>
      <c r="J222" s="168">
        <v>4</v>
      </c>
      <c r="L222" s="188">
        <v>24544.608407612643</v>
      </c>
      <c r="M222" s="188">
        <v>1241.5801516088959</v>
      </c>
      <c r="N222" s="176">
        <f t="shared" si="15"/>
        <v>1366.0258642036858</v>
      </c>
      <c r="O222" s="188">
        <v>8299.8127776884066</v>
      </c>
      <c r="P222" s="188">
        <v>1192.0542375158043</v>
      </c>
      <c r="Q222" s="176">
        <f t="shared" si="11"/>
        <v>1311.5358826170566</v>
      </c>
      <c r="R222" s="188">
        <v>9374.137683010551</v>
      </c>
      <c r="S222" s="188">
        <v>112.80928620726445</v>
      </c>
      <c r="T222" s="176">
        <f t="shared" si="12"/>
        <v>124.11635485779075</v>
      </c>
    </row>
    <row r="223" spans="1:20" x14ac:dyDescent="0.2">
      <c r="A223" s="168">
        <v>1</v>
      </c>
      <c r="B223" s="168">
        <v>2021</v>
      </c>
      <c r="C223" s="179">
        <f>E223</f>
        <v>246.03664372197312</v>
      </c>
      <c r="D223" s="179">
        <f>G223</f>
        <v>229.48208497757849</v>
      </c>
      <c r="E223" s="187">
        <v>246.03664372197312</v>
      </c>
      <c r="G223" s="168">
        <v>229.48208497757849</v>
      </c>
      <c r="I223" s="168">
        <v>155.52000000000001</v>
      </c>
      <c r="J223" s="168">
        <v>1</v>
      </c>
      <c r="K223" s="168">
        <v>2021</v>
      </c>
      <c r="L223" s="188">
        <v>34994.274094861663</v>
      </c>
      <c r="M223" s="188">
        <v>1823.5241188431366</v>
      </c>
      <c r="N223" s="176">
        <f t="shared" si="15"/>
        <v>2013.5234034523228</v>
      </c>
      <c r="O223" s="188">
        <v>8185.2405021739132</v>
      </c>
      <c r="P223" s="188">
        <v>1464.197591740502</v>
      </c>
      <c r="Q223" s="176">
        <f t="shared" si="11"/>
        <v>1616.7574027583457</v>
      </c>
      <c r="R223" s="188">
        <v>6121.5967593167707</v>
      </c>
      <c r="S223" s="188">
        <v>112.87324166947003</v>
      </c>
      <c r="T223" s="176">
        <f t="shared" si="12"/>
        <v>124.63389509166034</v>
      </c>
    </row>
    <row r="224" spans="1:20" x14ac:dyDescent="0.2">
      <c r="A224" s="168">
        <v>2</v>
      </c>
      <c r="C224" s="179">
        <f>+E224-E223</f>
        <v>241.94121614349774</v>
      </c>
      <c r="D224" s="179">
        <f>+G224-G223</f>
        <v>221.09553291479824</v>
      </c>
      <c r="E224" s="187">
        <v>487.97785986547086</v>
      </c>
      <c r="G224" s="168">
        <v>450.57761789237674</v>
      </c>
      <c r="I224" s="168">
        <v>160.69999999999999</v>
      </c>
      <c r="J224" s="168">
        <v>2</v>
      </c>
      <c r="L224" s="188">
        <v>20425.734197628459</v>
      </c>
      <c r="M224" s="188">
        <v>1061.5540769322004</v>
      </c>
      <c r="N224" s="176">
        <f t="shared" si="15"/>
        <v>1134.3776554622568</v>
      </c>
      <c r="O224" s="188">
        <v>6967.5044210144924</v>
      </c>
      <c r="P224" s="188">
        <v>1472.113681221721</v>
      </c>
      <c r="Q224" s="176">
        <f t="shared" si="11"/>
        <v>1573.1020233129996</v>
      </c>
      <c r="R224" s="188">
        <v>8820.4369021739112</v>
      </c>
      <c r="S224" s="188">
        <v>115.80617621183073</v>
      </c>
      <c r="T224" s="176">
        <f t="shared" si="12"/>
        <v>123.75058559321586</v>
      </c>
    </row>
    <row r="225" spans="1:20" x14ac:dyDescent="0.2">
      <c r="A225" s="168">
        <v>3</v>
      </c>
      <c r="C225" s="179">
        <f>+E225-E224</f>
        <v>223.16246838565024</v>
      </c>
      <c r="D225" s="179">
        <f>+G225-G224</f>
        <v>200.9504247085203</v>
      </c>
      <c r="E225" s="187">
        <v>711.1403282511211</v>
      </c>
      <c r="G225" s="168">
        <v>651.52804260089704</v>
      </c>
      <c r="I225" s="168">
        <v>162.66</v>
      </c>
      <c r="J225" s="168">
        <v>3</v>
      </c>
      <c r="L225" s="188">
        <v>24805.341992094851</v>
      </c>
      <c r="M225" s="188">
        <v>1156.0227184873836</v>
      </c>
      <c r="N225" s="176">
        <f t="shared" si="15"/>
        <v>1220.4416450263159</v>
      </c>
      <c r="O225" s="188">
        <v>11835.432255072465</v>
      </c>
      <c r="P225" s="188">
        <v>1387.9440913118756</v>
      </c>
      <c r="Q225" s="176">
        <f t="shared" si="11"/>
        <v>1465.2867481892029</v>
      </c>
      <c r="R225" s="188">
        <v>8162.7090062111811</v>
      </c>
      <c r="S225" s="188">
        <v>122.41533537856195</v>
      </c>
      <c r="T225" s="176">
        <f t="shared" si="12"/>
        <v>129.23688340774663</v>
      </c>
    </row>
    <row r="226" spans="1:20" x14ac:dyDescent="0.2">
      <c r="A226" s="168">
        <v>4</v>
      </c>
      <c r="C226" s="179">
        <f>+E226-E225</f>
        <v>240.67364342301937</v>
      </c>
      <c r="D226" s="179">
        <f>+G226-G225</f>
        <v>222.83402473841534</v>
      </c>
      <c r="E226" s="187">
        <v>951.81397167414048</v>
      </c>
      <c r="G226" s="168">
        <v>874.36206733931238</v>
      </c>
      <c r="I226" s="168">
        <v>165.17</v>
      </c>
      <c r="J226" s="168">
        <v>4</v>
      </c>
      <c r="L226" s="188">
        <v>23357.504896820246</v>
      </c>
      <c r="M226" s="188">
        <v>1294.0004472542644</v>
      </c>
      <c r="N226" s="176">
        <f t="shared" si="15"/>
        <v>1345.3481169161016</v>
      </c>
      <c r="O226" s="188">
        <v>7240.0729996128648</v>
      </c>
      <c r="P226" s="188">
        <v>1287.0604441566998</v>
      </c>
      <c r="Q226" s="176">
        <f t="shared" si="11"/>
        <v>1338.1327252069937</v>
      </c>
      <c r="R226" s="188">
        <v>8198.4054586074526</v>
      </c>
      <c r="S226" s="188">
        <v>109.38408217060596</v>
      </c>
      <c r="T226" s="176">
        <f t="shared" si="12"/>
        <v>113.72458895286978</v>
      </c>
    </row>
    <row r="227" spans="1:20" x14ac:dyDescent="0.2">
      <c r="A227" s="168">
        <v>1</v>
      </c>
      <c r="B227" s="168">
        <v>2022</v>
      </c>
      <c r="C227" s="179">
        <f>E227</f>
        <v>258.31884641255607</v>
      </c>
      <c r="D227" s="179">
        <f>G227</f>
        <v>238.37852713004486</v>
      </c>
      <c r="E227" s="187">
        <v>258.31884641255607</v>
      </c>
      <c r="G227" s="168">
        <v>238.37852713004486</v>
      </c>
      <c r="I227" s="168">
        <v>166.57</v>
      </c>
      <c r="J227" s="168">
        <v>1</v>
      </c>
      <c r="K227" s="168">
        <v>2022</v>
      </c>
      <c r="L227" s="188">
        <v>24505.067470355731</v>
      </c>
      <c r="M227" s="188">
        <v>1376.8794156428476</v>
      </c>
      <c r="N227" s="176">
        <f t="shared" si="15"/>
        <v>1419.4841223014646</v>
      </c>
      <c r="O227" s="188">
        <v>6900.0468369565224</v>
      </c>
      <c r="P227" s="188">
        <v>1583.5781374260632</v>
      </c>
      <c r="Q227" s="176">
        <f t="shared" si="11"/>
        <v>1632.5787116590193</v>
      </c>
      <c r="R227" s="188">
        <v>6778.6444332298142</v>
      </c>
      <c r="S227" s="188">
        <v>123.13727232676555</v>
      </c>
      <c r="T227" s="176">
        <f t="shared" si="12"/>
        <v>126.94750240691727</v>
      </c>
    </row>
    <row r="228" spans="1:20" x14ac:dyDescent="0.2">
      <c r="A228" s="168">
        <v>2</v>
      </c>
      <c r="C228" s="179">
        <f>+E228-E227</f>
        <v>242.59168475336321</v>
      </c>
      <c r="D228" s="179">
        <f>+G228-G227</f>
        <v>221.26676780269054</v>
      </c>
      <c r="E228" s="187">
        <v>500.91053116591928</v>
      </c>
      <c r="G228" s="168">
        <v>459.6452949327354</v>
      </c>
      <c r="I228" s="168">
        <v>169.93</v>
      </c>
      <c r="J228" s="168">
        <v>2</v>
      </c>
      <c r="L228" s="188">
        <v>18109.505441201181</v>
      </c>
      <c r="M228" s="188">
        <v>1059.8182311147266</v>
      </c>
      <c r="N228" s="176">
        <f t="shared" si="15"/>
        <v>1071.0080771865894</v>
      </c>
      <c r="O228" s="188">
        <v>6398.5711338452893</v>
      </c>
      <c r="P228" s="188">
        <v>1382.5138049967145</v>
      </c>
      <c r="Q228" s="176">
        <f t="shared" si="11"/>
        <v>1397.1107577721607</v>
      </c>
      <c r="R228" s="188">
        <v>11377.755536580467</v>
      </c>
      <c r="S228" s="188">
        <v>170.80171301924597</v>
      </c>
      <c r="T228" s="176">
        <f t="shared" si="12"/>
        <v>172.60508346654012</v>
      </c>
    </row>
    <row r="229" spans="1:20" x14ac:dyDescent="0.2">
      <c r="A229" s="168">
        <v>3</v>
      </c>
      <c r="C229" s="179">
        <f>+E229-E228</f>
        <v>236.3725230941705</v>
      </c>
      <c r="D229" s="179">
        <f>+G229-G228</f>
        <v>212.27484847533628</v>
      </c>
      <c r="E229" s="187">
        <v>737.28305426008978</v>
      </c>
      <c r="G229" s="168">
        <v>671.92014340807168</v>
      </c>
      <c r="I229" s="168">
        <v>173.29</v>
      </c>
      <c r="J229" s="168">
        <v>3</v>
      </c>
      <c r="L229" s="188">
        <v>22326.885249827203</v>
      </c>
      <c r="M229" s="188">
        <v>1273.4823653547851</v>
      </c>
      <c r="N229" s="176">
        <f t="shared" si="15"/>
        <v>1261.9752897180797</v>
      </c>
      <c r="O229" s="188">
        <v>9773.5265829437976</v>
      </c>
      <c r="P229" s="188">
        <v>2006.0585934441842</v>
      </c>
      <c r="Q229" s="176">
        <f t="shared" si="11"/>
        <v>1987.9320228732645</v>
      </c>
      <c r="R229" s="188">
        <v>12116.405554623785</v>
      </c>
      <c r="S229" s="188">
        <v>170.05548935231948</v>
      </c>
      <c r="T229" s="176">
        <f t="shared" si="12"/>
        <v>168.51888277522806</v>
      </c>
    </row>
    <row r="230" spans="1:20" x14ac:dyDescent="0.2">
      <c r="A230" s="168">
        <v>4</v>
      </c>
      <c r="C230" s="179">
        <f>+E230-E229</f>
        <v>270.36808991031376</v>
      </c>
      <c r="D230" s="179">
        <f>+G230-G229</f>
        <v>251.76894192825125</v>
      </c>
      <c r="E230" s="187">
        <v>1007.6511441704035</v>
      </c>
      <c r="G230" s="168">
        <v>923.68908533632293</v>
      </c>
      <c r="I230" s="168">
        <v>175.94</v>
      </c>
      <c r="J230" s="168">
        <v>4</v>
      </c>
      <c r="L230" s="188">
        <v>24565.831590744419</v>
      </c>
      <c r="M230" s="188">
        <v>1614.069633403597</v>
      </c>
      <c r="N230" s="176">
        <f t="shared" si="15"/>
        <v>1575.3936724917862</v>
      </c>
      <c r="O230" s="188">
        <v>7886.590696433057</v>
      </c>
      <c r="P230" s="188">
        <v>1979.9688784171885</v>
      </c>
      <c r="Q230" s="176">
        <f t="shared" si="11"/>
        <v>1932.5253249524062</v>
      </c>
      <c r="R230" s="188">
        <v>10409.999344870157</v>
      </c>
      <c r="S230" s="188">
        <v>167.07536170570017</v>
      </c>
      <c r="T230" s="176">
        <f t="shared" si="12"/>
        <v>163.07194077209999</v>
      </c>
    </row>
    <row r="231" spans="1:20" x14ac:dyDescent="0.2">
      <c r="A231" s="168">
        <v>1</v>
      </c>
      <c r="B231" s="168">
        <v>2023</v>
      </c>
      <c r="C231" s="179">
        <f>E231</f>
        <v>302.38750433482812</v>
      </c>
      <c r="D231" s="179">
        <f>G231</f>
        <v>281.08376346786247</v>
      </c>
      <c r="E231" s="187">
        <v>302.38750433482812</v>
      </c>
      <c r="G231" s="168">
        <v>281.08376346786247</v>
      </c>
      <c r="I231" s="168">
        <v>177.06</v>
      </c>
      <c r="J231" s="168">
        <v>1</v>
      </c>
      <c r="K231" s="168">
        <v>2023</v>
      </c>
      <c r="L231" s="188">
        <v>26844.315237154147</v>
      </c>
      <c r="M231" s="188">
        <v>1582.0941255005046</v>
      </c>
      <c r="N231" s="176">
        <f t="shared" si="15"/>
        <v>1534.4165553473563</v>
      </c>
      <c r="O231" s="188">
        <v>6557.2362137681157</v>
      </c>
      <c r="P231" s="188">
        <v>1683.6496945575759</v>
      </c>
      <c r="Q231" s="176">
        <f t="shared" si="11"/>
        <v>1632.9116726335005</v>
      </c>
      <c r="R231" s="188">
        <v>7838.5406661490688</v>
      </c>
      <c r="S231" s="188">
        <v>165.33913199150732</v>
      </c>
      <c r="T231" s="176">
        <f t="shared" si="12"/>
        <v>160.35651563668586</v>
      </c>
    </row>
    <row r="232" spans="1:20" x14ac:dyDescent="0.2">
      <c r="C232" s="179"/>
      <c r="D232" s="171"/>
      <c r="L232" s="188"/>
      <c r="M232" s="188"/>
      <c r="N232" s="176"/>
      <c r="O232" s="188"/>
      <c r="P232" s="188"/>
      <c r="Q232" s="176"/>
      <c r="R232" s="188"/>
      <c r="S232" s="188"/>
      <c r="T232" s="176"/>
    </row>
    <row r="233" spans="1:20" x14ac:dyDescent="0.2">
      <c r="C233" s="179"/>
      <c r="E233" s="172" t="s">
        <v>110</v>
      </c>
      <c r="J233" s="190"/>
      <c r="K233" s="191" t="s">
        <v>160</v>
      </c>
      <c r="L233" s="192">
        <f>+L235</f>
        <v>26844.315237154147</v>
      </c>
      <c r="M233" s="192">
        <f>+M235</f>
        <v>1582.0941255005046</v>
      </c>
      <c r="N233" s="193" t="s">
        <v>174</v>
      </c>
      <c r="O233" s="192">
        <f>+O235</f>
        <v>6557.2362137681157</v>
      </c>
      <c r="P233" s="192">
        <f>+P235</f>
        <v>1683.6496945575759</v>
      </c>
      <c r="Q233" s="193" t="s">
        <v>174</v>
      </c>
      <c r="R233" s="192">
        <f>+R235</f>
        <v>7838.5406661490688</v>
      </c>
      <c r="S233" s="192">
        <f>+S235</f>
        <v>165.33913199150732</v>
      </c>
      <c r="T233" s="194" t="s">
        <v>174</v>
      </c>
    </row>
    <row r="234" spans="1:20" x14ac:dyDescent="0.2">
      <c r="E234" s="187">
        <f>IF('Tab5'!E8="",'Tab5'!E7,'Tab5'!E8)/1000</f>
        <v>302.38750433482812</v>
      </c>
      <c r="G234" s="187">
        <f>IF('Tab5'!E10="",'Tab5'!E9,'Tab5'!E10)/1000</f>
        <v>281.08376346786247</v>
      </c>
      <c r="K234" s="174" t="s">
        <v>188</v>
      </c>
      <c r="L234" s="195">
        <f>SUM('Tab7'!E11,'Tab11'!E11)</f>
        <v>91997.385719234473</v>
      </c>
      <c r="M234" s="196">
        <f>SUM('Tab7'!E39,'Tab11'!E39)</f>
        <v>5630.2713890425657</v>
      </c>
      <c r="N234" s="197" t="s">
        <v>173</v>
      </c>
      <c r="O234" s="195">
        <f>SUM('Tab7'!E9,'Tab11'!E9)</f>
        <v>28687.586597598129</v>
      </c>
      <c r="P234" s="196">
        <f>SUM('Tab7'!E37,'Tab11'!E37)</f>
        <v>7302.4402347937357</v>
      </c>
      <c r="Q234" s="197" t="s">
        <v>173</v>
      </c>
      <c r="R234" s="195">
        <f>SUM('Tab7'!E13,'Tab11'!E13)</f>
        <v>44479.727222346388</v>
      </c>
      <c r="S234" s="196">
        <f>SUM('Tab7'!E41,'Tab11'!E41)</f>
        <v>780.28068055622214</v>
      </c>
      <c r="T234" s="198" t="s">
        <v>173</v>
      </c>
    </row>
    <row r="235" spans="1:20" x14ac:dyDescent="0.2">
      <c r="K235" s="174" t="s">
        <v>187</v>
      </c>
      <c r="L235" s="195">
        <f>SUM('Tab7'!E12,'Tab11'!E12)</f>
        <v>26844.315237154147</v>
      </c>
      <c r="M235" s="196">
        <f>SUM('Tab7'!E40,'Tab11'!E40)</f>
        <v>1582.0941255005046</v>
      </c>
      <c r="N235" s="197" t="s">
        <v>173</v>
      </c>
      <c r="O235" s="195">
        <f>SUM('Tab7'!E10,'Tab11'!E10)</f>
        <v>6557.2362137681157</v>
      </c>
      <c r="P235" s="196">
        <f>SUM('Tab7'!E38,'Tab11'!E38)</f>
        <v>1683.6496945575759</v>
      </c>
      <c r="Q235" s="197" t="s">
        <v>173</v>
      </c>
      <c r="R235" s="195">
        <f>SUM('Tab7'!E14,'Tab11'!E14)</f>
        <v>7838.5406661490688</v>
      </c>
      <c r="S235" s="196">
        <f>SUM('Tab7'!E42,'Tab11'!E42)</f>
        <v>165.33913199150732</v>
      </c>
      <c r="T235" s="198"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ignoredErrors>
    <ignoredError sqref="C211:D211 C215:D2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2</v>
      </c>
      <c r="B7" s="19" t="s">
        <v>3</v>
      </c>
      <c r="C7" s="20">
        <v>2275081.0938493535</v>
      </c>
      <c r="D7" s="20">
        <v>2558134.6345113777</v>
      </c>
      <c r="E7" s="79">
        <v>3003361.61815836</v>
      </c>
      <c r="F7" s="22" t="s">
        <v>240</v>
      </c>
      <c r="G7" s="23">
        <v>32.011189679255892</v>
      </c>
      <c r="H7" s="24">
        <v>17.404360882359256</v>
      </c>
    </row>
    <row r="8" spans="1:8" x14ac:dyDescent="0.2">
      <c r="A8" s="206"/>
      <c r="B8" s="25" t="s">
        <v>241</v>
      </c>
      <c r="C8" s="26">
        <v>551312.55973246589</v>
      </c>
      <c r="D8" s="26">
        <v>590793.30168291356</v>
      </c>
      <c r="E8" s="26">
        <v>704647.16076448176</v>
      </c>
      <c r="F8" s="27"/>
      <c r="G8" s="28">
        <v>27.812644265972139</v>
      </c>
      <c r="H8" s="29">
        <v>19.271352393002417</v>
      </c>
    </row>
    <row r="9" spans="1:8" x14ac:dyDescent="0.2">
      <c r="A9" s="30" t="s">
        <v>4</v>
      </c>
      <c r="B9" s="31" t="s">
        <v>3</v>
      </c>
      <c r="C9" s="20">
        <v>731632.30798953655</v>
      </c>
      <c r="D9" s="20">
        <v>812806.60916143493</v>
      </c>
      <c r="E9" s="20">
        <v>977739.10208557977</v>
      </c>
      <c r="F9" s="22" t="s">
        <v>240</v>
      </c>
      <c r="G9" s="32">
        <v>33.638043510178477</v>
      </c>
      <c r="H9" s="33">
        <v>20.291726354723451</v>
      </c>
    </row>
    <row r="10" spans="1:8" x14ac:dyDescent="0.2">
      <c r="A10" s="34"/>
      <c r="B10" s="25" t="s">
        <v>241</v>
      </c>
      <c r="C10" s="26">
        <v>191281.64128923765</v>
      </c>
      <c r="D10" s="26">
        <v>198000.85002242154</v>
      </c>
      <c r="E10" s="26">
        <v>243723.34459790733</v>
      </c>
      <c r="F10" s="27"/>
      <c r="G10" s="28">
        <v>27.415962637717215</v>
      </c>
      <c r="H10" s="29">
        <v>23.092069842280068</v>
      </c>
    </row>
    <row r="11" spans="1:8" x14ac:dyDescent="0.2">
      <c r="A11" s="30" t="s">
        <v>5</v>
      </c>
      <c r="B11" s="31" t="s">
        <v>3</v>
      </c>
      <c r="C11" s="20">
        <v>220181.66368460387</v>
      </c>
      <c r="D11" s="20">
        <v>194844.53500896867</v>
      </c>
      <c r="E11" s="20">
        <v>204968.51942507882</v>
      </c>
      <c r="F11" s="22" t="s">
        <v>240</v>
      </c>
      <c r="G11" s="37">
        <v>-6.9093602096298525</v>
      </c>
      <c r="H11" s="33">
        <v>5.1959293678132354</v>
      </c>
    </row>
    <row r="12" spans="1:8" x14ac:dyDescent="0.2">
      <c r="A12" s="34"/>
      <c r="B12" s="25" t="s">
        <v>241</v>
      </c>
      <c r="C12" s="26">
        <v>54755.002432735462</v>
      </c>
      <c r="D12" s="26">
        <v>60317.996390134533</v>
      </c>
      <c r="E12" s="26">
        <v>58664.159736920788</v>
      </c>
      <c r="F12" s="27"/>
      <c r="G12" s="28">
        <v>7.1393610273099455</v>
      </c>
      <c r="H12" s="29">
        <v>-2.7418627145981276</v>
      </c>
    </row>
    <row r="13" spans="1:8" x14ac:dyDescent="0.2">
      <c r="A13" s="30" t="s">
        <v>6</v>
      </c>
      <c r="B13" s="31" t="s">
        <v>3</v>
      </c>
      <c r="C13" s="20">
        <v>455343.2281054082</v>
      </c>
      <c r="D13" s="20">
        <v>410835.95298472245</v>
      </c>
      <c r="E13" s="20">
        <v>419909.89292305609</v>
      </c>
      <c r="F13" s="22" t="s">
        <v>240</v>
      </c>
      <c r="G13" s="23">
        <v>-7.7816761061283728</v>
      </c>
      <c r="H13" s="24">
        <v>2.2086528387818589</v>
      </c>
    </row>
    <row r="14" spans="1:8" x14ac:dyDescent="0.2">
      <c r="A14" s="34"/>
      <c r="B14" s="25" t="s">
        <v>241</v>
      </c>
      <c r="C14" s="26">
        <v>118478.78548631821</v>
      </c>
      <c r="D14" s="26">
        <v>97565.925181813422</v>
      </c>
      <c r="E14" s="26">
        <v>102709.67189870769</v>
      </c>
      <c r="F14" s="27"/>
      <c r="G14" s="38">
        <v>-13.309651616433499</v>
      </c>
      <c r="H14" s="24">
        <v>5.2720729161425339</v>
      </c>
    </row>
    <row r="15" spans="1:8" x14ac:dyDescent="0.2">
      <c r="A15" s="30" t="s">
        <v>168</v>
      </c>
      <c r="B15" s="31" t="s">
        <v>3</v>
      </c>
      <c r="C15" s="20">
        <v>47091.596212135693</v>
      </c>
      <c r="D15" s="20">
        <v>44703.941502659662</v>
      </c>
      <c r="E15" s="20">
        <v>51519.022872112168</v>
      </c>
      <c r="F15" s="22" t="s">
        <v>240</v>
      </c>
      <c r="G15" s="37">
        <v>9.4017341014138509</v>
      </c>
      <c r="H15" s="33">
        <v>15.244922797348977</v>
      </c>
    </row>
    <row r="16" spans="1:8" x14ac:dyDescent="0.2">
      <c r="A16" s="34"/>
      <c r="B16" s="25" t="s">
        <v>241</v>
      </c>
      <c r="C16" s="26">
        <v>14184.867654085045</v>
      </c>
      <c r="D16" s="26">
        <v>11825.08552317248</v>
      </c>
      <c r="E16" s="26">
        <v>14204.681955725435</v>
      </c>
      <c r="F16" s="27"/>
      <c r="G16" s="28">
        <v>0.13968619322777442</v>
      </c>
      <c r="H16" s="29">
        <v>20.123291521992698</v>
      </c>
    </row>
    <row r="17" spans="1:8" x14ac:dyDescent="0.2">
      <c r="A17" s="30" t="s">
        <v>7</v>
      </c>
      <c r="B17" s="31" t="s">
        <v>3</v>
      </c>
      <c r="C17" s="20">
        <v>8798.6610285714287</v>
      </c>
      <c r="D17" s="20">
        <v>8629.6967836734693</v>
      </c>
      <c r="E17" s="20">
        <v>9218.8160435696154</v>
      </c>
      <c r="F17" s="22" t="s">
        <v>240</v>
      </c>
      <c r="G17" s="23">
        <v>4.7752153837253104</v>
      </c>
      <c r="H17" s="24">
        <v>6.8266507464167319</v>
      </c>
    </row>
    <row r="18" spans="1:8" x14ac:dyDescent="0.2">
      <c r="A18" s="30"/>
      <c r="B18" s="25" t="s">
        <v>241</v>
      </c>
      <c r="C18" s="26">
        <v>2405.7066122448982</v>
      </c>
      <c r="D18" s="26">
        <v>2424.5147755102039</v>
      </c>
      <c r="E18" s="26">
        <v>2566.4587591836735</v>
      </c>
      <c r="F18" s="27"/>
      <c r="G18" s="38">
        <v>6.6821176830356848</v>
      </c>
      <c r="H18" s="24">
        <v>5.8545315997754415</v>
      </c>
    </row>
    <row r="19" spans="1:8" x14ac:dyDescent="0.2">
      <c r="A19" s="39" t="s">
        <v>8</v>
      </c>
      <c r="B19" s="31" t="s">
        <v>3</v>
      </c>
      <c r="C19" s="20">
        <v>5593</v>
      </c>
      <c r="D19" s="20">
        <v>6040</v>
      </c>
      <c r="E19" s="20">
        <v>7723.9697422185936</v>
      </c>
      <c r="F19" s="22" t="s">
        <v>240</v>
      </c>
      <c r="G19" s="37">
        <v>38.100656932211592</v>
      </c>
      <c r="H19" s="33">
        <v>27.88029374534095</v>
      </c>
    </row>
    <row r="20" spans="1:8" x14ac:dyDescent="0.2">
      <c r="A20" s="34"/>
      <c r="B20" s="25" t="s">
        <v>241</v>
      </c>
      <c r="C20" s="26">
        <v>1483.3984</v>
      </c>
      <c r="D20" s="26">
        <v>1507</v>
      </c>
      <c r="E20" s="26">
        <v>1966</v>
      </c>
      <c r="F20" s="27"/>
      <c r="G20" s="28">
        <v>32.533512237845201</v>
      </c>
      <c r="H20" s="29">
        <v>30.457863304578638</v>
      </c>
    </row>
    <row r="21" spans="1:8" x14ac:dyDescent="0.2">
      <c r="A21" s="39" t="s">
        <v>9</v>
      </c>
      <c r="B21" s="31" t="s">
        <v>3</v>
      </c>
      <c r="C21" s="20">
        <v>31589.073333333334</v>
      </c>
      <c r="D21" s="20">
        <v>37157.663333333338</v>
      </c>
      <c r="E21" s="20">
        <v>42677.549953047652</v>
      </c>
      <c r="F21" s="22" t="s">
        <v>240</v>
      </c>
      <c r="G21" s="37">
        <v>35.102253563144473</v>
      </c>
      <c r="H21" s="33">
        <v>14.855311460778921</v>
      </c>
    </row>
    <row r="22" spans="1:8" x14ac:dyDescent="0.2">
      <c r="A22" s="34"/>
      <c r="B22" s="25" t="s">
        <v>241</v>
      </c>
      <c r="C22" s="26">
        <v>7214.3441666666668</v>
      </c>
      <c r="D22" s="26">
        <v>10160.966666666667</v>
      </c>
      <c r="E22" s="26">
        <v>10950.025</v>
      </c>
      <c r="F22" s="27"/>
      <c r="G22" s="28">
        <v>51.781294973336088</v>
      </c>
      <c r="H22" s="29">
        <v>7.7655833270456469</v>
      </c>
    </row>
    <row r="23" spans="1:8" x14ac:dyDescent="0.2">
      <c r="A23" s="39" t="s">
        <v>190</v>
      </c>
      <c r="B23" s="31" t="s">
        <v>3</v>
      </c>
      <c r="C23" s="20">
        <v>7894</v>
      </c>
      <c r="D23" s="20">
        <v>7387</v>
      </c>
      <c r="E23" s="20">
        <v>7645.6378355347242</v>
      </c>
      <c r="F23" s="22" t="s">
        <v>240</v>
      </c>
      <c r="G23" s="37">
        <v>-3.1462143965704996</v>
      </c>
      <c r="H23" s="33">
        <v>3.5012567420431111</v>
      </c>
    </row>
    <row r="24" spans="1:8" x14ac:dyDescent="0.2">
      <c r="A24" s="34"/>
      <c r="B24" s="25" t="s">
        <v>241</v>
      </c>
      <c r="C24" s="26">
        <v>1660.7930817610063</v>
      </c>
      <c r="D24" s="26">
        <v>2347</v>
      </c>
      <c r="E24" s="26">
        <v>2228</v>
      </c>
      <c r="F24" s="27"/>
      <c r="G24" s="28">
        <v>34.152774627261891</v>
      </c>
      <c r="H24" s="29">
        <v>-5.0703025138474658</v>
      </c>
    </row>
    <row r="25" spans="1:8" x14ac:dyDescent="0.2">
      <c r="A25" s="39" t="s">
        <v>191</v>
      </c>
      <c r="B25" s="31" t="s">
        <v>3</v>
      </c>
      <c r="C25" s="20">
        <v>1922</v>
      </c>
      <c r="D25" s="20">
        <v>2198</v>
      </c>
      <c r="E25" s="20">
        <v>2566.5879546809779</v>
      </c>
      <c r="F25" s="22" t="s">
        <v>240</v>
      </c>
      <c r="G25" s="37">
        <v>33.537354561965572</v>
      </c>
      <c r="H25" s="33">
        <v>16.769242706140929</v>
      </c>
    </row>
    <row r="26" spans="1:8" x14ac:dyDescent="0.2">
      <c r="A26" s="34"/>
      <c r="B26" s="25" t="s">
        <v>241</v>
      </c>
      <c r="C26" s="26">
        <v>435.8397727272727</v>
      </c>
      <c r="D26" s="26">
        <v>559</v>
      </c>
      <c r="E26" s="26">
        <v>649</v>
      </c>
      <c r="F26" s="27"/>
      <c r="G26" s="28">
        <v>48.907933743374201</v>
      </c>
      <c r="H26" s="29">
        <v>16.100178890876563</v>
      </c>
    </row>
    <row r="27" spans="1:8" x14ac:dyDescent="0.2">
      <c r="A27" s="39" t="s">
        <v>192</v>
      </c>
      <c r="B27" s="31" t="s">
        <v>3</v>
      </c>
      <c r="C27" s="20">
        <v>430654</v>
      </c>
      <c r="D27" s="20">
        <v>517184.1942857143</v>
      </c>
      <c r="E27" s="20">
        <v>668670.84790301544</v>
      </c>
      <c r="F27" s="22" t="s">
        <v>240</v>
      </c>
      <c r="G27" s="37">
        <v>55.268695496388148</v>
      </c>
      <c r="H27" s="33">
        <v>29.290658007544124</v>
      </c>
    </row>
    <row r="28" spans="1:8" x14ac:dyDescent="0.2">
      <c r="A28" s="34"/>
      <c r="B28" s="25" t="s">
        <v>241</v>
      </c>
      <c r="C28" s="26">
        <v>85173.856</v>
      </c>
      <c r="D28" s="26">
        <v>103006.20114285714</v>
      </c>
      <c r="E28" s="26">
        <v>142860</v>
      </c>
      <c r="F28" s="27"/>
      <c r="G28" s="28">
        <v>67.727524276933053</v>
      </c>
      <c r="H28" s="29">
        <v>38.690679216361389</v>
      </c>
    </row>
    <row r="29" spans="1:8" x14ac:dyDescent="0.2">
      <c r="A29" s="30" t="s">
        <v>10</v>
      </c>
      <c r="B29" s="31" t="s">
        <v>3</v>
      </c>
      <c r="C29" s="20">
        <v>169642</v>
      </c>
      <c r="D29" s="20">
        <v>354485</v>
      </c>
      <c r="E29" s="20">
        <v>445674.49832089816</v>
      </c>
      <c r="F29" s="22" t="s">
        <v>240</v>
      </c>
      <c r="G29" s="37">
        <v>162.71471588456762</v>
      </c>
      <c r="H29" s="33">
        <v>25.724501268290084</v>
      </c>
    </row>
    <row r="30" spans="1:8" x14ac:dyDescent="0.2">
      <c r="A30" s="30"/>
      <c r="B30" s="25" t="s">
        <v>241</v>
      </c>
      <c r="C30" s="26">
        <v>34290.493589743593</v>
      </c>
      <c r="D30" s="26">
        <v>66033.36538461539</v>
      </c>
      <c r="E30" s="26">
        <v>85249</v>
      </c>
      <c r="F30" s="27"/>
      <c r="G30" s="28">
        <v>148.60826157806684</v>
      </c>
      <c r="H30" s="29">
        <v>29.099886857896706</v>
      </c>
    </row>
    <row r="31" spans="1:8" x14ac:dyDescent="0.2">
      <c r="A31" s="39" t="s">
        <v>11</v>
      </c>
      <c r="B31" s="31" t="s">
        <v>3</v>
      </c>
      <c r="C31" s="20">
        <v>12717.945965835412</v>
      </c>
      <c r="D31" s="20">
        <v>11276.932267581047</v>
      </c>
      <c r="E31" s="20">
        <v>10451.990588307179</v>
      </c>
      <c r="F31" s="22" t="s">
        <v>240</v>
      </c>
      <c r="G31" s="37">
        <v>-17.816991703026062</v>
      </c>
      <c r="H31" s="33">
        <v>-7.3153022444358555</v>
      </c>
    </row>
    <row r="32" spans="1:8" x14ac:dyDescent="0.2">
      <c r="A32" s="34"/>
      <c r="B32" s="25" t="s">
        <v>241</v>
      </c>
      <c r="C32" s="26">
        <v>1433.3104738154614</v>
      </c>
      <c r="D32" s="26">
        <v>1816.3347880299252</v>
      </c>
      <c r="E32" s="26">
        <v>1472.7774314214464</v>
      </c>
      <c r="F32" s="27"/>
      <c r="G32" s="28">
        <v>2.7535525852207172</v>
      </c>
      <c r="H32" s="29">
        <v>-18.914869597422395</v>
      </c>
    </row>
    <row r="33" spans="1:8" x14ac:dyDescent="0.2">
      <c r="A33" s="30" t="s">
        <v>12</v>
      </c>
      <c r="B33" s="31" t="s">
        <v>3</v>
      </c>
      <c r="C33" s="20">
        <v>11455.784425960001</v>
      </c>
      <c r="D33" s="20">
        <v>12078.23712256</v>
      </c>
      <c r="E33" s="20">
        <v>13843.955638079404</v>
      </c>
      <c r="F33" s="22" t="s">
        <v>240</v>
      </c>
      <c r="G33" s="37">
        <v>20.84685887338766</v>
      </c>
      <c r="H33" s="33">
        <v>14.619008532473288</v>
      </c>
    </row>
    <row r="34" spans="1:8" x14ac:dyDescent="0.2">
      <c r="A34" s="30"/>
      <c r="B34" s="25" t="s">
        <v>241</v>
      </c>
      <c r="C34" s="26">
        <v>3104.3150039000002</v>
      </c>
      <c r="D34" s="26">
        <v>3173.5819999999999</v>
      </c>
      <c r="E34" s="26">
        <v>3674.7310000000002</v>
      </c>
      <c r="F34" s="27"/>
      <c r="G34" s="28">
        <v>18.374939250152678</v>
      </c>
      <c r="H34" s="29">
        <v>15.791273078811273</v>
      </c>
    </row>
    <row r="35" spans="1:8" x14ac:dyDescent="0.2">
      <c r="A35" s="39" t="s">
        <v>13</v>
      </c>
      <c r="B35" s="31" t="s">
        <v>3</v>
      </c>
      <c r="C35" s="20">
        <v>71</v>
      </c>
      <c r="D35" s="20">
        <v>54</v>
      </c>
      <c r="E35" s="20">
        <v>42.899999999999991</v>
      </c>
      <c r="F35" s="22" t="s">
        <v>240</v>
      </c>
      <c r="G35" s="23">
        <v>-39.577464788732406</v>
      </c>
      <c r="H35" s="24">
        <v>-20.555555555555571</v>
      </c>
    </row>
    <row r="36" spans="1:8" x14ac:dyDescent="0.2">
      <c r="A36" s="34"/>
      <c r="B36" s="25" t="s">
        <v>241</v>
      </c>
      <c r="C36" s="26">
        <v>10</v>
      </c>
      <c r="D36" s="26">
        <v>15</v>
      </c>
      <c r="E36" s="26">
        <v>9</v>
      </c>
      <c r="F36" s="27"/>
      <c r="G36" s="28">
        <v>-10</v>
      </c>
      <c r="H36" s="29">
        <v>-40</v>
      </c>
    </row>
    <row r="37" spans="1:8" x14ac:dyDescent="0.2">
      <c r="A37" s="30" t="s">
        <v>14</v>
      </c>
      <c r="B37" s="31" t="s">
        <v>3</v>
      </c>
      <c r="C37" s="40">
        <v>140494.83310396923</v>
      </c>
      <c r="D37" s="40">
        <v>138452.87206073076</v>
      </c>
      <c r="E37" s="20">
        <v>141750.40014689005</v>
      </c>
      <c r="F37" s="22" t="s">
        <v>240</v>
      </c>
      <c r="G37" s="23">
        <v>0.89367488837947917</v>
      </c>
      <c r="H37" s="24">
        <v>2.3816971342514677</v>
      </c>
    </row>
    <row r="38" spans="1:8" ht="13.5" thickBot="1" x14ac:dyDescent="0.25">
      <c r="A38" s="41"/>
      <c r="B38" s="42" t="s">
        <v>241</v>
      </c>
      <c r="C38" s="43">
        <v>35400.205769230772</v>
      </c>
      <c r="D38" s="43">
        <v>32040.479807692307</v>
      </c>
      <c r="E38" s="43">
        <v>33720.310384615383</v>
      </c>
      <c r="F38" s="44"/>
      <c r="G38" s="45">
        <v>-4.7454396044090998</v>
      </c>
      <c r="H38" s="46">
        <v>5.2428383938238738</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9</v>
      </c>
    </row>
    <row r="62" spans="1:8" ht="12.75" customHeight="1" x14ac:dyDescent="0.2">
      <c r="A62" s="54" t="s">
        <v>243</v>
      </c>
      <c r="G62" s="53"/>
      <c r="H62" s="201"/>
    </row>
    <row r="63" spans="1:8" x14ac:dyDescent="0.2">
      <c r="H63" s="87"/>
    </row>
    <row r="64" spans="1:8" x14ac:dyDescent="0.2">
      <c r="A64" s="207"/>
      <c r="H64" s="53"/>
    </row>
    <row r="65" spans="1:8" x14ac:dyDescent="0.2">
      <c r="A65" s="207"/>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09" t="s">
        <v>16</v>
      </c>
      <c r="D5" s="203"/>
      <c r="E5" s="203"/>
      <c r="F5" s="210"/>
      <c r="G5" s="203" t="s">
        <v>1</v>
      </c>
      <c r="H5" s="204"/>
    </row>
    <row r="6" spans="1:10" x14ac:dyDescent="0.2">
      <c r="A6" s="12"/>
      <c r="B6" s="13"/>
      <c r="C6" s="14" t="s">
        <v>235</v>
      </c>
      <c r="D6" s="15" t="s">
        <v>236</v>
      </c>
      <c r="E6" s="15" t="s">
        <v>237</v>
      </c>
      <c r="F6" s="16"/>
      <c r="G6" s="17" t="s">
        <v>238</v>
      </c>
      <c r="H6" s="18" t="s">
        <v>239</v>
      </c>
    </row>
    <row r="7" spans="1:10" x14ac:dyDescent="0.2">
      <c r="A7" s="205" t="s">
        <v>2</v>
      </c>
      <c r="B7" s="19" t="s">
        <v>3</v>
      </c>
      <c r="C7" s="80">
        <v>45680.704693907937</v>
      </c>
      <c r="D7" s="80">
        <v>51692.195089920911</v>
      </c>
      <c r="E7" s="81">
        <v>56713.631123929481</v>
      </c>
      <c r="F7" s="22" t="s">
        <v>240</v>
      </c>
      <c r="G7" s="23">
        <v>24.152268455466526</v>
      </c>
      <c r="H7" s="24">
        <v>9.7141087262275363</v>
      </c>
    </row>
    <row r="8" spans="1:10" x14ac:dyDescent="0.2">
      <c r="A8" s="206"/>
      <c r="B8" s="25" t="s">
        <v>241</v>
      </c>
      <c r="C8" s="82">
        <v>12211.297623340452</v>
      </c>
      <c r="D8" s="82">
        <v>13011.649405550339</v>
      </c>
      <c r="E8" s="82">
        <v>14558.903208041318</v>
      </c>
      <c r="F8" s="27"/>
      <c r="G8" s="28">
        <v>19.224865834190268</v>
      </c>
      <c r="H8" s="29">
        <v>11.891296439565707</v>
      </c>
      <c r="J8" s="94"/>
    </row>
    <row r="9" spans="1:10" x14ac:dyDescent="0.2">
      <c r="A9" s="30" t="s">
        <v>4</v>
      </c>
      <c r="B9" s="31" t="s">
        <v>3</v>
      </c>
      <c r="C9" s="80">
        <v>11385.695872801123</v>
      </c>
      <c r="D9" s="80">
        <v>13300.497767080758</v>
      </c>
      <c r="E9" s="80">
        <v>15292.274900994069</v>
      </c>
      <c r="F9" s="22" t="s">
        <v>240</v>
      </c>
      <c r="G9" s="32">
        <v>34.311289110797617</v>
      </c>
      <c r="H9" s="33">
        <v>14.975207460603727</v>
      </c>
    </row>
    <row r="10" spans="1:10" x14ac:dyDescent="0.2">
      <c r="A10" s="34"/>
      <c r="B10" s="25" t="s">
        <v>241</v>
      </c>
      <c r="C10" s="82">
        <v>2937.5130537789141</v>
      </c>
      <c r="D10" s="82">
        <v>3224.1534070860903</v>
      </c>
      <c r="E10" s="82">
        <v>3783.1873411562233</v>
      </c>
      <c r="F10" s="27"/>
      <c r="G10" s="35">
        <v>28.788783977977744</v>
      </c>
      <c r="H10" s="29">
        <v>17.338937187091673</v>
      </c>
      <c r="J10" s="94"/>
    </row>
    <row r="11" spans="1:10" x14ac:dyDescent="0.2">
      <c r="A11" s="30" t="s">
        <v>5</v>
      </c>
      <c r="B11" s="31" t="s">
        <v>3</v>
      </c>
      <c r="C11" s="80">
        <v>5032.2747691775403</v>
      </c>
      <c r="D11" s="80">
        <v>5189.938996324554</v>
      </c>
      <c r="E11" s="80">
        <v>5736.9229911601369</v>
      </c>
      <c r="F11" s="22" t="s">
        <v>240</v>
      </c>
      <c r="G11" s="37">
        <v>14.00257844222925</v>
      </c>
      <c r="H11" s="33">
        <v>10.539314531884656</v>
      </c>
    </row>
    <row r="12" spans="1:10" x14ac:dyDescent="0.2">
      <c r="A12" s="34"/>
      <c r="B12" s="25" t="s">
        <v>241</v>
      </c>
      <c r="C12" s="82">
        <v>1409.0678782603077</v>
      </c>
      <c r="D12" s="82">
        <v>1612.5882634197183</v>
      </c>
      <c r="E12" s="82">
        <v>1719.6785489576837</v>
      </c>
      <c r="F12" s="27"/>
      <c r="G12" s="28">
        <v>22.043698212812046</v>
      </c>
      <c r="H12" s="29">
        <v>6.6408945151855221</v>
      </c>
    </row>
    <row r="13" spans="1:10" x14ac:dyDescent="0.2">
      <c r="A13" s="30" t="s">
        <v>6</v>
      </c>
      <c r="B13" s="31" t="s">
        <v>3</v>
      </c>
      <c r="C13" s="80">
        <v>9329.6259879792105</v>
      </c>
      <c r="D13" s="80">
        <v>9776.7076031225206</v>
      </c>
      <c r="E13" s="80">
        <v>9337.820840411041</v>
      </c>
      <c r="F13" s="22" t="s">
        <v>240</v>
      </c>
      <c r="G13" s="23">
        <v>8.7836880517926375E-2</v>
      </c>
      <c r="H13" s="24">
        <v>-4.4891059498527568</v>
      </c>
    </row>
    <row r="14" spans="1:10" x14ac:dyDescent="0.2">
      <c r="A14" s="34"/>
      <c r="B14" s="25" t="s">
        <v>241</v>
      </c>
      <c r="C14" s="82">
        <v>2965.4204490303</v>
      </c>
      <c r="D14" s="82">
        <v>2505.6769390314967</v>
      </c>
      <c r="E14" s="82">
        <v>2558.3572859548399</v>
      </c>
      <c r="F14" s="27"/>
      <c r="G14" s="38">
        <v>-13.726996561602959</v>
      </c>
      <c r="H14" s="24">
        <v>2.1024397081175863</v>
      </c>
    </row>
    <row r="15" spans="1:10" x14ac:dyDescent="0.2">
      <c r="A15" s="30" t="s">
        <v>168</v>
      </c>
      <c r="B15" s="31" t="s">
        <v>3</v>
      </c>
      <c r="C15" s="80">
        <v>6062.0590272136797</v>
      </c>
      <c r="D15" s="80">
        <v>7230.9088147832827</v>
      </c>
      <c r="E15" s="80">
        <v>8967.66116205648</v>
      </c>
      <c r="F15" s="22" t="s">
        <v>240</v>
      </c>
      <c r="G15" s="37">
        <v>47.930944284755839</v>
      </c>
      <c r="H15" s="33">
        <v>24.018451784684132</v>
      </c>
    </row>
    <row r="16" spans="1:10" x14ac:dyDescent="0.2">
      <c r="A16" s="34"/>
      <c r="B16" s="25" t="s">
        <v>241</v>
      </c>
      <c r="C16" s="82">
        <v>1585.4037215067142</v>
      </c>
      <c r="D16" s="82">
        <v>1689.9175000707487</v>
      </c>
      <c r="E16" s="82">
        <v>2172.8590638677833</v>
      </c>
      <c r="F16" s="27"/>
      <c r="G16" s="28">
        <v>37.053990374311184</v>
      </c>
      <c r="H16" s="29">
        <v>28.577818963163367</v>
      </c>
    </row>
    <row r="17" spans="1:8" x14ac:dyDescent="0.2">
      <c r="A17" s="30" t="s">
        <v>7</v>
      </c>
      <c r="B17" s="31" t="s">
        <v>3</v>
      </c>
      <c r="C17" s="80">
        <v>1811.9238978132253</v>
      </c>
      <c r="D17" s="80">
        <v>1885.3077142325617</v>
      </c>
      <c r="E17" s="80">
        <v>1926.2672344322425</v>
      </c>
      <c r="F17" s="22" t="s">
        <v>240</v>
      </c>
      <c r="G17" s="23">
        <v>6.3106037045493935</v>
      </c>
      <c r="H17" s="24">
        <v>2.1725641862317246</v>
      </c>
    </row>
    <row r="18" spans="1:8" x14ac:dyDescent="0.2">
      <c r="A18" s="30"/>
      <c r="B18" s="25" t="s">
        <v>241</v>
      </c>
      <c r="C18" s="82">
        <v>482.14262646559507</v>
      </c>
      <c r="D18" s="82">
        <v>455.45258046041744</v>
      </c>
      <c r="E18" s="82">
        <v>480.09060016829699</v>
      </c>
      <c r="F18" s="27"/>
      <c r="G18" s="38">
        <v>-0.42560565788191695</v>
      </c>
      <c r="H18" s="24">
        <v>5.4095685840604801</v>
      </c>
    </row>
    <row r="19" spans="1:8" x14ac:dyDescent="0.2">
      <c r="A19" s="39" t="s">
        <v>8</v>
      </c>
      <c r="B19" s="31" t="s">
        <v>3</v>
      </c>
      <c r="C19" s="80">
        <v>2387.3848808729376</v>
      </c>
      <c r="D19" s="80">
        <v>2938.864223517015</v>
      </c>
      <c r="E19" s="80">
        <v>2688.0261178468841</v>
      </c>
      <c r="F19" s="22" t="s">
        <v>240</v>
      </c>
      <c r="G19" s="37">
        <v>12.592910317167565</v>
      </c>
      <c r="H19" s="33">
        <v>-8.5352056642462628</v>
      </c>
    </row>
    <row r="20" spans="1:8" x14ac:dyDescent="0.2">
      <c r="A20" s="34"/>
      <c r="B20" s="25" t="s">
        <v>241</v>
      </c>
      <c r="C20" s="82">
        <v>609.6751307627203</v>
      </c>
      <c r="D20" s="82">
        <v>759.55744125825504</v>
      </c>
      <c r="E20" s="82">
        <v>691.94667116029279</v>
      </c>
      <c r="F20" s="27"/>
      <c r="G20" s="28">
        <v>13.494324476487748</v>
      </c>
      <c r="H20" s="29">
        <v>-8.901337334798626</v>
      </c>
    </row>
    <row r="21" spans="1:8" x14ac:dyDescent="0.2">
      <c r="A21" s="39" t="s">
        <v>9</v>
      </c>
      <c r="B21" s="31" t="s">
        <v>3</v>
      </c>
      <c r="C21" s="80">
        <v>1120.2980383203794</v>
      </c>
      <c r="D21" s="80">
        <v>724.48727871329743</v>
      </c>
      <c r="E21" s="80">
        <v>689.49681349258833</v>
      </c>
      <c r="F21" s="22" t="s">
        <v>240</v>
      </c>
      <c r="G21" s="37">
        <v>-38.454162204342964</v>
      </c>
      <c r="H21" s="33">
        <v>-4.8296866278801645</v>
      </c>
    </row>
    <row r="22" spans="1:8" x14ac:dyDescent="0.2">
      <c r="A22" s="34"/>
      <c r="B22" s="25" t="s">
        <v>241</v>
      </c>
      <c r="C22" s="82">
        <v>254.93649516953667</v>
      </c>
      <c r="D22" s="82">
        <v>283.75611025797389</v>
      </c>
      <c r="E22" s="82">
        <v>217.7168526859424</v>
      </c>
      <c r="F22" s="27"/>
      <c r="G22" s="28">
        <v>-14.59957408563362</v>
      </c>
      <c r="H22" s="29">
        <v>-23.273245997061551</v>
      </c>
    </row>
    <row r="23" spans="1:8" x14ac:dyDescent="0.2">
      <c r="A23" s="39" t="s">
        <v>190</v>
      </c>
      <c r="B23" s="31" t="s">
        <v>3</v>
      </c>
      <c r="C23" s="80">
        <v>1934.5070014632756</v>
      </c>
      <c r="D23" s="80">
        <v>2152.7393297259473</v>
      </c>
      <c r="E23" s="80">
        <v>2106.8479527488153</v>
      </c>
      <c r="F23" s="22" t="s">
        <v>240</v>
      </c>
      <c r="G23" s="23">
        <v>8.9087788855341188</v>
      </c>
      <c r="H23" s="24">
        <v>-2.1317665517345432</v>
      </c>
    </row>
    <row r="24" spans="1:8" x14ac:dyDescent="0.2">
      <c r="A24" s="34"/>
      <c r="B24" s="25" t="s">
        <v>241</v>
      </c>
      <c r="C24" s="82">
        <v>436.23363324952498</v>
      </c>
      <c r="D24" s="82">
        <v>498.87576821145706</v>
      </c>
      <c r="E24" s="82">
        <v>500.42458568548579</v>
      </c>
      <c r="F24" s="27"/>
      <c r="G24" s="38">
        <v>14.714810492212479</v>
      </c>
      <c r="H24" s="24">
        <v>0.31046155630718886</v>
      </c>
    </row>
    <row r="25" spans="1:8" x14ac:dyDescent="0.2">
      <c r="A25" s="39" t="s">
        <v>191</v>
      </c>
      <c r="B25" s="31" t="s">
        <v>3</v>
      </c>
      <c r="C25" s="80">
        <v>604.64367061974212</v>
      </c>
      <c r="D25" s="80">
        <v>653.27095088339615</v>
      </c>
      <c r="E25" s="80">
        <v>838.11771444122894</v>
      </c>
      <c r="F25" s="22" t="s">
        <v>240</v>
      </c>
      <c r="G25" s="37">
        <v>38.613493395570117</v>
      </c>
      <c r="H25" s="33">
        <v>28.295573729073794</v>
      </c>
    </row>
    <row r="26" spans="1:8" x14ac:dyDescent="0.2">
      <c r="A26" s="34"/>
      <c r="B26" s="25" t="s">
        <v>241</v>
      </c>
      <c r="C26" s="82">
        <v>165.20781349782061</v>
      </c>
      <c r="D26" s="82">
        <v>192.37533394794895</v>
      </c>
      <c r="E26" s="82">
        <v>232.99106533965858</v>
      </c>
      <c r="F26" s="27"/>
      <c r="G26" s="38">
        <v>41.029083556470027</v>
      </c>
      <c r="H26" s="24">
        <v>21.112754196803138</v>
      </c>
    </row>
    <row r="27" spans="1:8" x14ac:dyDescent="0.2">
      <c r="A27" s="39" t="s">
        <v>192</v>
      </c>
      <c r="B27" s="31" t="s">
        <v>3</v>
      </c>
      <c r="C27" s="80">
        <v>1704.7751721129091</v>
      </c>
      <c r="D27" s="80">
        <v>2006.380833258675</v>
      </c>
      <c r="E27" s="80">
        <v>2833.1597849604614</v>
      </c>
      <c r="F27" s="22" t="s">
        <v>240</v>
      </c>
      <c r="G27" s="37">
        <v>66.189643731673158</v>
      </c>
      <c r="H27" s="33">
        <v>41.207478560237689</v>
      </c>
    </row>
    <row r="28" spans="1:8" x14ac:dyDescent="0.2">
      <c r="A28" s="34"/>
      <c r="B28" s="25" t="s">
        <v>241</v>
      </c>
      <c r="C28" s="82">
        <v>447.15987373804472</v>
      </c>
      <c r="D28" s="82">
        <v>491.99434026468953</v>
      </c>
      <c r="E28" s="82">
        <v>699.19381509829668</v>
      </c>
      <c r="F28" s="27"/>
      <c r="G28" s="38">
        <v>56.36327321889766</v>
      </c>
      <c r="H28" s="24">
        <v>42.114198858900551</v>
      </c>
    </row>
    <row r="29" spans="1:8" x14ac:dyDescent="0.2">
      <c r="A29" s="30" t="s">
        <v>10</v>
      </c>
      <c r="B29" s="31" t="s">
        <v>3</v>
      </c>
      <c r="C29" s="80">
        <v>773.78802688841336</v>
      </c>
      <c r="D29" s="80">
        <v>2098.2771570466793</v>
      </c>
      <c r="E29" s="80">
        <v>3535.8143541309664</v>
      </c>
      <c r="F29" s="22" t="s">
        <v>240</v>
      </c>
      <c r="G29" s="37">
        <v>356.94870316736757</v>
      </c>
      <c r="H29" s="33">
        <v>68.510358236355103</v>
      </c>
    </row>
    <row r="30" spans="1:8" x14ac:dyDescent="0.2">
      <c r="A30" s="30"/>
      <c r="B30" s="25" t="s">
        <v>241</v>
      </c>
      <c r="C30" s="82">
        <v>110.55182730182818</v>
      </c>
      <c r="D30" s="82">
        <v>414.36619515244865</v>
      </c>
      <c r="E30" s="82">
        <v>619.34148160607799</v>
      </c>
      <c r="F30" s="27"/>
      <c r="G30" s="28">
        <v>460.22726780911023</v>
      </c>
      <c r="H30" s="29">
        <v>49.467183580991019</v>
      </c>
    </row>
    <row r="31" spans="1:8" x14ac:dyDescent="0.2">
      <c r="A31" s="39" t="s">
        <v>11</v>
      </c>
      <c r="B31" s="31" t="s">
        <v>3</v>
      </c>
      <c r="C31" s="80">
        <v>593.00593686028049</v>
      </c>
      <c r="D31" s="80">
        <v>599.9461025980487</v>
      </c>
      <c r="E31" s="80">
        <v>592.85672385554824</v>
      </c>
      <c r="F31" s="22" t="s">
        <v>240</v>
      </c>
      <c r="G31" s="23">
        <v>-2.5162143489197319E-2</v>
      </c>
      <c r="H31" s="24">
        <v>-1.1816692719229422</v>
      </c>
    </row>
    <row r="32" spans="1:8" x14ac:dyDescent="0.2">
      <c r="A32" s="34"/>
      <c r="B32" s="25" t="s">
        <v>241</v>
      </c>
      <c r="C32" s="82">
        <v>64.208836868916421</v>
      </c>
      <c r="D32" s="82">
        <v>81.147399862018034</v>
      </c>
      <c r="E32" s="82">
        <v>74.038735819343103</v>
      </c>
      <c r="F32" s="27"/>
      <c r="G32" s="38">
        <v>15.309261824029946</v>
      </c>
      <c r="H32" s="24">
        <v>-8.7601870851837731</v>
      </c>
    </row>
    <row r="33" spans="1:8" x14ac:dyDescent="0.2">
      <c r="A33" s="30" t="s">
        <v>12</v>
      </c>
      <c r="B33" s="31" t="s">
        <v>3</v>
      </c>
      <c r="C33" s="80">
        <v>1493.657688654961</v>
      </c>
      <c r="D33" s="80">
        <v>1558.6503994062932</v>
      </c>
      <c r="E33" s="80">
        <v>1578.0817268082187</v>
      </c>
      <c r="F33" s="22" t="s">
        <v>240</v>
      </c>
      <c r="G33" s="37">
        <v>5.6521677486413751</v>
      </c>
      <c r="H33" s="33">
        <v>1.2466764458102517</v>
      </c>
    </row>
    <row r="34" spans="1:8" x14ac:dyDescent="0.2">
      <c r="A34" s="30"/>
      <c r="B34" s="25" t="s">
        <v>241</v>
      </c>
      <c r="C34" s="82">
        <v>398.64248721138262</v>
      </c>
      <c r="D34" s="82">
        <v>414.92680469493013</v>
      </c>
      <c r="E34" s="82">
        <v>420.45726599679239</v>
      </c>
      <c r="F34" s="27"/>
      <c r="G34" s="28">
        <v>5.4722663753204728</v>
      </c>
      <c r="H34" s="29">
        <v>1.3328763625980855</v>
      </c>
    </row>
    <row r="35" spans="1:8" x14ac:dyDescent="0.2">
      <c r="A35" s="39" t="s">
        <v>13</v>
      </c>
      <c r="B35" s="31" t="s">
        <v>3</v>
      </c>
      <c r="C35" s="80">
        <v>189.00435847148509</v>
      </c>
      <c r="D35" s="80">
        <v>141.56149134271325</v>
      </c>
      <c r="E35" s="80">
        <v>124.29189695887437</v>
      </c>
      <c r="F35" s="22" t="s">
        <v>240</v>
      </c>
      <c r="G35" s="23">
        <v>-34.23860805959869</v>
      </c>
      <c r="H35" s="24">
        <v>-12.199358893464932</v>
      </c>
    </row>
    <row r="36" spans="1:8" x14ac:dyDescent="0.2">
      <c r="A36" s="34"/>
      <c r="B36" s="25" t="s">
        <v>241</v>
      </c>
      <c r="C36" s="82">
        <v>25.507322123697413</v>
      </c>
      <c r="D36" s="82">
        <v>25.872207222590546</v>
      </c>
      <c r="E36" s="82">
        <v>20.316945875929974</v>
      </c>
      <c r="F36" s="27"/>
      <c r="G36" s="28">
        <v>-20.348573725602321</v>
      </c>
      <c r="H36" s="29">
        <v>-21.471926607830909</v>
      </c>
    </row>
    <row r="37" spans="1:8" x14ac:dyDescent="0.2">
      <c r="A37" s="30" t="s">
        <v>14</v>
      </c>
      <c r="B37" s="31" t="s">
        <v>3</v>
      </c>
      <c r="C37" s="85">
        <v>1258.060364658754</v>
      </c>
      <c r="D37" s="85">
        <v>1434.6564278851531</v>
      </c>
      <c r="E37" s="83">
        <v>1459.033085629545</v>
      </c>
      <c r="F37" s="22" t="s">
        <v>240</v>
      </c>
      <c r="G37" s="23">
        <v>15.974807458885692</v>
      </c>
      <c r="H37" s="24">
        <v>1.6991286046322358</v>
      </c>
    </row>
    <row r="38" spans="1:8" ht="13.5" thickBot="1" x14ac:dyDescent="0.25">
      <c r="A38" s="41"/>
      <c r="B38" s="42" t="s">
        <v>241</v>
      </c>
      <c r="C38" s="86">
        <v>319.62647437515631</v>
      </c>
      <c r="D38" s="86">
        <v>360.98911460955628</v>
      </c>
      <c r="E38" s="86">
        <v>368.30294866867189</v>
      </c>
      <c r="F38" s="44"/>
      <c r="G38" s="45">
        <v>15.229174738630192</v>
      </c>
      <c r="H38" s="46">
        <v>2.0260539066465242</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10</v>
      </c>
    </row>
    <row r="62" spans="1:8" ht="12.75" customHeight="1" x14ac:dyDescent="0.2">
      <c r="A62" s="54" t="s">
        <v>243</v>
      </c>
      <c r="H62" s="201"/>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26</v>
      </c>
      <c r="B7" s="19" t="s">
        <v>3</v>
      </c>
      <c r="C7" s="20">
        <v>951813.97167414054</v>
      </c>
      <c r="D7" s="20">
        <v>1007651.1441704036</v>
      </c>
      <c r="E7" s="21">
        <v>1176306.93404583</v>
      </c>
      <c r="F7" s="22" t="s">
        <v>240</v>
      </c>
      <c r="G7" s="23">
        <v>23.585802378675965</v>
      </c>
      <c r="H7" s="24">
        <v>16.737517825604243</v>
      </c>
    </row>
    <row r="8" spans="1:8" x14ac:dyDescent="0.2">
      <c r="A8" s="206"/>
      <c r="B8" s="25" t="s">
        <v>241</v>
      </c>
      <c r="C8" s="26">
        <v>246036.64372197309</v>
      </c>
      <c r="D8" s="26">
        <v>258318.84641255607</v>
      </c>
      <c r="E8" s="26">
        <v>302387.50433482812</v>
      </c>
      <c r="F8" s="27"/>
      <c r="G8" s="28">
        <v>22.903442251688631</v>
      </c>
      <c r="H8" s="29">
        <v>17.059792010642099</v>
      </c>
    </row>
    <row r="9" spans="1:8" x14ac:dyDescent="0.2">
      <c r="A9" s="30" t="s">
        <v>28</v>
      </c>
      <c r="B9" s="31" t="s">
        <v>3</v>
      </c>
      <c r="C9" s="20">
        <v>874362.06733931229</v>
      </c>
      <c r="D9" s="20">
        <v>923689.08533632278</v>
      </c>
      <c r="E9" s="21">
        <v>1083102.0767101001</v>
      </c>
      <c r="F9" s="22" t="s">
        <v>240</v>
      </c>
      <c r="G9" s="32">
        <v>23.873406357389754</v>
      </c>
      <c r="H9" s="33">
        <v>17.258295448596073</v>
      </c>
    </row>
    <row r="10" spans="1:8" x14ac:dyDescent="0.2">
      <c r="A10" s="34"/>
      <c r="B10" s="25" t="s">
        <v>241</v>
      </c>
      <c r="C10" s="26">
        <v>229482.08497757849</v>
      </c>
      <c r="D10" s="26">
        <v>238378.52713004485</v>
      </c>
      <c r="E10" s="26">
        <v>281083.76346786245</v>
      </c>
      <c r="F10" s="27"/>
      <c r="G10" s="35">
        <v>22.486146792384986</v>
      </c>
      <c r="H10" s="29">
        <v>17.914883883194818</v>
      </c>
    </row>
    <row r="11" spans="1:8" x14ac:dyDescent="0.2">
      <c r="A11" s="30" t="s">
        <v>29</v>
      </c>
      <c r="B11" s="31" t="s">
        <v>3</v>
      </c>
      <c r="C11" s="20">
        <v>32860.952167414056</v>
      </c>
      <c r="D11" s="20">
        <v>38324.029417040358</v>
      </c>
      <c r="E11" s="21">
        <v>41274.587991566092</v>
      </c>
      <c r="F11" s="22" t="s">
        <v>240</v>
      </c>
      <c r="G11" s="37">
        <v>25.603749341430387</v>
      </c>
      <c r="H11" s="33">
        <v>7.6989779504077944</v>
      </c>
    </row>
    <row r="12" spans="1:8" x14ac:dyDescent="0.2">
      <c r="A12" s="34"/>
      <c r="B12" s="25" t="s">
        <v>241</v>
      </c>
      <c r="C12" s="26">
        <v>8297.7793721973085</v>
      </c>
      <c r="D12" s="26">
        <v>10760.159641255606</v>
      </c>
      <c r="E12" s="26">
        <v>11171.870433482811</v>
      </c>
      <c r="F12" s="27"/>
      <c r="G12" s="28">
        <v>34.636870087381254</v>
      </c>
      <c r="H12" s="29">
        <v>3.8262517095811575</v>
      </c>
    </row>
    <row r="13" spans="1:8" x14ac:dyDescent="0.2">
      <c r="A13" s="30" t="s">
        <v>27</v>
      </c>
      <c r="B13" s="31" t="s">
        <v>3</v>
      </c>
      <c r="C13" s="20">
        <v>11475.585650224215</v>
      </c>
      <c r="D13" s="20">
        <v>12004.408825112108</v>
      </c>
      <c r="E13" s="21">
        <v>13729.750943687694</v>
      </c>
      <c r="F13" s="22" t="s">
        <v>240</v>
      </c>
      <c r="G13" s="23">
        <v>19.643139462947019</v>
      </c>
      <c r="H13" s="24">
        <v>14.372570475659984</v>
      </c>
    </row>
    <row r="14" spans="1:8" x14ac:dyDescent="0.2">
      <c r="A14" s="34"/>
      <c r="B14" s="25" t="s">
        <v>241</v>
      </c>
      <c r="C14" s="26">
        <v>1265.7338116591927</v>
      </c>
      <c r="D14" s="26">
        <v>1445.8478923766816</v>
      </c>
      <c r="E14" s="26">
        <v>1604.461130044843</v>
      </c>
      <c r="F14" s="27"/>
      <c r="G14" s="38">
        <v>26.761339174595335</v>
      </c>
      <c r="H14" s="24">
        <v>10.970257556445546</v>
      </c>
    </row>
    <row r="15" spans="1:8" x14ac:dyDescent="0.2">
      <c r="A15" s="30" t="s">
        <v>30</v>
      </c>
      <c r="B15" s="31" t="s">
        <v>3</v>
      </c>
      <c r="C15" s="20">
        <v>14735.780866965621</v>
      </c>
      <c r="D15" s="20">
        <v>16157.211766816145</v>
      </c>
      <c r="E15" s="21">
        <v>19303.821910084142</v>
      </c>
      <c r="F15" s="22" t="s">
        <v>240</v>
      </c>
      <c r="G15" s="37">
        <v>30.999653729644308</v>
      </c>
      <c r="H15" s="33">
        <v>19.474957614472444</v>
      </c>
    </row>
    <row r="16" spans="1:8" x14ac:dyDescent="0.2">
      <c r="A16" s="34"/>
      <c r="B16" s="25" t="s">
        <v>241</v>
      </c>
      <c r="C16" s="26">
        <v>4363.3117488789239</v>
      </c>
      <c r="D16" s="26">
        <v>4582.4638565022424</v>
      </c>
      <c r="E16" s="26">
        <v>5552.9481733931243</v>
      </c>
      <c r="F16" s="27"/>
      <c r="G16" s="28">
        <v>27.264529627521043</v>
      </c>
      <c r="H16" s="29">
        <v>21.178220871591222</v>
      </c>
    </row>
    <row r="17" spans="1:9" x14ac:dyDescent="0.2">
      <c r="A17" s="30" t="s">
        <v>31</v>
      </c>
      <c r="B17" s="31" t="s">
        <v>3</v>
      </c>
      <c r="C17" s="20">
        <v>18379.585650224217</v>
      </c>
      <c r="D17" s="20">
        <v>17476.408825112107</v>
      </c>
      <c r="E17" s="21">
        <v>17930.14049811105</v>
      </c>
      <c r="F17" s="22" t="s">
        <v>240</v>
      </c>
      <c r="G17" s="37">
        <v>-2.4453497519824907</v>
      </c>
      <c r="H17" s="33">
        <v>2.5962523395937467</v>
      </c>
    </row>
    <row r="18" spans="1:9" ht="13.5" thickBot="1" x14ac:dyDescent="0.25">
      <c r="A18" s="56"/>
      <c r="B18" s="42" t="s">
        <v>241</v>
      </c>
      <c r="C18" s="43">
        <v>2627.7338116591927</v>
      </c>
      <c r="D18" s="43">
        <v>3151.8478923766816</v>
      </c>
      <c r="E18" s="43">
        <v>2974.4611300448432</v>
      </c>
      <c r="F18" s="44"/>
      <c r="G18" s="57">
        <v>13.194917873615267</v>
      </c>
      <c r="H18" s="46">
        <v>-5.6280242063990613</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26</v>
      </c>
      <c r="B35" s="19" t="s">
        <v>3</v>
      </c>
      <c r="C35" s="80">
        <v>16417.970641978663</v>
      </c>
      <c r="D35" s="80">
        <v>18490.436763405316</v>
      </c>
      <c r="E35" s="83">
        <v>20953.149769898529</v>
      </c>
      <c r="F35" s="22" t="s">
        <v>240</v>
      </c>
      <c r="G35" s="23">
        <v>27.623262501907448</v>
      </c>
      <c r="H35" s="24">
        <v>13.318847131654593</v>
      </c>
    </row>
    <row r="36" spans="1:9" ht="12.75" customHeight="1" x14ac:dyDescent="0.2">
      <c r="A36" s="206"/>
      <c r="B36" s="25" t="s">
        <v>241</v>
      </c>
      <c r="C36" s="82">
        <v>4346.5809320392218</v>
      </c>
      <c r="D36" s="82">
        <v>4836.7416705058085</v>
      </c>
      <c r="E36" s="82">
        <v>5502.8658901139079</v>
      </c>
      <c r="F36" s="27"/>
      <c r="G36" s="28">
        <v>26.602172515679086</v>
      </c>
      <c r="H36" s="29">
        <v>13.772168641341523</v>
      </c>
    </row>
    <row r="37" spans="1:9" x14ac:dyDescent="0.2">
      <c r="A37" s="30" t="s">
        <v>28</v>
      </c>
      <c r="B37" s="31" t="s">
        <v>3</v>
      </c>
      <c r="C37" s="80">
        <v>13580.76968656602</v>
      </c>
      <c r="D37" s="80">
        <v>15321.165447276726</v>
      </c>
      <c r="E37" s="83">
        <v>17406.100634443119</v>
      </c>
      <c r="F37" s="22" t="s">
        <v>240</v>
      </c>
      <c r="G37" s="32">
        <v>28.167261769125531</v>
      </c>
      <c r="H37" s="33">
        <v>13.608202289447775</v>
      </c>
    </row>
    <row r="38" spans="1:9" x14ac:dyDescent="0.2">
      <c r="A38" s="34"/>
      <c r="B38" s="25" t="s">
        <v>241</v>
      </c>
      <c r="C38" s="82">
        <v>3715.5783146213939</v>
      </c>
      <c r="D38" s="82">
        <v>4118.9214196614203</v>
      </c>
      <c r="E38" s="82">
        <v>4706.6855311846584</v>
      </c>
      <c r="F38" s="27"/>
      <c r="G38" s="35">
        <v>26.674372941167718</v>
      </c>
      <c r="H38" s="29">
        <v>14.26985493623603</v>
      </c>
    </row>
    <row r="39" spans="1:9" x14ac:dyDescent="0.2">
      <c r="A39" s="30" t="s">
        <v>29</v>
      </c>
      <c r="B39" s="31" t="s">
        <v>3</v>
      </c>
      <c r="C39" s="80">
        <v>988.33799893854575</v>
      </c>
      <c r="D39" s="80">
        <v>1206.0091265245253</v>
      </c>
      <c r="E39" s="83">
        <v>1335.490863617026</v>
      </c>
      <c r="F39" s="22" t="s">
        <v>240</v>
      </c>
      <c r="G39" s="37">
        <v>35.124913243375772</v>
      </c>
      <c r="H39" s="33">
        <v>10.736381196852207</v>
      </c>
    </row>
    <row r="40" spans="1:9" x14ac:dyDescent="0.2">
      <c r="A40" s="34"/>
      <c r="B40" s="25" t="s">
        <v>241</v>
      </c>
      <c r="C40" s="82">
        <v>276.16851806658008</v>
      </c>
      <c r="D40" s="82">
        <v>314.29691526068825</v>
      </c>
      <c r="E40" s="82">
        <v>356.03343193309399</v>
      </c>
      <c r="F40" s="27"/>
      <c r="G40" s="28">
        <v>28.918905900512414</v>
      </c>
      <c r="H40" s="29">
        <v>13.279327491263501</v>
      </c>
    </row>
    <row r="41" spans="1:9" x14ac:dyDescent="0.2">
      <c r="A41" s="30" t="s">
        <v>27</v>
      </c>
      <c r="B41" s="31" t="s">
        <v>3</v>
      </c>
      <c r="C41" s="80">
        <v>418.04889219756342</v>
      </c>
      <c r="D41" s="80">
        <v>365.20029052818705</v>
      </c>
      <c r="E41" s="83">
        <v>466.53238641263908</v>
      </c>
      <c r="F41" s="22" t="s">
        <v>240</v>
      </c>
      <c r="G41" s="23">
        <v>11.597565528809753</v>
      </c>
      <c r="H41" s="24">
        <v>27.746992133521033</v>
      </c>
    </row>
    <row r="42" spans="1:9" x14ac:dyDescent="0.2">
      <c r="A42" s="34"/>
      <c r="B42" s="25" t="s">
        <v>241</v>
      </c>
      <c r="C42" s="82">
        <v>44.19799795719787</v>
      </c>
      <c r="D42" s="82">
        <v>48.000463215754543</v>
      </c>
      <c r="E42" s="82">
        <v>56.721078689431984</v>
      </c>
      <c r="F42" s="27"/>
      <c r="G42" s="38">
        <v>28.334045230649792</v>
      </c>
      <c r="H42" s="24">
        <v>18.167773578516616</v>
      </c>
    </row>
    <row r="43" spans="1:9" x14ac:dyDescent="0.2">
      <c r="A43" s="30" t="s">
        <v>30</v>
      </c>
      <c r="B43" s="31" t="s">
        <v>3</v>
      </c>
      <c r="C43" s="80">
        <v>831.51656987079025</v>
      </c>
      <c r="D43" s="80">
        <v>952.50273679954194</v>
      </c>
      <c r="E43" s="83">
        <v>1099.3341258782214</v>
      </c>
      <c r="F43" s="22" t="s">
        <v>240</v>
      </c>
      <c r="G43" s="37">
        <v>32.208324609700497</v>
      </c>
      <c r="H43" s="33">
        <v>15.415324639595298</v>
      </c>
    </row>
    <row r="44" spans="1:9" x14ac:dyDescent="0.2">
      <c r="A44" s="34"/>
      <c r="B44" s="25" t="s">
        <v>241</v>
      </c>
      <c r="C44" s="82">
        <v>213.28734409827834</v>
      </c>
      <c r="D44" s="82">
        <v>242.83187149666472</v>
      </c>
      <c r="E44" s="82">
        <v>280.83567138340891</v>
      </c>
      <c r="F44" s="27"/>
      <c r="G44" s="28">
        <v>31.670105683347884</v>
      </c>
      <c r="H44" s="29">
        <v>15.650252025202633</v>
      </c>
    </row>
    <row r="45" spans="1:9" x14ac:dyDescent="0.2">
      <c r="A45" s="30" t="s">
        <v>31</v>
      </c>
      <c r="B45" s="31" t="s">
        <v>3</v>
      </c>
      <c r="C45" s="80">
        <v>599.29749440574335</v>
      </c>
      <c r="D45" s="80">
        <v>645.55916227633691</v>
      </c>
      <c r="E45" s="83">
        <v>602.31876187759201</v>
      </c>
      <c r="F45" s="22" t="s">
        <v>240</v>
      </c>
      <c r="G45" s="37">
        <v>0.50413484121847318</v>
      </c>
      <c r="H45" s="33">
        <v>-6.6981313139872185</v>
      </c>
    </row>
    <row r="46" spans="1:9" ht="13.5" thickBot="1" x14ac:dyDescent="0.25">
      <c r="A46" s="56"/>
      <c r="B46" s="42" t="s">
        <v>241</v>
      </c>
      <c r="C46" s="86">
        <v>97.348757295771662</v>
      </c>
      <c r="D46" s="86">
        <v>112.69100087128167</v>
      </c>
      <c r="E46" s="86">
        <v>102.59017692331403</v>
      </c>
      <c r="F46" s="44"/>
      <c r="G46" s="57">
        <v>5.3841669612869651</v>
      </c>
      <c r="H46" s="46">
        <v>-8.9632924278532613</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242</v>
      </c>
      <c r="G61" s="53"/>
      <c r="H61" s="208">
        <v>11</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26</v>
      </c>
      <c r="B7" s="19" t="s">
        <v>3</v>
      </c>
      <c r="C7" s="20">
        <v>951813.97167414054</v>
      </c>
      <c r="D7" s="20">
        <v>1007651.1441704036</v>
      </c>
      <c r="E7" s="21">
        <v>1176306.93404583</v>
      </c>
      <c r="F7" s="22" t="s">
        <v>240</v>
      </c>
      <c r="G7" s="23">
        <v>23.585802378675965</v>
      </c>
      <c r="H7" s="24">
        <v>16.737517825604243</v>
      </c>
    </row>
    <row r="8" spans="1:8" ht="12.75" customHeight="1" x14ac:dyDescent="0.2">
      <c r="A8" s="206"/>
      <c r="B8" s="25" t="s">
        <v>241</v>
      </c>
      <c r="C8" s="26">
        <v>246036.64372197312</v>
      </c>
      <c r="D8" s="26">
        <v>258318.84641255607</v>
      </c>
      <c r="E8" s="26">
        <v>302387.50433482812</v>
      </c>
      <c r="F8" s="27"/>
      <c r="G8" s="28">
        <v>22.903442251688631</v>
      </c>
      <c r="H8" s="29">
        <v>17.059792010642099</v>
      </c>
    </row>
    <row r="9" spans="1:8" x14ac:dyDescent="0.2">
      <c r="A9" s="30" t="s">
        <v>34</v>
      </c>
      <c r="B9" s="31" t="s">
        <v>3</v>
      </c>
      <c r="C9" s="20">
        <v>9110.9700000000012</v>
      </c>
      <c r="D9" s="20">
        <v>9739.3896000000004</v>
      </c>
      <c r="E9" s="21">
        <v>9486.5014637824806</v>
      </c>
      <c r="F9" s="22" t="s">
        <v>240</v>
      </c>
      <c r="G9" s="32">
        <v>4.1217506344821686</v>
      </c>
      <c r="H9" s="33">
        <v>-2.5965501597504641</v>
      </c>
    </row>
    <row r="10" spans="1:8" x14ac:dyDescent="0.2">
      <c r="A10" s="34"/>
      <c r="B10" s="25" t="s">
        <v>241</v>
      </c>
      <c r="C10" s="26">
        <v>2071.3580000000002</v>
      </c>
      <c r="D10" s="26">
        <v>2456.0509999999999</v>
      </c>
      <c r="E10" s="26">
        <v>2308.2479000000003</v>
      </c>
      <c r="F10" s="27"/>
      <c r="G10" s="35">
        <v>11.436453766080049</v>
      </c>
      <c r="H10" s="29">
        <v>-6.0179165660647698</v>
      </c>
    </row>
    <row r="11" spans="1:8" x14ac:dyDescent="0.2">
      <c r="A11" s="30" t="s">
        <v>35</v>
      </c>
      <c r="B11" s="31" t="s">
        <v>3</v>
      </c>
      <c r="C11" s="20">
        <v>3013.5176000000001</v>
      </c>
      <c r="D11" s="20">
        <v>3055.3111680000002</v>
      </c>
      <c r="E11" s="21">
        <v>3104.2307426714624</v>
      </c>
      <c r="F11" s="22" t="s">
        <v>240</v>
      </c>
      <c r="G11" s="37">
        <v>3.010207827273419</v>
      </c>
      <c r="H11" s="33">
        <v>1.6011323227507717</v>
      </c>
    </row>
    <row r="12" spans="1:8" x14ac:dyDescent="0.2">
      <c r="A12" s="34"/>
      <c r="B12" s="25" t="s">
        <v>241</v>
      </c>
      <c r="C12" s="26">
        <v>724.42863999999997</v>
      </c>
      <c r="D12" s="26">
        <v>776.76407999999992</v>
      </c>
      <c r="E12" s="26">
        <v>774.339832</v>
      </c>
      <c r="F12" s="27"/>
      <c r="G12" s="28">
        <v>6.8897320238471025</v>
      </c>
      <c r="H12" s="29">
        <v>-0.31209579104120166</v>
      </c>
    </row>
    <row r="13" spans="1:8" x14ac:dyDescent="0.2">
      <c r="A13" s="30" t="s">
        <v>36</v>
      </c>
      <c r="B13" s="31" t="s">
        <v>3</v>
      </c>
      <c r="C13" s="20">
        <v>148326.84133333334</v>
      </c>
      <c r="D13" s="20">
        <v>163023.26144</v>
      </c>
      <c r="E13" s="21">
        <v>178628.5439917453</v>
      </c>
      <c r="F13" s="22" t="s">
        <v>240</v>
      </c>
      <c r="G13" s="23">
        <v>20.429008253681658</v>
      </c>
      <c r="H13" s="24">
        <v>9.5724269125168746</v>
      </c>
    </row>
    <row r="14" spans="1:8" x14ac:dyDescent="0.2">
      <c r="A14" s="34"/>
      <c r="B14" s="25" t="s">
        <v>241</v>
      </c>
      <c r="C14" s="26">
        <v>36517.431199999999</v>
      </c>
      <c r="D14" s="26">
        <v>40784.956399999995</v>
      </c>
      <c r="E14" s="26">
        <v>44449.360226666671</v>
      </c>
      <c r="F14" s="27"/>
      <c r="G14" s="38">
        <v>21.720939195379856</v>
      </c>
      <c r="H14" s="24">
        <v>8.9846947259864578</v>
      </c>
    </row>
    <row r="15" spans="1:8" x14ac:dyDescent="0.2">
      <c r="A15" s="30" t="s">
        <v>18</v>
      </c>
      <c r="B15" s="31" t="s">
        <v>3</v>
      </c>
      <c r="C15" s="20">
        <v>3335.0839999999998</v>
      </c>
      <c r="D15" s="20">
        <v>3430.3651199999999</v>
      </c>
      <c r="E15" s="21">
        <v>3190.832514545009</v>
      </c>
      <c r="F15" s="22" t="s">
        <v>240</v>
      </c>
      <c r="G15" s="37">
        <v>-4.3252729303067383</v>
      </c>
      <c r="H15" s="33">
        <v>-6.9827145821431174</v>
      </c>
    </row>
    <row r="16" spans="1:8" x14ac:dyDescent="0.2">
      <c r="A16" s="34"/>
      <c r="B16" s="25" t="s">
        <v>241</v>
      </c>
      <c r="C16" s="26">
        <v>869.87759999999992</v>
      </c>
      <c r="D16" s="26">
        <v>804.11720000000003</v>
      </c>
      <c r="E16" s="26">
        <v>774.09987999999998</v>
      </c>
      <c r="F16" s="27"/>
      <c r="G16" s="28">
        <v>-11.01048239430466</v>
      </c>
      <c r="H16" s="29">
        <v>-3.7329533555556367</v>
      </c>
    </row>
    <row r="17" spans="1:9" x14ac:dyDescent="0.2">
      <c r="A17" s="30" t="s">
        <v>37</v>
      </c>
      <c r="B17" s="31" t="s">
        <v>3</v>
      </c>
      <c r="C17" s="20">
        <v>1804.2764</v>
      </c>
      <c r="D17" s="20">
        <v>2376.9667520000003</v>
      </c>
      <c r="E17" s="21">
        <v>2583.011429455813</v>
      </c>
      <c r="F17" s="22" t="s">
        <v>240</v>
      </c>
      <c r="G17" s="37">
        <v>43.160517393887829</v>
      </c>
      <c r="H17" s="33">
        <v>8.6683870223445325</v>
      </c>
    </row>
    <row r="18" spans="1:9" x14ac:dyDescent="0.2">
      <c r="A18" s="34"/>
      <c r="B18" s="25" t="s">
        <v>241</v>
      </c>
      <c r="C18" s="26">
        <v>366.64296000000002</v>
      </c>
      <c r="D18" s="26">
        <v>486.64612000000005</v>
      </c>
      <c r="E18" s="26">
        <v>527.50974799999995</v>
      </c>
      <c r="F18" s="27"/>
      <c r="G18" s="28">
        <v>43.875597120424715</v>
      </c>
      <c r="H18" s="29">
        <v>8.3969904044441677</v>
      </c>
    </row>
    <row r="19" spans="1:9" x14ac:dyDescent="0.2">
      <c r="A19" s="30" t="s">
        <v>38</v>
      </c>
      <c r="B19" s="31" t="s">
        <v>3</v>
      </c>
      <c r="C19" s="20">
        <v>4491.8626666666669</v>
      </c>
      <c r="D19" s="20">
        <v>5261.1852799999997</v>
      </c>
      <c r="E19" s="21">
        <v>5659.5653852835394</v>
      </c>
      <c r="F19" s="22" t="s">
        <v>240</v>
      </c>
      <c r="G19" s="23">
        <v>25.995957696618646</v>
      </c>
      <c r="H19" s="24">
        <v>7.5720599842387486</v>
      </c>
    </row>
    <row r="20" spans="1:9" x14ac:dyDescent="0.2">
      <c r="A20" s="30"/>
      <c r="B20" s="25" t="s">
        <v>241</v>
      </c>
      <c r="C20" s="26">
        <v>1006.7144000000001</v>
      </c>
      <c r="D20" s="26">
        <v>921.60679999999991</v>
      </c>
      <c r="E20" s="26">
        <v>1069.2330533333334</v>
      </c>
      <c r="F20" s="27"/>
      <c r="G20" s="38">
        <v>6.210167782772686</v>
      </c>
      <c r="H20" s="24">
        <v>16.018355477990553</v>
      </c>
    </row>
    <row r="21" spans="1:9" x14ac:dyDescent="0.2">
      <c r="A21" s="39" t="s">
        <v>39</v>
      </c>
      <c r="B21" s="31" t="s">
        <v>3</v>
      </c>
      <c r="C21" s="20">
        <v>249931.11600000001</v>
      </c>
      <c r="D21" s="20">
        <v>273815.89087999996</v>
      </c>
      <c r="E21" s="21">
        <v>342580.11204188614</v>
      </c>
      <c r="F21" s="22" t="s">
        <v>240</v>
      </c>
      <c r="G21" s="37">
        <v>37.069812484607212</v>
      </c>
      <c r="H21" s="33">
        <v>25.113305491835817</v>
      </c>
    </row>
    <row r="22" spans="1:9" x14ac:dyDescent="0.2">
      <c r="A22" s="34"/>
      <c r="B22" s="25" t="s">
        <v>241</v>
      </c>
      <c r="C22" s="26">
        <v>50619.002399999998</v>
      </c>
      <c r="D22" s="26">
        <v>71532.742800000007</v>
      </c>
      <c r="E22" s="26">
        <v>81610.894119999997</v>
      </c>
      <c r="F22" s="27"/>
      <c r="G22" s="28">
        <v>61.225805034830159</v>
      </c>
      <c r="H22" s="29">
        <v>14.088864659052319</v>
      </c>
    </row>
    <row r="23" spans="1:9" x14ac:dyDescent="0.2">
      <c r="A23" s="39" t="s">
        <v>40</v>
      </c>
      <c r="B23" s="31" t="s">
        <v>3</v>
      </c>
      <c r="C23" s="20">
        <v>251652.88</v>
      </c>
      <c r="D23" s="20">
        <v>254072.55840000001</v>
      </c>
      <c r="E23" s="21">
        <v>293273.01419962925</v>
      </c>
      <c r="F23" s="22" t="s">
        <v>240</v>
      </c>
      <c r="G23" s="23">
        <v>16.538707683229873</v>
      </c>
      <c r="H23" s="24">
        <v>15.428842865396703</v>
      </c>
    </row>
    <row r="24" spans="1:9" x14ac:dyDescent="0.2">
      <c r="A24" s="34"/>
      <c r="B24" s="25" t="s">
        <v>241</v>
      </c>
      <c r="C24" s="26">
        <v>69970.432000000001</v>
      </c>
      <c r="D24" s="26">
        <v>65414.204000000005</v>
      </c>
      <c r="E24" s="26">
        <v>77416.991599999994</v>
      </c>
      <c r="F24" s="27"/>
      <c r="G24" s="38">
        <v>10.642437651378216</v>
      </c>
      <c r="H24" s="24">
        <v>18.348901104108805</v>
      </c>
    </row>
    <row r="25" spans="1:9" x14ac:dyDescent="0.2">
      <c r="A25" s="30" t="s">
        <v>41</v>
      </c>
      <c r="B25" s="31" t="s">
        <v>3</v>
      </c>
      <c r="C25" s="20">
        <v>315189.89500000002</v>
      </c>
      <c r="D25" s="20">
        <v>347911.86359999998</v>
      </c>
      <c r="E25" s="21">
        <v>426247.62053823459</v>
      </c>
      <c r="F25" s="22" t="s">
        <v>240</v>
      </c>
      <c r="G25" s="37">
        <v>35.235179585384429</v>
      </c>
      <c r="H25" s="33">
        <v>22.515977502939805</v>
      </c>
    </row>
    <row r="26" spans="1:9" x14ac:dyDescent="0.2">
      <c r="A26" s="34"/>
      <c r="B26" s="25" t="s">
        <v>241</v>
      </c>
      <c r="C26" s="26">
        <v>79132.752999999997</v>
      </c>
      <c r="D26" s="26">
        <v>87411.178500000009</v>
      </c>
      <c r="E26" s="26">
        <v>107066.86765</v>
      </c>
      <c r="F26" s="27"/>
      <c r="G26" s="28">
        <v>35.300319514980089</v>
      </c>
      <c r="H26" s="29">
        <v>22.486470823637262</v>
      </c>
    </row>
    <row r="27" spans="1:9" x14ac:dyDescent="0.2">
      <c r="A27" s="30" t="s">
        <v>24</v>
      </c>
      <c r="B27" s="31" t="s">
        <v>3</v>
      </c>
      <c r="C27" s="20">
        <v>190521.25333333333</v>
      </c>
      <c r="D27" s="20">
        <v>229188.70559999999</v>
      </c>
      <c r="E27" s="21">
        <v>230410.62078268506</v>
      </c>
      <c r="F27" s="22" t="s">
        <v>240</v>
      </c>
      <c r="G27" s="23">
        <v>20.936964643814221</v>
      </c>
      <c r="H27" s="24">
        <v>0.53314807965175248</v>
      </c>
    </row>
    <row r="28" spans="1:9" ht="13.5" thickBot="1" x14ac:dyDescent="0.25">
      <c r="A28" s="56"/>
      <c r="B28" s="42" t="s">
        <v>241</v>
      </c>
      <c r="C28" s="43">
        <v>59188.288</v>
      </c>
      <c r="D28" s="43">
        <v>53985.135999999999</v>
      </c>
      <c r="E28" s="43">
        <v>59030.661066666667</v>
      </c>
      <c r="F28" s="44"/>
      <c r="G28" s="57">
        <v>-0.26631439877654373</v>
      </c>
      <c r="H28" s="46">
        <v>9.3461375491703365</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26</v>
      </c>
      <c r="B35" s="19" t="s">
        <v>3</v>
      </c>
      <c r="C35" s="80">
        <v>16417.970641978663</v>
      </c>
      <c r="D35" s="80">
        <v>18490.436763405316</v>
      </c>
      <c r="E35" s="83">
        <v>20953.149769898529</v>
      </c>
      <c r="F35" s="22" t="s">
        <v>240</v>
      </c>
      <c r="G35" s="23">
        <v>27.623262501907448</v>
      </c>
      <c r="H35" s="24">
        <v>13.318847131654593</v>
      </c>
    </row>
    <row r="36" spans="1:8" ht="12.75" customHeight="1" x14ac:dyDescent="0.2">
      <c r="A36" s="206"/>
      <c r="B36" s="25" t="s">
        <v>241</v>
      </c>
      <c r="C36" s="82">
        <v>4346.5809320392218</v>
      </c>
      <c r="D36" s="82">
        <v>4836.7416705058095</v>
      </c>
      <c r="E36" s="82">
        <v>5502.8658901139079</v>
      </c>
      <c r="F36" s="27"/>
      <c r="G36" s="28">
        <v>26.602172515679086</v>
      </c>
      <c r="H36" s="29">
        <v>13.772168641341494</v>
      </c>
    </row>
    <row r="37" spans="1:8" x14ac:dyDescent="0.2">
      <c r="A37" s="30" t="s">
        <v>34</v>
      </c>
      <c r="B37" s="31" t="s">
        <v>3</v>
      </c>
      <c r="C37" s="84">
        <v>1215.8517696644105</v>
      </c>
      <c r="D37" s="84">
        <v>1443.3068707258926</v>
      </c>
      <c r="E37" s="83">
        <v>1514.4666171471974</v>
      </c>
      <c r="F37" s="22" t="s">
        <v>240</v>
      </c>
      <c r="G37" s="32">
        <v>24.56013594199959</v>
      </c>
      <c r="H37" s="33">
        <v>4.9303268670449825</v>
      </c>
    </row>
    <row r="38" spans="1:8" x14ac:dyDescent="0.2">
      <c r="A38" s="34"/>
      <c r="B38" s="25" t="s">
        <v>241</v>
      </c>
      <c r="C38" s="82">
        <v>419.3333163626487</v>
      </c>
      <c r="D38" s="82">
        <v>468.53825106331908</v>
      </c>
      <c r="E38" s="82">
        <v>501.45797841085488</v>
      </c>
      <c r="F38" s="27"/>
      <c r="G38" s="35">
        <v>19.584578387561976</v>
      </c>
      <c r="H38" s="29">
        <v>7.0260490520947911</v>
      </c>
    </row>
    <row r="39" spans="1:8" x14ac:dyDescent="0.2">
      <c r="A39" s="30" t="s">
        <v>35</v>
      </c>
      <c r="B39" s="31" t="s">
        <v>3</v>
      </c>
      <c r="C39" s="84">
        <v>58.943539796359204</v>
      </c>
      <c r="D39" s="84">
        <v>41.666176525629631</v>
      </c>
      <c r="E39" s="83">
        <v>53.654034015650247</v>
      </c>
      <c r="F39" s="22" t="s">
        <v>240</v>
      </c>
      <c r="G39" s="37">
        <v>-8.9738515857435459</v>
      </c>
      <c r="H39" s="33">
        <v>28.771196422706709</v>
      </c>
    </row>
    <row r="40" spans="1:8" x14ac:dyDescent="0.2">
      <c r="A40" s="34"/>
      <c r="B40" s="25" t="s">
        <v>241</v>
      </c>
      <c r="C40" s="82">
        <v>13.300403719995064</v>
      </c>
      <c r="D40" s="82">
        <v>19.136659913184879</v>
      </c>
      <c r="E40" s="82">
        <v>18.319662236732114</v>
      </c>
      <c r="F40" s="27"/>
      <c r="G40" s="28">
        <v>37.73764031832647</v>
      </c>
      <c r="H40" s="29">
        <v>-4.2692804290777246</v>
      </c>
    </row>
    <row r="41" spans="1:8" x14ac:dyDescent="0.2">
      <c r="A41" s="30" t="s">
        <v>36</v>
      </c>
      <c r="B41" s="31" t="s">
        <v>3</v>
      </c>
      <c r="C41" s="84">
        <v>2896.8526582126128</v>
      </c>
      <c r="D41" s="84">
        <v>3082.5553135392311</v>
      </c>
      <c r="E41" s="83">
        <v>3181.3351506367781</v>
      </c>
      <c r="F41" s="22" t="s">
        <v>240</v>
      </c>
      <c r="G41" s="23">
        <v>9.8203991016820851</v>
      </c>
      <c r="H41" s="24">
        <v>3.2044789809183811</v>
      </c>
    </row>
    <row r="42" spans="1:8" x14ac:dyDescent="0.2">
      <c r="A42" s="34"/>
      <c r="B42" s="25" t="s">
        <v>241</v>
      </c>
      <c r="C42" s="82">
        <v>660.65457591878112</v>
      </c>
      <c r="D42" s="82">
        <v>721.78192224616896</v>
      </c>
      <c r="E42" s="82">
        <v>738.33801636482792</v>
      </c>
      <c r="F42" s="27"/>
      <c r="G42" s="38">
        <v>11.758556328473375</v>
      </c>
      <c r="H42" s="24">
        <v>2.2937806570628538</v>
      </c>
    </row>
    <row r="43" spans="1:8" x14ac:dyDescent="0.2">
      <c r="A43" s="30" t="s">
        <v>18</v>
      </c>
      <c r="B43" s="31" t="s">
        <v>3</v>
      </c>
      <c r="C43" s="84">
        <v>275.64287647593483</v>
      </c>
      <c r="D43" s="84">
        <v>314.01071525743112</v>
      </c>
      <c r="E43" s="83">
        <v>279.25763867765045</v>
      </c>
      <c r="F43" s="22" t="s">
        <v>240</v>
      </c>
      <c r="G43" s="37">
        <v>1.3113932955315164</v>
      </c>
      <c r="H43" s="33">
        <v>-11.067481105314997</v>
      </c>
    </row>
    <row r="44" spans="1:8" x14ac:dyDescent="0.2">
      <c r="A44" s="34"/>
      <c r="B44" s="25" t="s">
        <v>241</v>
      </c>
      <c r="C44" s="82">
        <v>74.844381229580634</v>
      </c>
      <c r="D44" s="82">
        <v>65.318115641068118</v>
      </c>
      <c r="E44" s="82">
        <v>63.001375513191135</v>
      </c>
      <c r="F44" s="27"/>
      <c r="G44" s="28">
        <v>-15.823506750709569</v>
      </c>
      <c r="H44" s="29">
        <v>-3.5468569555922045</v>
      </c>
    </row>
    <row r="45" spans="1:8" x14ac:dyDescent="0.2">
      <c r="A45" s="30" t="s">
        <v>37</v>
      </c>
      <c r="B45" s="31" t="s">
        <v>3</v>
      </c>
      <c r="C45" s="84">
        <v>68.836603252269086</v>
      </c>
      <c r="D45" s="84">
        <v>122.80734853914598</v>
      </c>
      <c r="E45" s="83">
        <v>119.09329694424559</v>
      </c>
      <c r="F45" s="22" t="s">
        <v>240</v>
      </c>
      <c r="G45" s="37">
        <v>73.008677531339231</v>
      </c>
      <c r="H45" s="33">
        <v>-3.0242910046351881</v>
      </c>
    </row>
    <row r="46" spans="1:8" x14ac:dyDescent="0.2">
      <c r="A46" s="34"/>
      <c r="B46" s="25" t="s">
        <v>241</v>
      </c>
      <c r="C46" s="82">
        <v>15.423510287046643</v>
      </c>
      <c r="D46" s="82">
        <v>20.511045043867568</v>
      </c>
      <c r="E46" s="82">
        <v>21.735197675149077</v>
      </c>
      <c r="F46" s="27"/>
      <c r="G46" s="28">
        <v>40.922509017958589</v>
      </c>
      <c r="H46" s="29">
        <v>5.9682606549952908</v>
      </c>
    </row>
    <row r="47" spans="1:8" x14ac:dyDescent="0.2">
      <c r="A47" s="30" t="s">
        <v>38</v>
      </c>
      <c r="B47" s="31" t="s">
        <v>3</v>
      </c>
      <c r="C47" s="84">
        <v>86.835306075921977</v>
      </c>
      <c r="D47" s="84">
        <v>125.34639853072574</v>
      </c>
      <c r="E47" s="83">
        <v>155.91044655037689</v>
      </c>
      <c r="F47" s="22" t="s">
        <v>240</v>
      </c>
      <c r="G47" s="23">
        <v>79.547298899437322</v>
      </c>
      <c r="H47" s="24">
        <v>24.383666685213214</v>
      </c>
    </row>
    <row r="48" spans="1:8" x14ac:dyDescent="0.2">
      <c r="A48" s="30"/>
      <c r="B48" s="25" t="s">
        <v>241</v>
      </c>
      <c r="C48" s="82">
        <v>16.702625529695691</v>
      </c>
      <c r="D48" s="82">
        <v>19.326624242414287</v>
      </c>
      <c r="E48" s="82">
        <v>25.741570986342872</v>
      </c>
      <c r="F48" s="27"/>
      <c r="G48" s="38">
        <v>54.11691377847626</v>
      </c>
      <c r="H48" s="24">
        <v>33.192277468976272</v>
      </c>
    </row>
    <row r="49" spans="1:9" x14ac:dyDescent="0.2">
      <c r="A49" s="39" t="s">
        <v>39</v>
      </c>
      <c r="B49" s="31" t="s">
        <v>3</v>
      </c>
      <c r="C49" s="84">
        <v>1589.0848721890409</v>
      </c>
      <c r="D49" s="84">
        <v>1748.7140824068442</v>
      </c>
      <c r="E49" s="83">
        <v>2087.3789654760835</v>
      </c>
      <c r="F49" s="22" t="s">
        <v>240</v>
      </c>
      <c r="G49" s="37">
        <v>31.357298908812766</v>
      </c>
      <c r="H49" s="33">
        <v>19.366509738579879</v>
      </c>
    </row>
    <row r="50" spans="1:9" x14ac:dyDescent="0.2">
      <c r="A50" s="34"/>
      <c r="B50" s="25" t="s">
        <v>241</v>
      </c>
      <c r="C50" s="82">
        <v>349.28489816586006</v>
      </c>
      <c r="D50" s="82">
        <v>409.60663645313167</v>
      </c>
      <c r="E50" s="82">
        <v>478.46245091077117</v>
      </c>
      <c r="F50" s="27"/>
      <c r="G50" s="28">
        <v>36.983434847380749</v>
      </c>
      <c r="H50" s="29">
        <v>16.810229212562604</v>
      </c>
    </row>
    <row r="51" spans="1:9" x14ac:dyDescent="0.2">
      <c r="A51" s="39" t="s">
        <v>40</v>
      </c>
      <c r="B51" s="31" t="s">
        <v>3</v>
      </c>
      <c r="C51" s="84">
        <v>1149.7553216366812</v>
      </c>
      <c r="D51" s="84">
        <v>1007.3590694603269</v>
      </c>
      <c r="E51" s="83">
        <v>1098.0655078235566</v>
      </c>
      <c r="F51" s="22" t="s">
        <v>240</v>
      </c>
      <c r="G51" s="23">
        <v>-4.4957229456041148</v>
      </c>
      <c r="H51" s="24">
        <v>9.0043799786131871</v>
      </c>
    </row>
    <row r="52" spans="1:9" x14ac:dyDescent="0.2">
      <c r="A52" s="34"/>
      <c r="B52" s="25" t="s">
        <v>241</v>
      </c>
      <c r="C52" s="82">
        <v>283.73645508525948</v>
      </c>
      <c r="D52" s="82">
        <v>279.99964995103829</v>
      </c>
      <c r="E52" s="82">
        <v>292.87928615016858</v>
      </c>
      <c r="F52" s="27"/>
      <c r="G52" s="38">
        <v>3.2222969241515926</v>
      </c>
      <c r="H52" s="24">
        <v>4.5998758217670854</v>
      </c>
    </row>
    <row r="53" spans="1:9" x14ac:dyDescent="0.2">
      <c r="A53" s="30" t="s">
        <v>41</v>
      </c>
      <c r="B53" s="31" t="s">
        <v>3</v>
      </c>
      <c r="C53" s="84">
        <v>7809.7645151006627</v>
      </c>
      <c r="D53" s="84">
        <v>9064.4978353798942</v>
      </c>
      <c r="E53" s="83">
        <v>10681.455075256936</v>
      </c>
      <c r="F53" s="22" t="s">
        <v>240</v>
      </c>
      <c r="G53" s="37">
        <v>36.770514073806993</v>
      </c>
      <c r="H53" s="33">
        <v>17.838354305363183</v>
      </c>
    </row>
    <row r="54" spans="1:9" x14ac:dyDescent="0.2">
      <c r="A54" s="34"/>
      <c r="B54" s="25" t="s">
        <v>241</v>
      </c>
      <c r="C54" s="82">
        <v>2128.0772951059153</v>
      </c>
      <c r="D54" s="82">
        <v>2461.2976853847749</v>
      </c>
      <c r="E54" s="82">
        <v>2903.7545445561054</v>
      </c>
      <c r="F54" s="27"/>
      <c r="G54" s="28">
        <v>36.449674606935957</v>
      </c>
      <c r="H54" s="29">
        <v>17.976568287478841</v>
      </c>
    </row>
    <row r="55" spans="1:9" x14ac:dyDescent="0.2">
      <c r="A55" s="30" t="s">
        <v>24</v>
      </c>
      <c r="B55" s="31" t="s">
        <v>3</v>
      </c>
      <c r="C55" s="84">
        <v>1266.4031795747712</v>
      </c>
      <c r="D55" s="84">
        <v>1540.1729530401956</v>
      </c>
      <c r="E55" s="83">
        <v>1773.2199900455396</v>
      </c>
      <c r="F55" s="22" t="s">
        <v>240</v>
      </c>
      <c r="G55" s="23">
        <v>40.020178300637696</v>
      </c>
      <c r="H55" s="24">
        <v>15.13122513580862</v>
      </c>
    </row>
    <row r="56" spans="1:9" ht="13.5" thickBot="1" x14ac:dyDescent="0.25">
      <c r="A56" s="56"/>
      <c r="B56" s="42" t="s">
        <v>241</v>
      </c>
      <c r="C56" s="86">
        <v>385.22347063443897</v>
      </c>
      <c r="D56" s="86">
        <v>371.22508056684086</v>
      </c>
      <c r="E56" s="86">
        <v>459.17580730976516</v>
      </c>
      <c r="F56" s="44"/>
      <c r="G56" s="57">
        <v>19.197256219495486</v>
      </c>
      <c r="H56" s="46">
        <v>23.692021726718536</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H61" s="200">
        <v>12</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17</v>
      </c>
      <c r="B7" s="19" t="s">
        <v>3</v>
      </c>
      <c r="C7" s="20">
        <v>455343.2281054082</v>
      </c>
      <c r="D7" s="20">
        <v>410835.95298472245</v>
      </c>
      <c r="E7" s="21">
        <v>419909.89292305609</v>
      </c>
      <c r="F7" s="22" t="s">
        <v>240</v>
      </c>
      <c r="G7" s="23">
        <v>-7.7816761061283728</v>
      </c>
      <c r="H7" s="24">
        <v>2.2086528387818589</v>
      </c>
    </row>
    <row r="8" spans="1:8" x14ac:dyDescent="0.2">
      <c r="A8" s="206"/>
      <c r="B8" s="25" t="s">
        <v>241</v>
      </c>
      <c r="C8" s="26">
        <v>118478.78548631821</v>
      </c>
      <c r="D8" s="26">
        <v>97565.925181813422</v>
      </c>
      <c r="E8" s="26">
        <v>102709.67189870769</v>
      </c>
      <c r="F8" s="27"/>
      <c r="G8" s="28">
        <v>-13.309651616433499</v>
      </c>
      <c r="H8" s="29">
        <v>5.2720729161425339</v>
      </c>
    </row>
    <row r="9" spans="1:8" x14ac:dyDescent="0.2">
      <c r="A9" s="30" t="s">
        <v>18</v>
      </c>
      <c r="B9" s="31" t="s">
        <v>3</v>
      </c>
      <c r="C9" s="20">
        <v>29627.100888004174</v>
      </c>
      <c r="D9" s="20">
        <v>26681.577400472866</v>
      </c>
      <c r="E9" s="21">
        <v>24303.248675456547</v>
      </c>
      <c r="F9" s="22" t="s">
        <v>240</v>
      </c>
      <c r="G9" s="32">
        <v>-17.969534827834678</v>
      </c>
      <c r="H9" s="33">
        <v>-8.9137485738536952</v>
      </c>
    </row>
    <row r="10" spans="1:8" x14ac:dyDescent="0.2">
      <c r="A10" s="34"/>
      <c r="B10" s="25" t="s">
        <v>241</v>
      </c>
      <c r="C10" s="26">
        <v>6956.535447826087</v>
      </c>
      <c r="D10" s="26">
        <v>5821.0840652173911</v>
      </c>
      <c r="E10" s="26">
        <v>5430.4458695652174</v>
      </c>
      <c r="F10" s="27"/>
      <c r="G10" s="35">
        <v>-21.937494456924995</v>
      </c>
      <c r="H10" s="29">
        <v>-6.7107465083066984</v>
      </c>
    </row>
    <row r="11" spans="1:8" x14ac:dyDescent="0.2">
      <c r="A11" s="30" t="s">
        <v>19</v>
      </c>
      <c r="B11" s="31" t="s">
        <v>3</v>
      </c>
      <c r="C11" s="20">
        <v>78453.00296001391</v>
      </c>
      <c r="D11" s="20">
        <v>67739.591334909579</v>
      </c>
      <c r="E11" s="21">
        <v>67802.945082956983</v>
      </c>
      <c r="F11" s="22" t="s">
        <v>240</v>
      </c>
      <c r="G11" s="37">
        <v>-13.575079952624719</v>
      </c>
      <c r="H11" s="33">
        <v>9.3525435862432005E-2</v>
      </c>
    </row>
    <row r="12" spans="1:8" x14ac:dyDescent="0.2">
      <c r="A12" s="34"/>
      <c r="B12" s="25" t="s">
        <v>241</v>
      </c>
      <c r="C12" s="26">
        <v>27370.784826086958</v>
      </c>
      <c r="D12" s="26">
        <v>18215.280217391304</v>
      </c>
      <c r="E12" s="26">
        <v>19740.819565217389</v>
      </c>
      <c r="F12" s="27"/>
      <c r="G12" s="28">
        <v>-27.876311583135475</v>
      </c>
      <c r="H12" s="29">
        <v>8.3750528656130854</v>
      </c>
    </row>
    <row r="13" spans="1:8" x14ac:dyDescent="0.2">
      <c r="A13" s="30" t="s">
        <v>20</v>
      </c>
      <c r="B13" s="31" t="s">
        <v>3</v>
      </c>
      <c r="C13" s="20">
        <v>28999.858552387577</v>
      </c>
      <c r="D13" s="20">
        <v>37706.710159480746</v>
      </c>
      <c r="E13" s="21">
        <v>40117.80755543759</v>
      </c>
      <c r="F13" s="22" t="s">
        <v>240</v>
      </c>
      <c r="G13" s="23">
        <v>38.337942176392659</v>
      </c>
      <c r="H13" s="24">
        <v>6.3943456900883007</v>
      </c>
    </row>
    <row r="14" spans="1:8" x14ac:dyDescent="0.2">
      <c r="A14" s="34"/>
      <c r="B14" s="25" t="s">
        <v>241</v>
      </c>
      <c r="C14" s="26">
        <v>5568.3737267080742</v>
      </c>
      <c r="D14" s="26">
        <v>6185.4667701863355</v>
      </c>
      <c r="E14" s="26">
        <v>6916.8664596273293</v>
      </c>
      <c r="F14" s="27"/>
      <c r="G14" s="38">
        <v>24.216994029178807</v>
      </c>
      <c r="H14" s="24">
        <v>11.824486600854556</v>
      </c>
    </row>
    <row r="15" spans="1:8" x14ac:dyDescent="0.2">
      <c r="A15" s="30" t="s">
        <v>21</v>
      </c>
      <c r="B15" s="31" t="s">
        <v>3</v>
      </c>
      <c r="C15" s="20">
        <v>7879.9170777797099</v>
      </c>
      <c r="D15" s="20">
        <v>7842.2487965152177</v>
      </c>
      <c r="E15" s="21">
        <v>8113.8657600081742</v>
      </c>
      <c r="F15" s="22" t="s">
        <v>240</v>
      </c>
      <c r="G15" s="37">
        <v>2.9689231488002434</v>
      </c>
      <c r="H15" s="33">
        <v>3.4635086254041454</v>
      </c>
    </row>
    <row r="16" spans="1:8" x14ac:dyDescent="0.2">
      <c r="A16" s="34"/>
      <c r="B16" s="25" t="s">
        <v>241</v>
      </c>
      <c r="C16" s="26">
        <v>1968.1923369565218</v>
      </c>
      <c r="D16" s="26">
        <v>1706.761141304348</v>
      </c>
      <c r="E16" s="26">
        <v>1845.0027173913045</v>
      </c>
      <c r="F16" s="27"/>
      <c r="G16" s="28">
        <v>-6.2590234324206904</v>
      </c>
      <c r="H16" s="29">
        <v>8.0996439830654197</v>
      </c>
    </row>
    <row r="17" spans="1:8" x14ac:dyDescent="0.2">
      <c r="A17" s="30" t="s">
        <v>22</v>
      </c>
      <c r="B17" s="31" t="s">
        <v>3</v>
      </c>
      <c r="C17" s="20">
        <v>7994.9170777797099</v>
      </c>
      <c r="D17" s="20">
        <v>8809.2487965152177</v>
      </c>
      <c r="E17" s="21">
        <v>9151.8506165700164</v>
      </c>
      <c r="F17" s="22" t="s">
        <v>240</v>
      </c>
      <c r="G17" s="37">
        <v>14.470863519094834</v>
      </c>
      <c r="H17" s="33">
        <v>3.8891150422533798</v>
      </c>
    </row>
    <row r="18" spans="1:8" x14ac:dyDescent="0.2">
      <c r="A18" s="34"/>
      <c r="B18" s="25" t="s">
        <v>241</v>
      </c>
      <c r="C18" s="26">
        <v>1414.1923369565218</v>
      </c>
      <c r="D18" s="26">
        <v>1640.761141304348</v>
      </c>
      <c r="E18" s="26">
        <v>1675.0027173913043</v>
      </c>
      <c r="F18" s="27"/>
      <c r="G18" s="28">
        <v>18.442355655530676</v>
      </c>
      <c r="H18" s="29">
        <v>2.0869324135587135</v>
      </c>
    </row>
    <row r="19" spans="1:8" x14ac:dyDescent="0.2">
      <c r="A19" s="30" t="s">
        <v>189</v>
      </c>
      <c r="B19" s="31" t="s">
        <v>3</v>
      </c>
      <c r="C19" s="20">
        <v>258952.14638096894</v>
      </c>
      <c r="D19" s="20">
        <v>225820.27539870187</v>
      </c>
      <c r="E19" s="21">
        <v>209002.34327405543</v>
      </c>
      <c r="F19" s="22" t="s">
        <v>240</v>
      </c>
      <c r="G19" s="23">
        <v>-19.289202196234228</v>
      </c>
      <c r="H19" s="24">
        <v>-7.4474854372368355</v>
      </c>
    </row>
    <row r="20" spans="1:8" x14ac:dyDescent="0.2">
      <c r="A20" s="30"/>
      <c r="B20" s="25" t="s">
        <v>241</v>
      </c>
      <c r="C20" s="26">
        <v>63111.934316770188</v>
      </c>
      <c r="D20" s="26">
        <v>53667.666925465841</v>
      </c>
      <c r="E20" s="26">
        <v>50086.166149068318</v>
      </c>
      <c r="F20" s="27"/>
      <c r="G20" s="38">
        <v>-20.639152180510251</v>
      </c>
      <c r="H20" s="24">
        <v>-6.6734795484430975</v>
      </c>
    </row>
    <row r="21" spans="1:8" x14ac:dyDescent="0.2">
      <c r="A21" s="39" t="s">
        <v>12</v>
      </c>
      <c r="B21" s="31" t="s">
        <v>3</v>
      </c>
      <c r="C21" s="20">
        <v>2548.7502466678261</v>
      </c>
      <c r="D21" s="20">
        <v>2373.5492779091305</v>
      </c>
      <c r="E21" s="21">
        <v>1762.8601728481806</v>
      </c>
      <c r="F21" s="22" t="s">
        <v>240</v>
      </c>
      <c r="G21" s="37">
        <v>-30.834330466356946</v>
      </c>
      <c r="H21" s="33">
        <v>-25.728941494693075</v>
      </c>
    </row>
    <row r="22" spans="1:8" x14ac:dyDescent="0.2">
      <c r="A22" s="34"/>
      <c r="B22" s="25" t="s">
        <v>241</v>
      </c>
      <c r="C22" s="26">
        <v>451.31540217391307</v>
      </c>
      <c r="D22" s="26">
        <v>537.85668478260868</v>
      </c>
      <c r="E22" s="26">
        <v>365.40163043478265</v>
      </c>
      <c r="F22" s="27"/>
      <c r="G22" s="28">
        <v>-19.03630395180349</v>
      </c>
      <c r="H22" s="29">
        <v>-32.063384025342927</v>
      </c>
    </row>
    <row r="23" spans="1:8" x14ac:dyDescent="0.2">
      <c r="A23" s="39" t="s">
        <v>23</v>
      </c>
      <c r="B23" s="31" t="s">
        <v>3</v>
      </c>
      <c r="C23" s="20">
        <v>13380.91707777971</v>
      </c>
      <c r="D23" s="20">
        <v>12585.248796515218</v>
      </c>
      <c r="E23" s="21">
        <v>12617.584943670856</v>
      </c>
      <c r="F23" s="22" t="s">
        <v>240</v>
      </c>
      <c r="G23" s="23">
        <v>-5.7046324229633001</v>
      </c>
      <c r="H23" s="24">
        <v>0.25693689237667172</v>
      </c>
    </row>
    <row r="24" spans="1:8" x14ac:dyDescent="0.2">
      <c r="A24" s="34"/>
      <c r="B24" s="25" t="s">
        <v>241</v>
      </c>
      <c r="C24" s="26">
        <v>3565.192336956522</v>
      </c>
      <c r="D24" s="26">
        <v>3311.7611413043478</v>
      </c>
      <c r="E24" s="26">
        <v>3334.0027173913045</v>
      </c>
      <c r="F24" s="27"/>
      <c r="G24" s="28">
        <v>-6.4846324606031231</v>
      </c>
      <c r="H24" s="29">
        <v>0.67159360648203403</v>
      </c>
    </row>
    <row r="25" spans="1:8" x14ac:dyDescent="0.2">
      <c r="A25" s="30" t="s">
        <v>24</v>
      </c>
      <c r="B25" s="31" t="s">
        <v>3</v>
      </c>
      <c r="C25" s="20">
        <v>40776.834155559423</v>
      </c>
      <c r="D25" s="20">
        <v>35015.497593030435</v>
      </c>
      <c r="E25" s="21">
        <v>54981.295571816911</v>
      </c>
      <c r="F25" s="22" t="s">
        <v>240</v>
      </c>
      <c r="G25" s="23">
        <v>34.83463518052659</v>
      </c>
      <c r="H25" s="24">
        <v>57.019889338258366</v>
      </c>
    </row>
    <row r="26" spans="1:8" ht="13.5" thickBot="1" x14ac:dyDescent="0.25">
      <c r="A26" s="41"/>
      <c r="B26" s="42" t="s">
        <v>241</v>
      </c>
      <c r="C26" s="43">
        <v>12151.384673913042</v>
      </c>
      <c r="D26" s="43">
        <v>10472.522282608696</v>
      </c>
      <c r="E26" s="43">
        <v>16424.005434782608</v>
      </c>
      <c r="F26" s="44"/>
      <c r="G26" s="45">
        <v>35.161595781278805</v>
      </c>
      <c r="H26" s="46">
        <v>56.829510518753494</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x14ac:dyDescent="0.2">
      <c r="A35" s="205" t="s">
        <v>17</v>
      </c>
      <c r="B35" s="19" t="s">
        <v>3</v>
      </c>
      <c r="C35" s="80">
        <v>9329.6259879792087</v>
      </c>
      <c r="D35" s="80">
        <v>9776.7076031225224</v>
      </c>
      <c r="E35" s="83">
        <v>9337.8208404110446</v>
      </c>
      <c r="F35" s="22" t="s">
        <v>240</v>
      </c>
      <c r="G35" s="23">
        <v>8.7836880517983218E-2</v>
      </c>
      <c r="H35" s="24">
        <v>-4.4891059498527284</v>
      </c>
    </row>
    <row r="36" spans="1:8" x14ac:dyDescent="0.2">
      <c r="A36" s="206"/>
      <c r="B36" s="25" t="s">
        <v>241</v>
      </c>
      <c r="C36" s="82">
        <v>2965.4204490303009</v>
      </c>
      <c r="D36" s="82">
        <v>2505.6769390314967</v>
      </c>
      <c r="E36" s="82">
        <v>2558.3572859548403</v>
      </c>
      <c r="F36" s="27"/>
      <c r="G36" s="28">
        <v>-13.726996561602959</v>
      </c>
      <c r="H36" s="29">
        <v>2.1024397081175863</v>
      </c>
    </row>
    <row r="37" spans="1:8" x14ac:dyDescent="0.2">
      <c r="A37" s="30" t="s">
        <v>18</v>
      </c>
      <c r="B37" s="31" t="s">
        <v>3</v>
      </c>
      <c r="C37" s="80">
        <v>2849.0976717462163</v>
      </c>
      <c r="D37" s="80">
        <v>3285.2269166847313</v>
      </c>
      <c r="E37" s="83">
        <v>2613.3828054789328</v>
      </c>
      <c r="F37" s="22" t="s">
        <v>240</v>
      </c>
      <c r="G37" s="32">
        <v>-8.2733164469862999</v>
      </c>
      <c r="H37" s="33">
        <v>-20.450462882600092</v>
      </c>
    </row>
    <row r="38" spans="1:8" x14ac:dyDescent="0.2">
      <c r="A38" s="34"/>
      <c r="B38" s="25" t="s">
        <v>241</v>
      </c>
      <c r="C38" s="82">
        <v>884.45894070710472</v>
      </c>
      <c r="D38" s="82">
        <v>790.95202784104958</v>
      </c>
      <c r="E38" s="82">
        <v>680.07796912302103</v>
      </c>
      <c r="F38" s="27"/>
      <c r="G38" s="35">
        <v>-23.108022563567033</v>
      </c>
      <c r="H38" s="29">
        <v>-14.017798148980773</v>
      </c>
    </row>
    <row r="39" spans="1:8" x14ac:dyDescent="0.2">
      <c r="A39" s="30" t="s">
        <v>19</v>
      </c>
      <c r="B39" s="31" t="s">
        <v>3</v>
      </c>
      <c r="C39" s="80">
        <v>3386.5920524151952</v>
      </c>
      <c r="D39" s="80">
        <v>3364.3179120241443</v>
      </c>
      <c r="E39" s="83">
        <v>3390.7205950551888</v>
      </c>
      <c r="F39" s="22" t="s">
        <v>240</v>
      </c>
      <c r="G39" s="37">
        <v>0.12190847247306635</v>
      </c>
      <c r="H39" s="33">
        <v>0.78478561543428782</v>
      </c>
    </row>
    <row r="40" spans="1:8" x14ac:dyDescent="0.2">
      <c r="A40" s="34"/>
      <c r="B40" s="25" t="s">
        <v>241</v>
      </c>
      <c r="C40" s="82">
        <v>1190.6146531509116</v>
      </c>
      <c r="D40" s="82">
        <v>881.68029197932924</v>
      </c>
      <c r="E40" s="82">
        <v>970.99565809148066</v>
      </c>
      <c r="F40" s="27"/>
      <c r="G40" s="28">
        <v>-18.445850173120121</v>
      </c>
      <c r="H40" s="29">
        <v>10.130130720245873</v>
      </c>
    </row>
    <row r="41" spans="1:8" x14ac:dyDescent="0.2">
      <c r="A41" s="30" t="s">
        <v>20</v>
      </c>
      <c r="B41" s="31" t="s">
        <v>3</v>
      </c>
      <c r="C41" s="80">
        <v>336.74564946206692</v>
      </c>
      <c r="D41" s="80">
        <v>470.09847630887197</v>
      </c>
      <c r="E41" s="83">
        <v>540.22073986553698</v>
      </c>
      <c r="F41" s="22" t="s">
        <v>240</v>
      </c>
      <c r="G41" s="23">
        <v>60.423970058265212</v>
      </c>
      <c r="H41" s="24">
        <v>14.916505177224209</v>
      </c>
    </row>
    <row r="42" spans="1:8" x14ac:dyDescent="0.2">
      <c r="A42" s="34"/>
      <c r="B42" s="25" t="s">
        <v>241</v>
      </c>
      <c r="C42" s="82">
        <v>77.607672822421236</v>
      </c>
      <c r="D42" s="82">
        <v>85.688561880227581</v>
      </c>
      <c r="E42" s="82">
        <v>105.84722457311022</v>
      </c>
      <c r="F42" s="27"/>
      <c r="G42" s="38">
        <v>36.38757705736856</v>
      </c>
      <c r="H42" s="24">
        <v>23.52550007906504</v>
      </c>
    </row>
    <row r="43" spans="1:8" x14ac:dyDescent="0.2">
      <c r="A43" s="30" t="s">
        <v>21</v>
      </c>
      <c r="B43" s="31" t="s">
        <v>3</v>
      </c>
      <c r="C43" s="80">
        <v>76.292620688562749</v>
      </c>
      <c r="D43" s="80">
        <v>85.793051935449185</v>
      </c>
      <c r="E43" s="83">
        <v>87.568484570173737</v>
      </c>
      <c r="F43" s="22" t="s">
        <v>240</v>
      </c>
      <c r="G43" s="37">
        <v>14.779756914683333</v>
      </c>
      <c r="H43" s="33">
        <v>2.0694363875298336</v>
      </c>
    </row>
    <row r="44" spans="1:8" x14ac:dyDescent="0.2">
      <c r="A44" s="34"/>
      <c r="B44" s="25" t="s">
        <v>241</v>
      </c>
      <c r="C44" s="82">
        <v>18.605688946730716</v>
      </c>
      <c r="D44" s="82">
        <v>17.545458211196053</v>
      </c>
      <c r="E44" s="82">
        <v>18.926883438171629</v>
      </c>
      <c r="F44" s="27"/>
      <c r="G44" s="28">
        <v>1.7263240956060031</v>
      </c>
      <c r="H44" s="29">
        <v>7.8734063844172937</v>
      </c>
    </row>
    <row r="45" spans="1:8" x14ac:dyDescent="0.2">
      <c r="A45" s="30" t="s">
        <v>22</v>
      </c>
      <c r="B45" s="31" t="s">
        <v>3</v>
      </c>
      <c r="C45" s="80">
        <v>39.469825771610346</v>
      </c>
      <c r="D45" s="80">
        <v>46.335071761348658</v>
      </c>
      <c r="E45" s="83">
        <v>55.418512789095033</v>
      </c>
      <c r="F45" s="22" t="s">
        <v>240</v>
      </c>
      <c r="G45" s="37">
        <v>40.407290140500635</v>
      </c>
      <c r="H45" s="33">
        <v>19.603813445096492</v>
      </c>
    </row>
    <row r="46" spans="1:8" x14ac:dyDescent="0.2">
      <c r="A46" s="34"/>
      <c r="B46" s="25" t="s">
        <v>241</v>
      </c>
      <c r="C46" s="82">
        <v>6.9904888610527616</v>
      </c>
      <c r="D46" s="82">
        <v>9.0864639448986537</v>
      </c>
      <c r="E46" s="82">
        <v>10.492670798833124</v>
      </c>
      <c r="F46" s="27"/>
      <c r="G46" s="28">
        <v>50.099242090100944</v>
      </c>
      <c r="H46" s="29">
        <v>15.475842555056275</v>
      </c>
    </row>
    <row r="47" spans="1:8" x14ac:dyDescent="0.2">
      <c r="A47" s="30" t="s">
        <v>189</v>
      </c>
      <c r="B47" s="31" t="s">
        <v>3</v>
      </c>
      <c r="C47" s="80">
        <v>1408.678178466788</v>
      </c>
      <c r="D47" s="80">
        <v>1289.9056950415593</v>
      </c>
      <c r="E47" s="83">
        <v>1182.4210744521806</v>
      </c>
      <c r="F47" s="22" t="s">
        <v>240</v>
      </c>
      <c r="G47" s="23">
        <v>-16.061660319099047</v>
      </c>
      <c r="H47" s="24">
        <v>-8.3327502934945556</v>
      </c>
    </row>
    <row r="48" spans="1:8" x14ac:dyDescent="0.2">
      <c r="A48" s="30"/>
      <c r="B48" s="25" t="s">
        <v>241</v>
      </c>
      <c r="C48" s="82">
        <v>405.21773178403333</v>
      </c>
      <c r="D48" s="82">
        <v>362.96014930130156</v>
      </c>
      <c r="E48" s="82">
        <v>335.15186065958477</v>
      </c>
      <c r="F48" s="27"/>
      <c r="G48" s="38">
        <v>-17.290919332669091</v>
      </c>
      <c r="H48" s="24">
        <v>-7.6615266704203577</v>
      </c>
    </row>
    <row r="49" spans="1:8" x14ac:dyDescent="0.2">
      <c r="A49" s="39" t="s">
        <v>12</v>
      </c>
      <c r="B49" s="31" t="s">
        <v>3</v>
      </c>
      <c r="C49" s="80">
        <v>31.571571064705406</v>
      </c>
      <c r="D49" s="80">
        <v>26.146742758597334</v>
      </c>
      <c r="E49" s="83">
        <v>22.747387606909697</v>
      </c>
      <c r="F49" s="22" t="s">
        <v>240</v>
      </c>
      <c r="G49" s="37">
        <v>-27.94977620755931</v>
      </c>
      <c r="H49" s="33">
        <v>-13.001065498186733</v>
      </c>
    </row>
    <row r="50" spans="1:8" x14ac:dyDescent="0.2">
      <c r="A50" s="34"/>
      <c r="B50" s="25" t="s">
        <v>241</v>
      </c>
      <c r="C50" s="82">
        <v>5.2715624811219417</v>
      </c>
      <c r="D50" s="82">
        <v>7.9463131053457099</v>
      </c>
      <c r="E50" s="82">
        <v>5.4290210450773451</v>
      </c>
      <c r="F50" s="27"/>
      <c r="G50" s="28">
        <v>2.9869429513408932</v>
      </c>
      <c r="H50" s="29">
        <v>-31.678742416717895</v>
      </c>
    </row>
    <row r="51" spans="1:8" x14ac:dyDescent="0.2">
      <c r="A51" s="39" t="s">
        <v>23</v>
      </c>
      <c r="B51" s="31" t="s">
        <v>3</v>
      </c>
      <c r="C51" s="80">
        <v>368.32905341325863</v>
      </c>
      <c r="D51" s="80">
        <v>385.10912217582603</v>
      </c>
      <c r="E51" s="83">
        <v>384.65072132249958</v>
      </c>
      <c r="F51" s="22" t="s">
        <v>240</v>
      </c>
      <c r="G51" s="23">
        <v>4.431273546843542</v>
      </c>
      <c r="H51" s="24">
        <v>-0.11903141913039406</v>
      </c>
    </row>
    <row r="52" spans="1:8" x14ac:dyDescent="0.2">
      <c r="A52" s="34"/>
      <c r="B52" s="25" t="s">
        <v>241</v>
      </c>
      <c r="C52" s="82">
        <v>85.475388615943416</v>
      </c>
      <c r="D52" s="82">
        <v>88.199655288462111</v>
      </c>
      <c r="E52" s="82">
        <v>88.480712334066169</v>
      </c>
      <c r="F52" s="27"/>
      <c r="G52" s="28">
        <v>3.5160105929745669</v>
      </c>
      <c r="H52" s="29">
        <v>0.31866002728111198</v>
      </c>
    </row>
    <row r="53" spans="1:8" x14ac:dyDescent="0.2">
      <c r="A53" s="30" t="s">
        <v>24</v>
      </c>
      <c r="B53" s="31" t="s">
        <v>3</v>
      </c>
      <c r="C53" s="80">
        <v>832.84936495080444</v>
      </c>
      <c r="D53" s="80">
        <v>823.77461443199422</v>
      </c>
      <c r="E53" s="83">
        <v>1046.9091876568168</v>
      </c>
      <c r="F53" s="22" t="s">
        <v>240</v>
      </c>
      <c r="G53" s="23">
        <v>25.702105532452052</v>
      </c>
      <c r="H53" s="24">
        <v>27.086847459930226</v>
      </c>
    </row>
    <row r="54" spans="1:8" ht="13.5" thickBot="1" x14ac:dyDescent="0.25">
      <c r="A54" s="41"/>
      <c r="B54" s="42" t="s">
        <v>241</v>
      </c>
      <c r="C54" s="86">
        <v>291.17832166098054</v>
      </c>
      <c r="D54" s="86">
        <v>261.61701747968641</v>
      </c>
      <c r="E54" s="86">
        <v>342.95528589149535</v>
      </c>
      <c r="F54" s="44"/>
      <c r="G54" s="45">
        <v>17.781874672249415</v>
      </c>
      <c r="H54" s="46">
        <v>31.090587758926858</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13</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tistikk" ma:contentTypeID="0x0101000C511E5DF31BAD48807550FE88829D9D0038FF55C83469DE4F9B7DCA1B89E318DA" ma:contentTypeVersion="4" ma:contentTypeDescription="" ma:contentTypeScope="" ma:versionID="ca25aed54c960d52022b61f452b943cb">
  <xsd:schema xmlns:xsd="http://www.w3.org/2001/XMLSchema" xmlns:xs="http://www.w3.org/2001/XMLSchema" xmlns:p="http://schemas.microsoft.com/office/2006/metadata/properties" xmlns:ns2="6edf9311-6556-4af2-85ff-d57844cfe120" xmlns:ns3="d35b3e2b-d440-44dd-b9dd-e54a3943adc2" targetNamespace="http://schemas.microsoft.com/office/2006/metadata/properties" ma:root="true" ma:fieldsID="6aaeb2f404abc7033daa625e0dd95337" ns2:_="" ns3:_="">
    <xsd:import namespace="6edf9311-6556-4af2-85ff-d57844cfe120"/>
    <xsd:import namespace="d35b3e2b-d440-44dd-b9dd-e54a3943adc2"/>
    <xsd:element name="properties">
      <xsd:complexType>
        <xsd:sequence>
          <xsd:element name="documentManagement">
            <xsd:complexType>
              <xsd:all>
                <xsd:element ref="ns2:a0e180d50ff4423da66c611fe0af74a4" minOccurs="0"/>
                <xsd:element ref="ns2:TaxCatchAll" minOccurs="0"/>
                <xsd:element ref="ns2:TaxCatchAllLabel"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df9311-6556-4af2-85ff-d57844cfe120" elementFormDefault="qualified">
    <xsd:import namespace="http://schemas.microsoft.com/office/2006/documentManagement/types"/>
    <xsd:import namespace="http://schemas.microsoft.com/office/infopath/2007/PartnerControls"/>
    <xsd:element name="a0e180d50ff4423da66c611fe0af74a4" ma:index="8" ma:taxonomy="true" ma:internalName="a0e180d50ff4423da66c611fe0af74a4" ma:taxonomyFieldName="Statistikk" ma:displayName="Statistikk" ma:indexed="true" ma:default="" ma:fieldId="{a0e180d5-0ff4-423d-a66c-611fe0af74a4}" ma:sspId="dab2b8ef-c951-45bf-a0d0-9b3f2fbb5ccb" ma:termSetId="11bf6401-ff6f-43ab-90c7-9959af6e779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0ebe59-b68a-4ac7-afab-48fa3cf54c5c}" ma:internalName="TaxCatchAll" ma:showField="CatchAllData"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0ebe59-b68a-4ac7-afab-48fa3cf54c5c}" ma:internalName="TaxCatchAllLabel" ma:readOnly="true" ma:showField="CatchAllDataLabel"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kument-ID-verdi" ma:description="Verdien for dokument-IDen som er tilordnet elementet." ma:internalName="_dlc_DocId" ma:readOnly="true">
      <xsd:simpleType>
        <xsd:restriction base="dms:Text"/>
      </xsd:simpleType>
    </xsd:element>
    <xsd:element name="_dlc_DocIdUrl" ma:index="13"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5b3e2b-d440-44dd-b9dd-e54a3943adc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0e180d50ff4423da66c611fe0af74a4 xmlns="6edf9311-6556-4af2-85ff-d57844cfe120">
      <Terms xmlns="http://schemas.microsoft.com/office/infopath/2007/PartnerControls"/>
    </a0e180d50ff4423da66c611fe0af74a4>
    <TaxCatchAll xmlns="6edf9311-6556-4af2-85ff-d57844cfe120" xsi:nil="true"/>
    <_dlc_DocId xmlns="6edf9311-6556-4af2-85ff-d57844cfe120">2020-123998358-352</_dlc_DocId>
    <_dlc_DocIdUrl xmlns="6edf9311-6556-4af2-85ff-d57844cfe120">
      <Url>https://finansnorge.sharepoint.com/sites/intranett/arkiv/_layouts/15/DocIdRedir.aspx?ID=2020-123998358-352</Url>
      <Description>2020-123998358-352</Description>
    </_dlc_DocIdUrl>
  </documentManagement>
</p:properties>
</file>

<file path=customXml/itemProps1.xml><?xml version="1.0" encoding="utf-8"?>
<ds:datastoreItem xmlns:ds="http://schemas.openxmlformats.org/officeDocument/2006/customXml" ds:itemID="{015358BA-5338-4F69-950D-98C3C0C182EC}"/>
</file>

<file path=customXml/itemProps2.xml><?xml version="1.0" encoding="utf-8"?>
<ds:datastoreItem xmlns:ds="http://schemas.openxmlformats.org/officeDocument/2006/customXml" ds:itemID="{EB6BE28E-79D5-42F8-B03E-5CE4DF844788}"/>
</file>

<file path=customXml/itemProps3.xml><?xml version="1.0" encoding="utf-8"?>
<ds:datastoreItem xmlns:ds="http://schemas.openxmlformats.org/officeDocument/2006/customXml" ds:itemID="{766A50ED-0934-4CB1-B49D-86ACEA0DF383}"/>
</file>

<file path=customXml/itemProps4.xml><?xml version="1.0" encoding="utf-8"?>
<ds:datastoreItem xmlns:ds="http://schemas.openxmlformats.org/officeDocument/2006/customXml" ds:itemID="{5E5127EF-34F1-47BC-811D-D0284B702A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2023-06-06T12:37:25Z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0x0101000C511E5DF31BAD48807550FE88829D9D0038FF55C83469DE4F9B7DCA1B89E318DA</vt:lpwstr>
  </property>
  <property fmtid="{D5CDD505-2E9C-101B-9397-08002B2CF9AE}" pid="3" name="_dlc_DocIdItemGuid">
    <vt:lpwstr>5c5219a9-5af4-4a34-8b2a-692b6fdc0879</vt:lpwstr>
  </property>
</Properties>
</file>