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O:\Statistikk og analyse\HMoseby\Kvartalstatistikkene\Skadestatistikk\Rapport\"/>
    </mc:Choice>
  </mc:AlternateContent>
  <xr:revisionPtr revIDLastSave="0" documentId="8_{9B8E8FD6-268A-4CF2-B462-C199C0D22C3F}" xr6:coauthVersionLast="47" xr6:coauthVersionMax="47" xr10:uidLastSave="{00000000-0000-0000-0000-000000000000}"/>
  <bookViews>
    <workbookView xWindow="-120" yWindow="-120" windowWidth="29040" windowHeight="15840" tabRatio="914"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3">'Tab2'!$A$1:$AJ$62</definedName>
    <definedName name="_xlnm.Print_Area" localSheetId="4">'Tab3'!$A$1:$H$62</definedName>
    <definedName name="_xlnm.Print_Area">'Tab9'!$A$4:$H$62</definedName>
    <definedName name="pros_1">'Tab3'!$H$6</definedName>
    <definedName name="pros_2">'Tab3'!$G$6</definedName>
    <definedName name="aar">'Tab3'!$E$6</definedName>
    <definedName name="aar_1">'Tab3'!$D$6</definedName>
    <definedName name="aar_2">'Tab3'!$C$6</definedName>
    <definedName name="aaret_i_alt">'Tab3'!$B$7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27" i="19" l="1"/>
  <c r="T226" i="19"/>
  <c r="T225" i="19"/>
  <c r="T224" i="19"/>
  <c r="T223" i="19"/>
  <c r="T222" i="19"/>
  <c r="T221" i="19"/>
  <c r="Q227" i="19"/>
  <c r="Q226" i="19"/>
  <c r="Q225" i="19"/>
  <c r="Q224" i="19"/>
  <c r="Q223" i="19"/>
  <c r="Q222" i="19"/>
  <c r="Q221" i="19"/>
  <c r="N227" i="19"/>
  <c r="N226" i="19"/>
  <c r="N225" i="19"/>
  <c r="N224" i="19"/>
  <c r="N223" i="19"/>
  <c r="N222" i="19"/>
  <c r="N221" i="19"/>
  <c r="D227" i="19"/>
  <c r="D226" i="19"/>
  <c r="D225" i="19"/>
  <c r="D224" i="19"/>
  <c r="D223" i="19"/>
  <c r="D222" i="19"/>
  <c r="D221" i="19"/>
  <c r="D220" i="19"/>
  <c r="D219" i="19"/>
  <c r="C227" i="19"/>
  <c r="C226" i="19"/>
  <c r="C225" i="19"/>
  <c r="C224" i="19"/>
  <c r="C223" i="19"/>
  <c r="C222" i="19"/>
  <c r="C221" i="19"/>
  <c r="C220" i="19"/>
  <c r="C219" i="19"/>
  <c r="B124" i="21" l="1"/>
  <c r="Y117" i="19" l="1"/>
  <c r="W87" i="19"/>
  <c r="Y85" i="19"/>
  <c r="W82" i="19"/>
  <c r="W100" i="19" s="1"/>
  <c r="W111" i="19" s="1"/>
  <c r="X131" i="19"/>
  <c r="Y82" i="19"/>
  <c r="Y100" i="19" s="1"/>
  <c r="Y111" i="19" s="1"/>
  <c r="X82" i="19"/>
  <c r="X100" i="19" s="1"/>
  <c r="X111" i="19" s="1"/>
  <c r="S231" i="19"/>
  <c r="S229" i="19" s="1"/>
  <c r="R231" i="19"/>
  <c r="R229" i="19" s="1"/>
  <c r="P231" i="19"/>
  <c r="P229" i="19" s="1"/>
  <c r="O231" i="19"/>
  <c r="O229" i="19" s="1"/>
  <c r="M231" i="19"/>
  <c r="M229" i="19" s="1"/>
  <c r="L231" i="19"/>
  <c r="L229" i="19" s="1"/>
  <c r="M230" i="19"/>
  <c r="G230" i="19"/>
  <c r="E230" i="19"/>
  <c r="T220" i="19"/>
  <c r="Q220" i="19"/>
  <c r="N220" i="19"/>
  <c r="T219" i="19"/>
  <c r="Q219" i="19"/>
  <c r="N219" i="19"/>
  <c r="T218" i="19"/>
  <c r="Q218" i="19"/>
  <c r="N218" i="19"/>
  <c r="D218" i="19"/>
  <c r="C218" i="19"/>
  <c r="T217" i="19"/>
  <c r="Q217" i="19"/>
  <c r="N217" i="19"/>
  <c r="D217" i="19"/>
  <c r="C217" i="19"/>
  <c r="T216" i="19"/>
  <c r="Q216" i="19"/>
  <c r="N216" i="19"/>
  <c r="D216" i="19"/>
  <c r="C216" i="19"/>
  <c r="T215" i="19"/>
  <c r="Q215" i="19"/>
  <c r="N215" i="19"/>
  <c r="D215" i="19"/>
  <c r="C215" i="19"/>
  <c r="T214" i="19"/>
  <c r="Q214" i="19"/>
  <c r="N214" i="19"/>
  <c r="D214" i="19"/>
  <c r="C214" i="19"/>
  <c r="T213" i="19"/>
  <c r="Q213" i="19"/>
  <c r="N213" i="19"/>
  <c r="D213" i="19"/>
  <c r="C213" i="19"/>
  <c r="T212" i="19"/>
  <c r="Q212" i="19"/>
  <c r="N212" i="19"/>
  <c r="D212" i="19"/>
  <c r="C212" i="19"/>
  <c r="T211" i="19"/>
  <c r="Q211" i="19"/>
  <c r="N211" i="19"/>
  <c r="D211" i="19"/>
  <c r="C211" i="19"/>
  <c r="T210" i="19"/>
  <c r="Q210" i="19"/>
  <c r="N210" i="19"/>
  <c r="D210" i="19"/>
  <c r="C210" i="19"/>
  <c r="T209" i="19"/>
  <c r="Q209" i="19"/>
  <c r="N209" i="19"/>
  <c r="D209" i="19"/>
  <c r="C209" i="19"/>
  <c r="T208" i="19"/>
  <c r="Q208" i="19"/>
  <c r="N208" i="19"/>
  <c r="D208" i="19"/>
  <c r="C208" i="19"/>
  <c r="T207" i="19"/>
  <c r="Q207" i="19"/>
  <c r="N207" i="19"/>
  <c r="D207" i="19"/>
  <c r="C207" i="19"/>
  <c r="T206" i="19"/>
  <c r="Q206" i="19"/>
  <c r="N206" i="19"/>
  <c r="D206" i="19"/>
  <c r="C206" i="19"/>
  <c r="T205" i="19"/>
  <c r="Q205" i="19"/>
  <c r="N205" i="19"/>
  <c r="D205" i="19"/>
  <c r="C205" i="19"/>
  <c r="T204" i="19"/>
  <c r="Q204" i="19"/>
  <c r="N204" i="19"/>
  <c r="D204" i="19"/>
  <c r="C204" i="19"/>
  <c r="T203"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C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C146" i="19"/>
  <c r="T145" i="19"/>
  <c r="Q145" i="19"/>
  <c r="N145" i="19"/>
  <c r="D145" i="19"/>
  <c r="C145" i="19"/>
  <c r="T144" i="19"/>
  <c r="Q144" i="19"/>
  <c r="N144" i="19"/>
  <c r="D144" i="19"/>
  <c r="C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Y133" i="19"/>
  <c r="X133" i="19"/>
  <c r="W133" i="19"/>
  <c r="T133" i="19"/>
  <c r="Q133" i="19"/>
  <c r="N133" i="19"/>
  <c r="Y132" i="19"/>
  <c r="X132" i="19"/>
  <c r="W132" i="19"/>
  <c r="T132" i="19"/>
  <c r="Q132" i="19"/>
  <c r="N132" i="19"/>
  <c r="D132" i="19"/>
  <c r="D133" i="19" s="1"/>
  <c r="C132" i="19"/>
  <c r="C133" i="19" s="1"/>
  <c r="Y131" i="19"/>
  <c r="W131" i="19"/>
  <c r="T131" i="19"/>
  <c r="Q131" i="19"/>
  <c r="N131" i="19"/>
  <c r="Y130" i="19"/>
  <c r="X130" i="19"/>
  <c r="W130" i="19"/>
  <c r="T130" i="19"/>
  <c r="Q130" i="19"/>
  <c r="N130" i="19"/>
  <c r="Y129" i="19"/>
  <c r="X129" i="19"/>
  <c r="W129" i="19"/>
  <c r="T129" i="19"/>
  <c r="Q129" i="19"/>
  <c r="N129" i="19"/>
  <c r="Y128" i="19"/>
  <c r="X128" i="19"/>
  <c r="W128" i="19"/>
  <c r="T128" i="19"/>
  <c r="Q128" i="19"/>
  <c r="N128" i="19"/>
  <c r="D128" i="19"/>
  <c r="C128" i="19"/>
  <c r="T127" i="19"/>
  <c r="Q127" i="19"/>
  <c r="N127" i="19"/>
  <c r="T126" i="19"/>
  <c r="Q126" i="19"/>
  <c r="N126" i="19"/>
  <c r="Y125" i="19"/>
  <c r="X125" i="19"/>
  <c r="W125" i="19"/>
  <c r="T125" i="19"/>
  <c r="Q125" i="19"/>
  <c r="N125" i="19"/>
  <c r="Y124" i="19"/>
  <c r="X124" i="19"/>
  <c r="W124" i="19"/>
  <c r="T124" i="19"/>
  <c r="Q124" i="19"/>
  <c r="N124" i="19"/>
  <c r="D124" i="19"/>
  <c r="C124" i="19"/>
  <c r="Y123" i="19"/>
  <c r="X123" i="19"/>
  <c r="W123" i="19"/>
  <c r="T123" i="19"/>
  <c r="Q123" i="19"/>
  <c r="N123" i="19"/>
  <c r="Y122" i="19"/>
  <c r="X122" i="19"/>
  <c r="W122" i="19"/>
  <c r="T122" i="19"/>
  <c r="Q122" i="19"/>
  <c r="N122" i="19"/>
  <c r="Y121" i="19"/>
  <c r="X121" i="19"/>
  <c r="W121" i="19"/>
  <c r="T121" i="19"/>
  <c r="Q121" i="19"/>
  <c r="N121" i="19"/>
  <c r="T120" i="19"/>
  <c r="Q120" i="19"/>
  <c r="N120" i="19"/>
  <c r="D120" i="19"/>
  <c r="C120" i="19"/>
  <c r="C121" i="19" s="1"/>
  <c r="C122" i="19" s="1"/>
  <c r="T119" i="19"/>
  <c r="Q119" i="19"/>
  <c r="N119" i="19"/>
  <c r="T118" i="19"/>
  <c r="Q118" i="19"/>
  <c r="N118" i="19"/>
  <c r="X117" i="19"/>
  <c r="W117" i="19"/>
  <c r="T117" i="19"/>
  <c r="Q117" i="19"/>
  <c r="N117" i="19"/>
  <c r="T116" i="19"/>
  <c r="Q116" i="19"/>
  <c r="N116" i="19"/>
  <c r="D116" i="19"/>
  <c r="D117" i="19" s="1"/>
  <c r="D118" i="19" s="1"/>
  <c r="C116" i="19"/>
  <c r="T115" i="19"/>
  <c r="Q115" i="19"/>
  <c r="N115" i="19"/>
  <c r="Y114" i="19"/>
  <c r="X114" i="19"/>
  <c r="W114" i="19"/>
  <c r="T114" i="19"/>
  <c r="Q114" i="19"/>
  <c r="N114" i="19"/>
  <c r="Y113" i="19"/>
  <c r="X113" i="19"/>
  <c r="W113" i="19"/>
  <c r="T113" i="19"/>
  <c r="Q113" i="19"/>
  <c r="N113" i="19"/>
  <c r="Y112" i="19"/>
  <c r="X112" i="19"/>
  <c r="W112"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Y106" i="19"/>
  <c r="X106" i="19"/>
  <c r="W106" i="19"/>
  <c r="T106" i="19"/>
  <c r="Q106" i="19"/>
  <c r="N106" i="19"/>
  <c r="T105" i="19"/>
  <c r="Q105" i="19"/>
  <c r="N105" i="19"/>
  <c r="T104" i="19"/>
  <c r="Q104" i="19"/>
  <c r="N104" i="19"/>
  <c r="Y103" i="19"/>
  <c r="X103" i="19"/>
  <c r="W103" i="19"/>
  <c r="T103" i="19"/>
  <c r="Q103" i="19"/>
  <c r="N103" i="19"/>
  <c r="Y102" i="19"/>
  <c r="X102" i="19"/>
  <c r="W102" i="19"/>
  <c r="N102" i="19"/>
  <c r="Y101" i="19"/>
  <c r="X101" i="19"/>
  <c r="W101" i="19"/>
  <c r="N101" i="19"/>
  <c r="N100" i="19"/>
  <c r="N99" i="19"/>
  <c r="N98" i="19"/>
  <c r="N97" i="19"/>
  <c r="N96" i="19"/>
  <c r="N95" i="19"/>
  <c r="N94" i="19"/>
  <c r="N93" i="19"/>
  <c r="W92" i="19"/>
  <c r="N92" i="19"/>
  <c r="Y91" i="19"/>
  <c r="W91" i="19"/>
  <c r="N91" i="19"/>
  <c r="Y90" i="19"/>
  <c r="X90" i="19"/>
  <c r="W90" i="19"/>
  <c r="N90" i="19"/>
  <c r="Y89" i="19"/>
  <c r="X89" i="19"/>
  <c r="W89" i="19"/>
  <c r="N89" i="19"/>
  <c r="Y88" i="19"/>
  <c r="X88" i="19"/>
  <c r="N88" i="19"/>
  <c r="Y87" i="19"/>
  <c r="X87" i="19"/>
  <c r="N87" i="19"/>
  <c r="Y86" i="19"/>
  <c r="X86" i="19"/>
  <c r="W86" i="19"/>
  <c r="N86" i="19"/>
  <c r="X85" i="19"/>
  <c r="W85" i="19"/>
  <c r="N85" i="19"/>
  <c r="Y84" i="19"/>
  <c r="X84" i="19"/>
  <c r="W84" i="19"/>
  <c r="N84" i="19"/>
  <c r="Y83" i="19"/>
  <c r="X83" i="19"/>
  <c r="W83" i="19"/>
  <c r="N83" i="19"/>
  <c r="N82" i="19"/>
  <c r="N81" i="19"/>
  <c r="N80" i="19"/>
  <c r="N79" i="19"/>
  <c r="N78" i="19"/>
  <c r="Z77" i="19"/>
  <c r="Y77" i="19"/>
  <c r="X77" i="19"/>
  <c r="N77" i="19"/>
  <c r="Z76" i="19"/>
  <c r="Y76" i="19"/>
  <c r="X76" i="19"/>
  <c r="N76" i="19"/>
  <c r="Z75" i="19"/>
  <c r="Y75" i="19"/>
  <c r="X75" i="19"/>
  <c r="N75" i="19"/>
  <c r="Z74" i="19"/>
  <c r="Y74" i="19"/>
  <c r="X74" i="19"/>
  <c r="N74" i="19"/>
  <c r="N73" i="19"/>
  <c r="Z72" i="19"/>
  <c r="Y72" i="19"/>
  <c r="X72" i="19"/>
  <c r="N72" i="19"/>
  <c r="N71" i="19"/>
  <c r="Z70" i="19"/>
  <c r="Y70" i="19"/>
  <c r="X70" i="19"/>
  <c r="P62" i="19"/>
  <c r="I62" i="19"/>
  <c r="P61" i="19"/>
  <c r="AD32" i="19"/>
  <c r="B20" i="21" s="1"/>
  <c r="W32" i="19"/>
  <c r="B18" i="21" s="1"/>
  <c r="P32" i="19"/>
  <c r="B16" i="21" s="1"/>
  <c r="I32" i="19"/>
  <c r="B14" i="21" s="1"/>
  <c r="A32" i="19"/>
  <c r="B12" i="21" s="1"/>
  <c r="AD6" i="19"/>
  <c r="B19" i="21" s="1"/>
  <c r="W6" i="19"/>
  <c r="B17" i="21" s="1"/>
  <c r="I6" i="19"/>
  <c r="B13" i="21" s="1"/>
  <c r="A6" i="19"/>
  <c r="B11" i="21" s="1"/>
  <c r="A52" i="23"/>
  <c r="B123" i="21"/>
  <c r="H24" i="21"/>
  <c r="H26" i="21" s="1"/>
  <c r="B15" i="21"/>
  <c r="X78" i="19" l="1"/>
  <c r="X115" i="19"/>
  <c r="W115" i="19"/>
  <c r="Y78" i="19"/>
  <c r="Y104" i="19"/>
  <c r="Y115" i="19"/>
  <c r="W104" i="19"/>
  <c r="Z78" i="19"/>
  <c r="X104" i="19"/>
  <c r="H27" i="21"/>
  <c r="H28" i="21"/>
  <c r="H29" i="21" s="1"/>
  <c r="H31" i="21" s="1"/>
  <c r="Y92" i="19"/>
  <c r="Y93" i="19" s="1"/>
  <c r="Y95" i="19" s="1"/>
  <c r="H52" i="24"/>
  <c r="A52" i="24"/>
  <c r="W88" i="19"/>
  <c r="W93" i="19" s="1"/>
  <c r="W95" i="19" s="1"/>
  <c r="W61" i="19"/>
  <c r="H53" i="24"/>
  <c r="A53" i="24"/>
  <c r="AD61" i="19"/>
  <c r="X92" i="19"/>
  <c r="C125" i="19"/>
  <c r="C126" i="19" s="1"/>
  <c r="C129" i="19"/>
  <c r="C130" i="19" s="1"/>
  <c r="B61" i="21"/>
  <c r="B62" i="21"/>
  <c r="A51" i="23"/>
  <c r="A62" i="19"/>
  <c r="D125" i="19"/>
  <c r="D126" i="19" s="1"/>
  <c r="D129" i="19"/>
  <c r="D130" i="19" s="1"/>
  <c r="D121" i="19"/>
  <c r="D122" i="19" s="1"/>
  <c r="A61" i="19"/>
  <c r="W62" i="19"/>
  <c r="X91" i="19"/>
  <c r="X93" i="19" s="1"/>
  <c r="X95" i="19" s="1"/>
  <c r="I61" i="19"/>
  <c r="AD62" i="19"/>
  <c r="C117" i="19"/>
  <c r="C118" i="19" s="1"/>
  <c r="H33" i="21" l="1"/>
  <c r="H34" i="21" s="1"/>
  <c r="H35" i="21" s="1"/>
  <c r="H36" i="21" s="1"/>
  <c r="H37" i="21" s="1"/>
  <c r="H38" i="21" s="1"/>
  <c r="H40" i="21" s="1"/>
  <c r="H32" i="21"/>
  <c r="R230" i="19"/>
  <c r="O230" i="19"/>
  <c r="P230" i="19"/>
  <c r="L230" i="19"/>
  <c r="S230" i="19"/>
  <c r="H43" i="21" l="1"/>
  <c r="H41" i="21"/>
  <c r="H45" i="21" l="1"/>
  <c r="H46" i="21" s="1"/>
  <c r="H47" i="21" s="1"/>
  <c r="H48" i="21" s="1"/>
  <c r="H66" i="21" s="1"/>
  <c r="H67" i="21" s="1"/>
  <c r="H68" i="21" s="1"/>
  <c r="H69" i="21" s="1"/>
  <c r="H70" i="21" s="1"/>
  <c r="H71" i="21" s="1"/>
  <c r="H73" i="21" s="1"/>
  <c r="H74" i="21" s="1"/>
  <c r="H75" i="21" s="1"/>
  <c r="H76" i="21" s="1"/>
  <c r="H77" i="21" s="1"/>
  <c r="H78" i="21" s="1"/>
  <c r="H80" i="21" s="1"/>
  <c r="H44" i="21"/>
</calcChain>
</file>

<file path=xl/sharedStrings.xml><?xml version="1.0" encoding="utf-8"?>
<sst xmlns="http://schemas.openxmlformats.org/spreadsheetml/2006/main" count="1536" uniqueCount="244">
  <si>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</si>
  <si>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</si>
  <si>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</si>
  <si>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</si>
  <si>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</si>
  <si>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</si>
  <si>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</si>
  <si>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</si>
  <si>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</si>
  <si>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</si>
  <si>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</si>
  <si>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</si>
  <si>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</si>
  <si>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</si>
  <si>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</si>
  <si>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</si>
  <si>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</si>
  <si>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</si>
  <si>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</si>
  <si>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</si>
  <si>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</si>
  <si>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</si>
  <si>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</si>
  <si>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</si>
  <si>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</si>
  <si>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</si>
  <si>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</si>
  <si>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</si>
  <si>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</si>
  <si>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</si>
  <si>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</si>
  <si>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</si>
  <si>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</si>
  <si>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</si>
  <si>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</si>
  <si>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</si>
  <si>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</si>
  <si>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</si>
  <si>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</si>
  <si>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</si>
  <si>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</si>
  <si>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</si>
  <si>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</si>
  <si>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</si>
  <si>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</si>
  <si>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</si>
  <si>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</si>
  <si>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</si>
  <si>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</si>
  <si>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</si>
  <si>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</si>
  <si>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</si>
  <si>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</si>
  <si>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</si>
  <si>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</si>
  <si>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</si>
  <si>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</si>
  <si>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</si>
  <si>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</si>
  <si>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</si>
  <si>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</si>
  <si>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</si>
  <si>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</si>
  <si>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</si>
  <si>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</si>
  <si>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</si>
  <si>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</si>
  <si>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</si>
  <si>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</si>
  <si>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</si>
  <si>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</si>
  <si>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</si>
  <si>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</si>
  <si>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</si>
  <si>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</si>
  <si>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</si>
  <si>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</si>
  <si>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</si>
  <si>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</si>
  <si>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</si>
  <si>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</si>
  <si>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</si>
  <si>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</si>
  <si>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</si>
  <si>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</si>
  <si>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</si>
  <si>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</si>
  <si>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</si>
  <si>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</si>
  <si>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</si>
  <si>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</si>
  <si>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</si>
  <si>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</si>
  <si>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</si>
  <si>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</si>
  <si>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</si>
  <si>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</si>
  <si>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</si>
  <si>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</si>
  <si>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</si>
  <si>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</si>
  <si>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</si>
  <si>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</si>
  <si>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</si>
  <si>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</si>
  <si>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</si>
  <si>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</si>
  <si>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</si>
  <si>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</si>
  <si>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</si>
  <si>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</si>
  <si>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</si>
  <si>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</si>
  <si>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</si>
  <si>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</si>
  <si>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</si>
  <si>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</si>
  <si>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</si>
  <si>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</si>
  <si>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</si>
  <si>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</si>
  <si>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</si>
  <si>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</si>
  <si>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</si>
  <si>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</si>
  <si>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</si>
  <si>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</si>
  <si>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</si>
  <si>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</si>
  <si>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</si>
  <si>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</si>
  <si>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</si>
  <si>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</si>
  <si>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</si>
  <si>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</si>
  <si>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</si>
  <si>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</si>
  <si>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</si>
  <si>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</si>
  <si>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</si>
  <si>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</si>
  <si>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</si>
  <si>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</si>
  <si>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</si>
  <si>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</si>
  <si>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</si>
  <si>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</si>
  <si>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</si>
  <si>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</si>
  <si>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</si>
  <si>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</si>
  <si>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</si>
  <si>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</si>
  <si>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</si>
  <si>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</si>
  <si>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</si>
  <si>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</si>
  <si>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</si>
  <si>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</si>
  <si>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</si>
  <si>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</si>
  <si>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</si>
  <si>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</si>
  <si>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</si>
  <si>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</si>
  <si>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</si>
  <si>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</si>
  <si>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</si>
  <si>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</si>
  <si>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</si>
  <si>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</si>
  <si>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</si>
  <si>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</si>
  <si>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</si>
  <si>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</si>
  <si>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</si>
  <si>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</si>
  <si>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</si>
  <si>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</si>
  <si>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</si>
  <si>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</si>
  <si>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</si>
  <si>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</si>
  <si>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</si>
  <si>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</si>
  <si>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</si>
  <si>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</si>
  <si>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</si>
  <si>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</si>
  <si>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</si>
  <si>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</si>
  <si>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</si>
  <si>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</si>
  <si>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</si>
  <si>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</si>
  <si>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</si>
  <si>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</si>
  <si>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</si>
  <si>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</si>
  <si>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</si>
  <si>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</si>
  <si>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</si>
  <si>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</si>
  <si>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</si>
  <si>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</si>
  <si>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</si>
  <si>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</si>
  <si>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</si>
  <si>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</si>
  <si>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</si>
  <si>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</si>
  <si>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</si>
  <si>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</si>
  <si>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</si>
  <si>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</si>
  <si>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</si>
  <si>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</si>
  <si>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</si>
  <si>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</si>
  <si>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</si>
  <si>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</si>
  <si>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</si>
  <si>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</si>
  <si>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</si>
  <si>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</si>
  <si>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</si>
  <si>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</si>
  <si>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</si>
  <si>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</si>
  <si>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</si>
  <si>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Fysioterapeut/kiropraktor</t>
  </si>
  <si>
    <t xml:space="preserve">NB. Datagrunnlaget er levert fra Finans Norges medlemsselskaper. Enkelte tall kan bli justert i </t>
  </si>
  <si>
    <t xml:space="preserve">etterkant dersom et selskap oppdager feil eller mangler ved sine data. For mer detaljert beskrivelse </t>
  </si>
  <si>
    <t>av statistikkens innhold henviser vi til punkt 4. Prinsipper, begreper og definisjoner på side 27.</t>
  </si>
  <si>
    <t>(2021)</t>
  </si>
  <si>
    <t>2020</t>
  </si>
  <si>
    <t>2021</t>
  </si>
  <si>
    <t>2022</t>
  </si>
  <si>
    <t>20-22</t>
  </si>
  <si>
    <t>21-22</t>
  </si>
  <si>
    <t>*</t>
  </si>
  <si>
    <t>Hittil i år</t>
  </si>
  <si>
    <t>Finans Norge / Skadeforsikringsstatistikk</t>
  </si>
  <si>
    <t>Skadestatistikk for landbasert forsikring 1. kvartal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</si>
</sst>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_(* #,##0.00_);_(* \(#,##0.00\);_(* &quot;-&quot;??_);_(@_)"/>
    <numFmt numFmtId="166" formatCode="0.0_)"/>
    <numFmt numFmtId="167" formatCode="#,##0.0"/>
    <numFmt numFmtId="168" formatCode="_ * #,##0_ ;_ * \-#,##0_ ;_ * &quot;-&quot;??_ ;_ @_ "/>
    <numFmt numFmtId="169" formatCode="0.0"/>
    <numFmt numFmtId="170" formatCode="0.000"/>
    <numFmt numFmtId="171" formatCode="#,##0.000"/>
    <numFmt numFmtId="172" formatCode="_(* #,##0.0_);_(* \(#,##0.0\);_(* &quot;-&quot;??_);_(@_)"/>
  </numFmts>
  <fonts count="43"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u/>
      <sz val="10"/>
      <name val="Arial"/>
      <family val="2"/>
    </font>
    <font>
      <u/>
      <sz val="12"/>
      <name val="System"/>
      <family val="2"/>
    </font>
    <font>
      <sz val="10"/>
      <color theme="0"/>
      <name val="Times New Roman"/>
      <family val="1"/>
    </font>
    <font>
      <b/>
      <sz val="10"/>
      <color theme="0"/>
      <name val="Times New Roman"/>
      <family val="1"/>
    </font>
    <font>
      <b/>
      <sz val="10"/>
      <color theme="0"/>
      <name val="Arial"/>
      <family val="2"/>
    </font>
    <font>
      <sz val="10"/>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7">
    <xf numFmtId="0" fontId="0"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3" fillId="0" borderId="0"/>
    <xf numFmtId="0" fontId="3" fillId="0" borderId="0"/>
  </cellStyleXfs>
  <cellXfs count="222">
    <xf numFmtId="0" fontId="0" fillId="0" borderId="0" xfId="0"/>
    <xf numFmtId="0" fontId="5" fillId="0" borderId="0" xfId="0" applyFont="1"/>
    <xf numFmtId="0" fontId="5" fillId="0" borderId="0" xfId="0" applyFont="1" applyAlignment="1" applyProtection="1">
      <alignment horizontal="left"/>
    </xf>
    <xf numFmtId="0" fontId="6" fillId="0" borderId="0" xfId="2" applyFont="1" applyAlignment="1" applyProtection="1">
      <alignment horizontal="left"/>
    </xf>
    <xf numFmtId="0" fontId="7" fillId="2" borderId="0" xfId="0" applyFont="1" applyFill="1" applyBorder="1"/>
    <xf numFmtId="166"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8" fontId="8" fillId="0" borderId="11" xfId="1" applyNumberFormat="1" applyFont="1" applyBorder="1" applyAlignment="1" applyProtection="1">
      <alignment horizontal="right"/>
    </xf>
    <xf numFmtId="166" fontId="8" fillId="0" borderId="0" xfId="0" applyNumberFormat="1" applyFont="1" applyAlignment="1" applyProtection="1">
      <alignment horizontal="right"/>
    </xf>
    <xf numFmtId="166"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8" fontId="8" fillId="0" borderId="13" xfId="1" applyNumberFormat="1" applyFont="1" applyBorder="1" applyProtection="1"/>
    <xf numFmtId="166" fontId="8" fillId="0" borderId="14" xfId="0" applyNumberFormat="1" applyFont="1" applyBorder="1" applyAlignment="1" applyProtection="1">
      <alignment horizontal="right"/>
    </xf>
    <xf numFmtId="166" fontId="8" fillId="0" borderId="15" xfId="0" applyNumberFormat="1" applyFont="1" applyBorder="1" applyAlignment="1">
      <alignment horizontal="right"/>
    </xf>
    <xf numFmtId="0" fontId="8" fillId="0" borderId="16" xfId="0" applyFont="1" applyBorder="1"/>
    <xf numFmtId="0" fontId="8" fillId="0" borderId="11" xfId="0" applyFont="1" applyBorder="1"/>
    <xf numFmtId="166" fontId="8" fillId="0" borderId="17" xfId="0" applyNumberFormat="1" applyFont="1" applyBorder="1" applyAlignment="1" applyProtection="1">
      <alignment horizontal="right"/>
    </xf>
    <xf numFmtId="166" fontId="8" fillId="0" borderId="18" xfId="0" applyNumberFormat="1" applyFont="1" applyBorder="1" applyAlignment="1">
      <alignment horizontal="right"/>
    </xf>
    <xf numFmtId="0" fontId="8" fillId="0" borderId="19" xfId="0" applyFont="1" applyBorder="1"/>
    <xf numFmtId="166" fontId="8" fillId="0" borderId="20" xfId="0" applyNumberFormat="1" applyFont="1" applyBorder="1" applyAlignment="1" applyProtection="1">
      <alignment horizontal="right"/>
    </xf>
    <xf numFmtId="3" fontId="8" fillId="0" borderId="21" xfId="1" applyNumberFormat="1" applyFont="1" applyBorder="1" applyProtection="1"/>
    <xf numFmtId="166" fontId="8" fillId="0" borderId="21" xfId="0" applyNumberFormat="1" applyFont="1" applyBorder="1" applyAlignment="1" applyProtection="1">
      <alignment horizontal="right"/>
    </xf>
    <xf numFmtId="166"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8" fontId="8" fillId="0" borderId="24" xfId="1" applyNumberFormat="1" applyFont="1" applyBorder="1" applyProtection="1"/>
    <xf numFmtId="166" fontId="8" fillId="0" borderId="26" xfId="0" applyNumberFormat="1" applyFont="1" applyBorder="1" applyAlignment="1" applyProtection="1">
      <alignment horizontal="right"/>
    </xf>
    <xf numFmtId="166" fontId="8" fillId="0" borderId="27" xfId="0" applyNumberFormat="1" applyFont="1" applyBorder="1" applyAlignment="1">
      <alignment horizontal="right"/>
    </xf>
    <xf numFmtId="0" fontId="12" fillId="0" borderId="0" xfId="0" applyFont="1" applyBorder="1"/>
    <xf numFmtId="0" fontId="13" fillId="0" borderId="0" xfId="0" applyFont="1" applyBorder="1"/>
    <xf numFmtId="168" fontId="5" fillId="0" borderId="0" xfId="1" applyNumberFormat="1" applyFont="1" applyBorder="1" applyProtection="1"/>
    <xf numFmtId="166" fontId="5" fillId="0" borderId="0" xfId="0" applyNumberFormat="1" applyFont="1" applyBorder="1" applyAlignment="1" applyProtection="1">
      <alignment horizontal="right"/>
    </xf>
    <xf numFmtId="166"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8" fontId="5" fillId="0" borderId="0" xfId="1" applyNumberFormat="1" applyFont="1" applyBorder="1" applyAlignment="1" applyProtection="1">
      <alignment horizontal="center"/>
    </xf>
    <xf numFmtId="0" fontId="8" fillId="0" borderId="23" xfId="0" applyFont="1" applyBorder="1"/>
    <xf numFmtId="166" fontId="8" fillId="0" borderId="25" xfId="0" applyNumberFormat="1" applyFont="1" applyBorder="1" applyAlignment="1" applyProtection="1">
      <alignment horizontal="right"/>
    </xf>
    <xf numFmtId="0" fontId="8" fillId="0" borderId="0" xfId="0" applyFont="1" applyBorder="1"/>
    <xf numFmtId="168" fontId="8" fillId="0" borderId="0" xfId="1" applyNumberFormat="1" applyFont="1" applyBorder="1" applyAlignment="1" applyProtection="1">
      <alignment horizontal="right"/>
    </xf>
    <xf numFmtId="166" fontId="8" fillId="0" borderId="0" xfId="0" applyNumberFormat="1" applyFont="1" applyBorder="1" applyAlignment="1">
      <alignment horizontal="right"/>
    </xf>
    <xf numFmtId="0" fontId="5" fillId="0" borderId="0" xfId="0" applyFont="1" applyBorder="1"/>
    <xf numFmtId="0" fontId="11" fillId="0" borderId="0" xfId="0" applyFont="1" applyBorder="1"/>
    <xf numFmtId="168"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7" fontId="8" fillId="0" borderId="0" xfId="1" applyNumberFormat="1" applyFont="1" applyProtection="1"/>
    <xf numFmtId="167" fontId="8" fillId="0" borderId="28" xfId="1" applyNumberFormat="1" applyFont="1" applyBorder="1" applyProtection="1"/>
    <xf numFmtId="167" fontId="8" fillId="0" borderId="14" xfId="1" applyNumberFormat="1" applyFont="1" applyBorder="1" applyProtection="1"/>
    <xf numFmtId="167" fontId="8" fillId="0" borderId="0" xfId="1" applyNumberFormat="1" applyFont="1" applyBorder="1" applyProtection="1"/>
    <xf numFmtId="167" fontId="8" fillId="0" borderId="21" xfId="1" applyNumberFormat="1" applyFont="1" applyBorder="1" applyProtection="1"/>
    <xf numFmtId="167" fontId="8" fillId="0" borderId="0" xfId="1" applyNumberFormat="1" applyFont="1"/>
    <xf numFmtId="167"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24" fillId="0" borderId="0" xfId="0" applyFont="1"/>
    <xf numFmtId="167" fontId="5" fillId="0" borderId="0" xfId="0" applyNumberFormat="1" applyFont="1"/>
    <xf numFmtId="0" fontId="21" fillId="0" borderId="0" xfId="0" quotePrefix="1" applyFont="1"/>
    <xf numFmtId="3" fontId="8" fillId="0" borderId="0" xfId="1" quotePrefix="1" applyNumberFormat="1" applyFont="1" applyBorder="1" applyProtection="1"/>
    <xf numFmtId="168" fontId="5" fillId="0" borderId="0" xfId="1" quotePrefix="1" applyNumberFormat="1" applyFont="1" applyBorder="1" applyProtection="1"/>
    <xf numFmtId="0" fontId="5" fillId="0" borderId="0" xfId="4" applyFont="1"/>
    <xf numFmtId="0" fontId="5" fillId="0" borderId="0" xfId="4" applyFont="1" applyAlignment="1" applyProtection="1">
      <alignment horizontal="left"/>
    </xf>
    <xf numFmtId="0" fontId="7" fillId="2" borderId="0" xfId="4" applyFont="1" applyFill="1" applyBorder="1"/>
    <xf numFmtId="166" fontId="8" fillId="0" borderId="0" xfId="4" applyNumberFormat="1" applyFont="1" applyProtection="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6" fontId="8" fillId="0" borderId="0" xfId="4" applyNumberFormat="1" applyFont="1" applyAlignment="1" applyProtection="1">
      <alignment horizontal="right"/>
    </xf>
    <xf numFmtId="166" fontId="8" fillId="0" borderId="12" xfId="4" applyNumberFormat="1" applyFont="1" applyBorder="1" applyAlignment="1">
      <alignment horizontal="right"/>
    </xf>
    <xf numFmtId="0" fontId="11" fillId="0" borderId="13" xfId="4" applyFont="1" applyBorder="1"/>
    <xf numFmtId="166" fontId="8" fillId="0" borderId="14" xfId="4" applyNumberFormat="1" applyFont="1" applyBorder="1" applyAlignment="1" applyProtection="1">
      <alignment horizontal="right"/>
    </xf>
    <xf numFmtId="166" fontId="8" fillId="0" borderId="15" xfId="4" applyNumberFormat="1" applyFont="1" applyBorder="1" applyAlignment="1">
      <alignment horizontal="right"/>
    </xf>
    <xf numFmtId="0" fontId="8" fillId="0" borderId="16" xfId="4" applyFont="1" applyBorder="1"/>
    <xf numFmtId="0" fontId="8" fillId="0" borderId="11" xfId="4" applyFont="1" applyBorder="1"/>
    <xf numFmtId="166" fontId="8" fillId="0" borderId="17" xfId="4" applyNumberFormat="1" applyFont="1" applyBorder="1" applyAlignment="1" applyProtection="1">
      <alignment horizontal="right"/>
    </xf>
    <xf numFmtId="166" fontId="8" fillId="0" borderId="18" xfId="4" applyNumberFormat="1" applyFont="1" applyBorder="1" applyAlignment="1">
      <alignment horizontal="right"/>
    </xf>
    <xf numFmtId="0" fontId="8" fillId="0" borderId="19" xfId="4" applyFont="1" applyBorder="1"/>
    <xf numFmtId="166" fontId="8" fillId="0" borderId="20" xfId="4" applyNumberFormat="1" applyFont="1" applyBorder="1" applyAlignment="1" applyProtection="1">
      <alignment horizontal="right"/>
    </xf>
    <xf numFmtId="166" fontId="8" fillId="0" borderId="21" xfId="4" applyNumberFormat="1" applyFont="1" applyBorder="1" applyAlignment="1" applyProtection="1">
      <alignment horizontal="right"/>
    </xf>
    <xf numFmtId="166" fontId="8" fillId="0" borderId="0" xfId="4" applyNumberFormat="1" applyFont="1" applyBorder="1" applyAlignment="1" applyProtection="1">
      <alignment horizontal="right"/>
    </xf>
    <xf numFmtId="0" fontId="8" fillId="0" borderId="22" xfId="4" applyFont="1" applyBorder="1"/>
    <xf numFmtId="0" fontId="5" fillId="0" borderId="0" xfId="4" applyFont="1" applyBorder="1"/>
    <xf numFmtId="0" fontId="8" fillId="0" borderId="23" xfId="4" applyFont="1" applyBorder="1"/>
    <xf numFmtId="0" fontId="11" fillId="0" borderId="24" xfId="4" applyFont="1" applyBorder="1"/>
    <xf numFmtId="166" fontId="8" fillId="0" borderId="25" xfId="4" applyNumberFormat="1" applyFont="1" applyBorder="1" applyAlignment="1" applyProtection="1">
      <alignment horizontal="right"/>
    </xf>
    <xf numFmtId="166" fontId="8" fillId="0" borderId="27" xfId="4" applyNumberFormat="1" applyFont="1" applyBorder="1" applyAlignment="1">
      <alignment horizontal="right"/>
    </xf>
    <xf numFmtId="0" fontId="8" fillId="0" borderId="0" xfId="4" applyFont="1" applyBorder="1"/>
    <xf numFmtId="166" fontId="8" fillId="0" borderId="0" xfId="4" applyNumberFormat="1" applyFont="1" applyBorder="1" applyAlignment="1">
      <alignment horizontal="right"/>
    </xf>
    <xf numFmtId="0" fontId="9" fillId="0" borderId="0" xfId="4" applyFont="1" applyBorder="1"/>
    <xf numFmtId="0" fontId="11" fillId="0" borderId="0" xfId="4" applyFont="1" applyBorder="1"/>
    <xf numFmtId="0" fontId="12" fillId="0" borderId="0" xfId="4" applyFont="1" applyBorder="1"/>
    <xf numFmtId="0" fontId="13" fillId="0" borderId="0" xfId="4" applyFont="1" applyBorder="1"/>
    <xf numFmtId="166" fontId="5" fillId="0" borderId="0" xfId="4" applyNumberFormat="1" applyFont="1" applyBorder="1" applyAlignment="1" applyProtection="1">
      <alignment horizontal="right"/>
    </xf>
    <xf numFmtId="166" fontId="5" fillId="0" borderId="0" xfId="4" applyNumberFormat="1" applyFont="1" applyBorder="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7" fillId="0" borderId="0" xfId="3" applyFont="1" applyAlignment="1" applyProtection="1"/>
    <xf numFmtId="0" fontId="38" fillId="0" borderId="0" xfId="2" applyFont="1" applyAlignment="1" applyProtection="1">
      <alignment horizontal="left"/>
    </xf>
    <xf numFmtId="0" fontId="13" fillId="0" borderId="0" xfId="0" applyFont="1"/>
    <xf numFmtId="0" fontId="13" fillId="0" borderId="6" xfId="0" applyFont="1" applyBorder="1"/>
    <xf numFmtId="0" fontId="26" fillId="0" borderId="0" xfId="15" applyFont="1"/>
    <xf numFmtId="0" fontId="3" fillId="0" borderId="0" xfId="15"/>
    <xf numFmtId="0" fontId="0" fillId="0" borderId="0" xfId="15" applyFont="1"/>
    <xf numFmtId="0" fontId="27" fillId="0" borderId="0" xfId="15" applyFont="1" applyAlignment="1">
      <alignment horizontal="right"/>
    </xf>
    <xf numFmtId="0" fontId="3" fillId="0" borderId="0" xfId="16"/>
    <xf numFmtId="0" fontId="29" fillId="0" borderId="0" xfId="15" applyFont="1" applyAlignment="1">
      <alignment horizontal="left"/>
    </xf>
    <xf numFmtId="0" fontId="32" fillId="0" borderId="0" xfId="15" applyFont="1" applyAlignment="1">
      <alignment horizontal="left"/>
    </xf>
    <xf numFmtId="0" fontId="20" fillId="0" borderId="0" xfId="16" applyFont="1" applyAlignment="1">
      <alignment horizontal="left"/>
    </xf>
    <xf numFmtId="0" fontId="10" fillId="0" borderId="0" xfId="15" applyFont="1" applyAlignment="1">
      <alignment horizontal="right"/>
    </xf>
    <xf numFmtId="0" fontId="3" fillId="0" borderId="0" xfId="15" applyAlignment="1">
      <alignment horizontal="right"/>
    </xf>
    <xf numFmtId="0" fontId="30" fillId="0" borderId="0" xfId="15" applyFont="1" applyAlignment="1">
      <alignment horizontal="left"/>
    </xf>
    <xf numFmtId="14" fontId="31" fillId="0" borderId="0" xfId="15" applyNumberFormat="1" applyFont="1" applyAlignment="1">
      <alignment horizontal="left"/>
    </xf>
    <xf numFmtId="0" fontId="31" fillId="0" borderId="0" xfId="15" applyFont="1" applyAlignment="1">
      <alignment horizontal="left"/>
    </xf>
    <xf numFmtId="0" fontId="33" fillId="0" borderId="0" xfId="16" applyFont="1" applyAlignment="1">
      <alignment vertical="center"/>
    </xf>
    <xf numFmtId="0" fontId="34" fillId="0" borderId="0" xfId="16" applyFont="1" applyAlignment="1">
      <alignment vertical="center"/>
    </xf>
    <xf numFmtId="0" fontId="35" fillId="0" borderId="0" xfId="16" applyFont="1"/>
    <xf numFmtId="14" fontId="28" fillId="0" borderId="0" xfId="15" applyNumberFormat="1" applyFont="1"/>
    <xf numFmtId="14" fontId="36" fillId="0" borderId="0" xfId="15" applyNumberFormat="1" applyFont="1" applyAlignment="1">
      <alignment horizontal="right"/>
    </xf>
    <xf numFmtId="0" fontId="39" fillId="0" borderId="0" xfId="0" applyFont="1"/>
    <xf numFmtId="0" fontId="40" fillId="0" borderId="0" xfId="0" applyFont="1" applyAlignment="1">
      <alignment horizontal="right"/>
    </xf>
    <xf numFmtId="0" fontId="41" fillId="0" borderId="0" xfId="0" applyFont="1"/>
    <xf numFmtId="0" fontId="42" fillId="0" borderId="0" xfId="0" applyFont="1"/>
    <xf numFmtId="0" fontId="40" fillId="0" borderId="0" xfId="0" applyFont="1"/>
    <xf numFmtId="0" fontId="40" fillId="0" borderId="0" xfId="0" quotePrefix="1" applyFont="1"/>
    <xf numFmtId="0" fontId="39" fillId="0" borderId="0" xfId="0" applyFont="1" applyAlignment="1">
      <alignment horizontal="right"/>
    </xf>
    <xf numFmtId="1" fontId="42" fillId="0" borderId="0" xfId="0" applyNumberFormat="1" applyFont="1"/>
    <xf numFmtId="172" fontId="39" fillId="0" borderId="0" xfId="1" applyNumberFormat="1" applyFont="1"/>
    <xf numFmtId="3" fontId="39" fillId="0" borderId="0" xfId="0" applyNumberFormat="1" applyFont="1"/>
    <xf numFmtId="167" fontId="39" fillId="0" borderId="0" xfId="0" applyNumberFormat="1" applyFont="1"/>
    <xf numFmtId="169" fontId="42" fillId="0" borderId="0" xfId="0" applyNumberFormat="1" applyFont="1"/>
    <xf numFmtId="170" fontId="42" fillId="0" borderId="0" xfId="0" applyNumberFormat="1" applyFont="1"/>
    <xf numFmtId="167" fontId="42" fillId="0" borderId="0" xfId="0" applyNumberFormat="1" applyFont="1"/>
    <xf numFmtId="3" fontId="42" fillId="0" borderId="0" xfId="0" applyNumberFormat="1" applyFont="1"/>
    <xf numFmtId="168" fontId="42" fillId="0" borderId="0" xfId="1" applyNumberFormat="1" applyFont="1"/>
    <xf numFmtId="167" fontId="42" fillId="0" borderId="0" xfId="1" applyNumberFormat="1" applyFont="1"/>
    <xf numFmtId="172" fontId="42" fillId="0" borderId="0" xfId="1" applyNumberFormat="1" applyFont="1"/>
    <xf numFmtId="170" fontId="39" fillId="0" borderId="0" xfId="0" applyNumberFormat="1" applyFont="1"/>
    <xf numFmtId="3" fontId="39" fillId="0" borderId="0" xfId="0" applyNumberFormat="1" applyFont="1" applyBorder="1"/>
    <xf numFmtId="167" fontId="39" fillId="0" borderId="0" xfId="0" applyNumberFormat="1" applyFont="1" applyBorder="1"/>
    <xf numFmtId="171" fontId="39" fillId="0" borderId="0" xfId="0" applyNumberFormat="1" applyFont="1"/>
    <xf numFmtId="1" fontId="39" fillId="0" borderId="0" xfId="0" applyNumberFormat="1" applyFont="1"/>
    <xf numFmtId="169" fontId="39" fillId="0" borderId="0" xfId="0" applyNumberFormat="1" applyFont="1"/>
    <xf numFmtId="0" fontId="39" fillId="0" borderId="28" xfId="0" applyFont="1" applyBorder="1"/>
    <xf numFmtId="0" fontId="40" fillId="0" borderId="28" xfId="0" applyFont="1" applyBorder="1" applyAlignment="1">
      <alignment horizontal="right"/>
    </xf>
    <xf numFmtId="3" fontId="39" fillId="3" borderId="28" xfId="0" applyNumberFormat="1" applyFont="1" applyFill="1" applyBorder="1"/>
    <xf numFmtId="0" fontId="39" fillId="3" borderId="28" xfId="0" applyFont="1" applyFill="1" applyBorder="1" applyAlignment="1">
      <alignment horizontal="left" indent="1"/>
    </xf>
    <xf numFmtId="167" fontId="39" fillId="0" borderId="28" xfId="0" applyNumberFormat="1" applyFont="1" applyBorder="1"/>
    <xf numFmtId="3" fontId="39" fillId="3" borderId="0" xfId="0" applyNumberFormat="1" applyFont="1" applyFill="1"/>
    <xf numFmtId="167" fontId="39" fillId="3" borderId="0" xfId="0" applyNumberFormat="1" applyFont="1" applyFill="1"/>
    <xf numFmtId="0" fontId="39" fillId="3" borderId="0" xfId="0" applyFont="1" applyFill="1" applyAlignment="1">
      <alignment horizontal="left" indent="1"/>
    </xf>
    <xf numFmtId="0" fontId="39" fillId="0" borderId="0" xfId="0" applyFont="1" applyAlignment="1">
      <alignment horizontal="left" indent="1"/>
    </xf>
    <xf numFmtId="14" fontId="20" fillId="0" borderId="0" xfId="15"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Border="1" applyAlignment="1">
      <alignment horizontal="right"/>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cellXfs>
  <cellStyles count="17">
    <cellStyle name="Comma" xfId="1" builtinId="3"/>
    <cellStyle name="Comma 2" xfId="5" xr:uid="{00000000-0005-0000-0000-000000000000}"/>
    <cellStyle name="Hyperkobling_Test_skadestat_tabeller" xfId="2" xr:uid="{00000000-0005-0000-0000-000002000000}"/>
    <cellStyle name="Hyperlink" xfId="3" builtinId="8"/>
    <cellStyle name="Hyperlink 2" xfId="6" xr:uid="{00000000-0005-0000-0000-000003000000}"/>
    <cellStyle name="Normal" xfId="0" builtinId="0"/>
    <cellStyle name="Normal 2" xfId="4" xr:uid="{00000000-0005-0000-0000-000006000000}"/>
    <cellStyle name="Normal 2 2" xfId="9" xr:uid="{00000000-0005-0000-0000-000007000000}"/>
    <cellStyle name="Normal 2 2 2" xfId="15" xr:uid="{9BDDF094-7868-4B5C-9034-B962F1186878}"/>
    <cellStyle name="Normal 2 3" xfId="16" xr:uid="{46109AA5-E6FE-43D6-9412-D2B1A762EBC8}"/>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'Tab2'!$B$71:$B$227</c:f>
              <c:numCache>
                <c:formatCode>General</c:formatCode>
                <c:ptCount val="157"/>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numCache>
            </c:numRef>
          </c:cat>
          <c:val>
            <c:numRef>
              <c:f>'Tab2'!$C$71:$C$227</c:f>
              <c:numCache>
                <c:formatCode>General</c:formatCode>
                <c:ptCount val="157"/>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230.04425590433516</c:v>
                </c:pt>
                <c:pt idx="143" formatCode="0.000">
                  <c:v>212.66674917787782</c:v>
                </c:pt>
                <c:pt idx="144" formatCode="0.000">
                  <c:v>242.05576995515696</c:v>
                </c:pt>
                <c:pt idx="145" formatCode="0.000">
                  <c:v>221.71122705530604</c:v>
                </c:pt>
                <c:pt idx="146" formatCode="0.000">
                  <c:v>200.66800298953694</c:v>
                </c:pt>
                <c:pt idx="147" formatCode="0.000">
                  <c:v>216.91973572496272</c:v>
                </c:pt>
                <c:pt idx="148" formatCode="0.000">
                  <c:v>245.16278393124065</c:v>
                </c:pt>
                <c:pt idx="149" formatCode="0.000">
                  <c:v>219.4338294469357</c:v>
                </c:pt>
                <c:pt idx="150" formatCode="0.000">
                  <c:v>230.4091689088192</c:v>
                </c:pt>
                <c:pt idx="151" formatCode="0.000">
                  <c:v>210.53825269058302</c:v>
                </c:pt>
                <c:pt idx="152" formatCode="0.000">
                  <c:v>246.03664372197312</c:v>
                </c:pt>
                <c:pt idx="153" formatCode="0.000">
                  <c:v>241.94121614349774</c:v>
                </c:pt>
                <c:pt idx="154" formatCode="0.000">
                  <c:v>223.16246838565024</c:v>
                </c:pt>
                <c:pt idx="155" formatCode="0.000">
                  <c:v>240.67364342301937</c:v>
                </c:pt>
                <c:pt idx="156" formatCode="0.000">
                  <c:v>258.31884641255607</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'Tab2'!$B$71:$B$227</c:f>
              <c:numCache>
                <c:formatCode>General</c:formatCode>
                <c:ptCount val="157"/>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numCache>
            </c:numRef>
          </c:cat>
          <c:val>
            <c:numRef>
              <c:f>'Tab2'!$D$71:$D$227</c:f>
              <c:numCache>
                <c:formatCode>General</c:formatCode>
                <c:ptCount val="157"/>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formatCode="0.000">
                  <c:v>222.678</c:v>
                </c:pt>
                <c:pt idx="141" formatCode="0.000">
                  <c:v>208.83864191330298</c:v>
                </c:pt>
                <c:pt idx="142" formatCode="0.000">
                  <c:v>207.39460472346803</c:v>
                </c:pt>
                <c:pt idx="143" formatCode="0.000">
                  <c:v>195.66619934230232</c:v>
                </c:pt>
                <c:pt idx="144" formatCode="0.000">
                  <c:v>223.58363596412556</c:v>
                </c:pt>
                <c:pt idx="145" formatCode="0.000">
                  <c:v>199.97176164424542</c:v>
                </c:pt>
                <c:pt idx="146" formatCode="0.000">
                  <c:v>183.517602391629</c:v>
                </c:pt>
                <c:pt idx="147" formatCode="0.000">
                  <c:v>199.72038857997018</c:v>
                </c:pt>
                <c:pt idx="148" formatCode="0.000">
                  <c:v>227.94719714499254</c:v>
                </c:pt>
                <c:pt idx="149" formatCode="0.000">
                  <c:v>199.23928355754859</c:v>
                </c:pt>
                <c:pt idx="150" formatCode="0.000">
                  <c:v>212.03913512705532</c:v>
                </c:pt>
                <c:pt idx="151" formatCode="0.000">
                  <c:v>195.42257215246639</c:v>
                </c:pt>
                <c:pt idx="152" formatCode="0.000">
                  <c:v>229.48208497757849</c:v>
                </c:pt>
                <c:pt idx="153" formatCode="0.000">
                  <c:v>221.09553291479824</c:v>
                </c:pt>
                <c:pt idx="154" formatCode="0.000">
                  <c:v>200.9504247085203</c:v>
                </c:pt>
                <c:pt idx="155" formatCode="0.000">
                  <c:v>222.83402473841534</c:v>
                </c:pt>
                <c:pt idx="156" formatCode="0.000">
                  <c:v>238.37852713004486</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25400"/>
          </c:spPr>
          <c:marker>
            <c:symbol val="none"/>
          </c:marker>
          <c:cat>
            <c:numRef>
              <c:f>'Tab2'!$K$103:$K$227</c:f>
              <c:numCache>
                <c:formatCode>General</c:formatCode>
                <c:ptCount val="125"/>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numCache>
            </c:numRef>
          </c:cat>
          <c:val>
            <c:numRef>
              <c:f>'Tab2'!$T$103:$T$227</c:f>
              <c:numCache>
                <c:formatCode>#\ ##0.0</c:formatCode>
                <c:ptCount val="125"/>
                <c:pt idx="0">
                  <c:v>264.3182787524367</c:v>
                </c:pt>
                <c:pt idx="1">
                  <c:v>328.85921670515785</c:v>
                </c:pt>
                <c:pt idx="2">
                  <c:v>382.20790415704397</c:v>
                </c:pt>
                <c:pt idx="3">
                  <c:v>342.32063764795731</c:v>
                </c:pt>
                <c:pt idx="4">
                  <c:v>333.2305047619048</c:v>
                </c:pt>
                <c:pt idx="5">
                  <c:v>304.47970278404824</c:v>
                </c:pt>
                <c:pt idx="6">
                  <c:v>399.0197162720782</c:v>
                </c:pt>
                <c:pt idx="7">
                  <c:v>197.89802538260545</c:v>
                </c:pt>
                <c:pt idx="8">
                  <c:v>315.70130846325173</c:v>
                </c:pt>
                <c:pt idx="9">
                  <c:v>340.15560939794432</c:v>
                </c:pt>
                <c:pt idx="10">
                  <c:v>386.72918874172188</c:v>
                </c:pt>
                <c:pt idx="11">
                  <c:v>292.01160256410259</c:v>
                </c:pt>
                <c:pt idx="12">
                  <c:v>287.04119230769231</c:v>
                </c:pt>
                <c:pt idx="13">
                  <c:v>345.62509269356605</c:v>
                </c:pt>
                <c:pt idx="14">
                  <c:v>385.51710821570776</c:v>
                </c:pt>
                <c:pt idx="15">
                  <c:v>374.01532037437011</c:v>
                </c:pt>
                <c:pt idx="16">
                  <c:v>316.67739650249825</c:v>
                </c:pt>
                <c:pt idx="17">
                  <c:v>366.33666666666676</c:v>
                </c:pt>
                <c:pt idx="18">
                  <c:v>384.70499999999993</c:v>
                </c:pt>
                <c:pt idx="19">
                  <c:v>352.2765133897114</c:v>
                </c:pt>
                <c:pt idx="20">
                  <c:v>340.56807855626334</c:v>
                </c:pt>
                <c:pt idx="21">
                  <c:v>373.86526989134245</c:v>
                </c:pt>
                <c:pt idx="22">
                  <c:v>394.45800349040144</c:v>
                </c:pt>
                <c:pt idx="23">
                  <c:v>315.3604015230186</c:v>
                </c:pt>
                <c:pt idx="24">
                  <c:v>311.78724563206583</c:v>
                </c:pt>
                <c:pt idx="25">
                  <c:v>371.35629136813372</c:v>
                </c:pt>
                <c:pt idx="26">
                  <c:v>328.69826680313901</c:v>
                </c:pt>
                <c:pt idx="27">
                  <c:v>303.86936483739822</c:v>
                </c:pt>
                <c:pt idx="28">
                  <c:v>301.60329305135957</c:v>
                </c:pt>
                <c:pt idx="29">
                  <c:v>330.85383818121034</c:v>
                </c:pt>
                <c:pt idx="30">
                  <c:v>339.26287241148975</c:v>
                </c:pt>
                <c:pt idx="31">
                  <c:v>330.13494538232374</c:v>
                </c:pt>
                <c:pt idx="32">
                  <c:v>259.35345825115058</c:v>
                </c:pt>
                <c:pt idx="33">
                  <c:v>314.69943411611217</c:v>
                </c:pt>
                <c:pt idx="34">
                  <c:v>361.67432153392343</c:v>
                </c:pt>
                <c:pt idx="35">
                  <c:v>299.97746537842181</c:v>
                </c:pt>
                <c:pt idx="36">
                  <c:v>305.78001912045892</c:v>
                </c:pt>
                <c:pt idx="37">
                  <c:v>283.57585632730735</c:v>
                </c:pt>
                <c:pt idx="38">
                  <c:v>297.457576764799</c:v>
                </c:pt>
                <c:pt idx="39">
                  <c:v>325.1942103620475</c:v>
                </c:pt>
                <c:pt idx="40">
                  <c:v>244.54280904059041</c:v>
                </c:pt>
                <c:pt idx="41">
                  <c:v>280.48124847931877</c:v>
                </c:pt>
                <c:pt idx="42">
                  <c:v>236.85315294480421</c:v>
                </c:pt>
                <c:pt idx="43">
                  <c:v>384.1550981294082</c:v>
                </c:pt>
                <c:pt idx="44">
                  <c:v>292.48340500152489</c:v>
                </c:pt>
                <c:pt idx="45">
                  <c:v>342.90182575757581</c:v>
                </c:pt>
                <c:pt idx="46">
                  <c:v>271.93268704379568</c:v>
                </c:pt>
                <c:pt idx="47">
                  <c:v>282.32825825825847</c:v>
                </c:pt>
                <c:pt idx="48">
                  <c:v>257.95388307155326</c:v>
                </c:pt>
                <c:pt idx="49">
                  <c:v>292.29376075986943</c:v>
                </c:pt>
                <c:pt idx="50">
                  <c:v>272.55082514149541</c:v>
                </c:pt>
                <c:pt idx="51">
                  <c:v>316.90779603315593</c:v>
                </c:pt>
                <c:pt idx="52">
                  <c:v>256.65371077560684</c:v>
                </c:pt>
                <c:pt idx="53">
                  <c:v>325.3558671369783</c:v>
                </c:pt>
                <c:pt idx="54">
                  <c:v>229.87047787610609</c:v>
                </c:pt>
                <c:pt idx="55">
                  <c:v>230.82977631578964</c:v>
                </c:pt>
                <c:pt idx="56">
                  <c:v>226.89245236001176</c:v>
                </c:pt>
                <c:pt idx="57">
                  <c:v>213.84197771990753</c:v>
                </c:pt>
                <c:pt idx="58">
                  <c:v>214.72949609035615</c:v>
                </c:pt>
                <c:pt idx="59">
                  <c:v>197.74520114942541</c:v>
                </c:pt>
                <c:pt idx="60">
                  <c:v>208.64213550600346</c:v>
                </c:pt>
                <c:pt idx="61">
                  <c:v>241.27990245971162</c:v>
                </c:pt>
                <c:pt idx="62">
                  <c:v>230.11982523444166</c:v>
                </c:pt>
                <c:pt idx="63">
                  <c:v>195.61070448179268</c:v>
                </c:pt>
                <c:pt idx="64">
                  <c:v>230.14057021276599</c:v>
                </c:pt>
                <c:pt idx="65">
                  <c:v>219.84506903353056</c:v>
                </c:pt>
                <c:pt idx="66">
                  <c:v>209.67072297679681</c:v>
                </c:pt>
                <c:pt idx="67">
                  <c:v>190.95756622516569</c:v>
                </c:pt>
                <c:pt idx="68">
                  <c:v>212.15986190866832</c:v>
                </c:pt>
                <c:pt idx="69">
                  <c:v>249.45755737704923</c:v>
                </c:pt>
                <c:pt idx="70">
                  <c:v>244.47271730300568</c:v>
                </c:pt>
                <c:pt idx="71">
                  <c:v>349.24406308473692</c:v>
                </c:pt>
                <c:pt idx="72">
                  <c:v>275.51978133333336</c:v>
                </c:pt>
                <c:pt idx="73">
                  <c:v>302.38639485547606</c:v>
                </c:pt>
                <c:pt idx="74">
                  <c:v>298.60116161616156</c:v>
                </c:pt>
                <c:pt idx="75">
                  <c:v>352.67926803580849</c:v>
                </c:pt>
                <c:pt idx="76">
                  <c:v>305.12796296296307</c:v>
                </c:pt>
                <c:pt idx="77">
                  <c:v>252.64645461598144</c:v>
                </c:pt>
                <c:pt idx="78">
                  <c:v>253.68343896713608</c:v>
                </c:pt>
                <c:pt idx="79">
                  <c:v>256.70820413436695</c:v>
                </c:pt>
                <c:pt idx="80">
                  <c:v>194.16858038914495</c:v>
                </c:pt>
                <c:pt idx="81">
                  <c:v>243.91055216284983</c:v>
                </c:pt>
                <c:pt idx="82">
                  <c:v>208.85133822771763</c:v>
                </c:pt>
                <c:pt idx="83">
                  <c:v>224.17739309107768</c:v>
                </c:pt>
                <c:pt idx="84">
                  <c:v>215.55330929769369</c:v>
                </c:pt>
                <c:pt idx="85">
                  <c:v>225.94201639342586</c:v>
                </c:pt>
                <c:pt idx="86">
                  <c:v>236.13001847354602</c:v>
                </c:pt>
                <c:pt idx="87">
                  <c:v>233.0280097250033</c:v>
                </c:pt>
                <c:pt idx="88">
                  <c:v>203.86356175433042</c:v>
                </c:pt>
                <c:pt idx="89">
                  <c:v>211.89705779423409</c:v>
                </c:pt>
                <c:pt idx="90">
                  <c:v>207.54187995804517</c:v>
                </c:pt>
                <c:pt idx="91">
                  <c:v>215.02670979065428</c:v>
                </c:pt>
                <c:pt idx="92">
                  <c:v>196.46610258823364</c:v>
                </c:pt>
                <c:pt idx="93">
                  <c:v>197.72318996095075</c:v>
                </c:pt>
                <c:pt idx="94">
                  <c:v>208.74035659981678</c:v>
                </c:pt>
                <c:pt idx="95">
                  <c:v>205.49107086074488</c:v>
                </c:pt>
                <c:pt idx="96">
                  <c:v>181.34512721832562</c:v>
                </c:pt>
                <c:pt idx="97">
                  <c:v>195.3882139323581</c:v>
                </c:pt>
                <c:pt idx="98">
                  <c:v>151.66706147132743</c:v>
                </c:pt>
                <c:pt idx="99">
                  <c:v>180.75697622752827</c:v>
                </c:pt>
                <c:pt idx="100">
                  <c:v>145.56897038758225</c:v>
                </c:pt>
                <c:pt idx="101">
                  <c:v>170.84634489004358</c:v>
                </c:pt>
                <c:pt idx="102">
                  <c:v>165.82069862074164</c:v>
                </c:pt>
                <c:pt idx="103">
                  <c:v>162.82083395036562</c:v>
                </c:pt>
                <c:pt idx="104">
                  <c:v>155.74508334682278</c:v>
                </c:pt>
                <c:pt idx="105">
                  <c:v>131.45118012124061</c:v>
                </c:pt>
                <c:pt idx="106">
                  <c:v>140.37275401674586</c:v>
                </c:pt>
                <c:pt idx="107">
                  <c:v>134.97812219227316</c:v>
                </c:pt>
                <c:pt idx="108">
                  <c:v>125.17332442663107</c:v>
                </c:pt>
                <c:pt idx="109">
                  <c:v>145.27498221607627</c:v>
                </c:pt>
                <c:pt idx="110">
                  <c:v>159.38656770106471</c:v>
                </c:pt>
                <c:pt idx="111">
                  <c:v>122.55470556285556</c:v>
                </c:pt>
                <c:pt idx="112">
                  <c:v>128.34924037585344</c:v>
                </c:pt>
                <c:pt idx="113">
                  <c:v>147.88755532554654</c:v>
                </c:pt>
                <c:pt idx="114">
                  <c:v>151.18689144144338</c:v>
                </c:pt>
                <c:pt idx="115">
                  <c:v>137.84072345964418</c:v>
                </c:pt>
                <c:pt idx="116">
                  <c:v>151.48151301664231</c:v>
                </c:pt>
                <c:pt idx="117">
                  <c:v>129.64854356225919</c:v>
                </c:pt>
                <c:pt idx="118">
                  <c:v>163.2660105983463</c:v>
                </c:pt>
                <c:pt idx="119">
                  <c:v>116.75438287060796</c:v>
                </c:pt>
                <c:pt idx="120">
                  <c:v>117.24122516214469</c:v>
                </c:pt>
                <c:pt idx="121">
                  <c:v>116.41030924060642</c:v>
                </c:pt>
                <c:pt idx="122">
                  <c:v>121.57118684061193</c:v>
                </c:pt>
                <c:pt idx="123">
                  <c:v>106.9790054309867</c:v>
                </c:pt>
                <c:pt idx="124">
                  <c:v>119.41760066565708</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cat>
            <c:numRef>
              <c:f>'Tab2'!$K$103:$K$227</c:f>
              <c:numCache>
                <c:formatCode>General</c:formatCode>
                <c:ptCount val="125"/>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numCache>
            </c:numRef>
          </c:cat>
          <c:val>
            <c:numRef>
              <c:f>'Tab2'!$R$103:$R$227</c:f>
              <c:numCache>
                <c:formatCode>#,##0</c:formatCode>
                <c:ptCount val="125"/>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pt idx="111" formatCode="0">
                  <c:v>8182.2589673913026</c:v>
                </c:pt>
                <c:pt idx="112" formatCode="0">
                  <c:v>6840.1016739130437</c:v>
                </c:pt>
                <c:pt idx="113" formatCode="0">
                  <c:v>10227.612341614906</c:v>
                </c:pt>
                <c:pt idx="114" formatCode="0">
                  <c:v>10507.793672360251</c:v>
                </c:pt>
                <c:pt idx="115" formatCode="0">
                  <c:v>9597.5708897515542</c:v>
                </c:pt>
                <c:pt idx="116" formatCode="0">
                  <c:v>8173.2696444099374</c:v>
                </c:pt>
                <c:pt idx="117" formatCode="0">
                  <c:v>9378.7613872911825</c:v>
                </c:pt>
                <c:pt idx="118" formatCode="0">
                  <c:v>12479.986334758509</c:v>
                </c:pt>
                <c:pt idx="119" formatCode="0">
                  <c:v>9374.137683010551</c:v>
                </c:pt>
                <c:pt idx="120" formatCode="0">
                  <c:v>6121.5967593167707</c:v>
                </c:pt>
                <c:pt idx="121" formatCode="0">
                  <c:v>8820.4369021739112</c:v>
                </c:pt>
                <c:pt idx="122" formatCode="0">
                  <c:v>8162.7090062111811</c:v>
                </c:pt>
                <c:pt idx="123" formatCode="0">
                  <c:v>8198.4054586074526</c:v>
                </c:pt>
                <c:pt idx="124" formatCode="0">
                  <c:v>6778.6444332298142</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numFmt formatCode="General" sourceLinked="1"/>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39.837669286281852</c:v>
                </c:pt>
                <c:pt idx="1">
                  <c:v>409.60663645313167</c:v>
                </c:pt>
                <c:pt idx="2">
                  <c:v>65.318115641068118</c:v>
                </c:pt>
                <c:pt idx="3">
                  <c:v>487.67491097650401</c:v>
                </c:pt>
                <c:pt idx="4" formatCode="0.000">
                  <c:v>3834.3043381488228</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2020</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2229.8794272830219</c:v>
                </c:pt>
                <c:pt idx="1">
                  <c:v>1959.3996641893941</c:v>
                </c:pt>
                <c:pt idx="2">
                  <c:v>488.6673083519845</c:v>
                </c:pt>
                <c:pt idx="3">
                  <c:v>502.10305881512238</c:v>
                </c:pt>
                <c:pt idx="4">
                  <c:v>218.00562808048574</c:v>
                </c:pt>
                <c:pt idx="5">
                  <c:v>1302.9366576102254</c:v>
                </c:pt>
                <c:pt idx="6">
                  <c:v>66.026009004013829</c:v>
                </c:pt>
                <c:pt idx="7">
                  <c:v>374.9547510546671</c:v>
                </c:pt>
                <c:pt idx="8">
                  <c:v>35.680164690636182</c:v>
                </c:pt>
                <c:pt idx="9">
                  <c:v>253.99079153284541</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2021</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2965.4204490303</c:v>
                </c:pt>
                <c:pt idx="1">
                  <c:v>1585.4037215067142</c:v>
                </c:pt>
                <c:pt idx="2">
                  <c:v>482.14262646559507</c:v>
                </c:pt>
                <c:pt idx="3">
                  <c:v>609.6751307627203</c:v>
                </c:pt>
                <c:pt idx="4">
                  <c:v>254.93649516953667</c:v>
                </c:pt>
                <c:pt idx="5">
                  <c:v>110.55182730182818</c:v>
                </c:pt>
                <c:pt idx="6">
                  <c:v>64.208836868916421</c:v>
                </c:pt>
                <c:pt idx="7">
                  <c:v>398.64248721138262</c:v>
                </c:pt>
                <c:pt idx="8">
                  <c:v>25.507322123697413</c:v>
                </c:pt>
                <c:pt idx="9">
                  <c:v>319.62647437515631</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2022</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2505.6769390314967</c:v>
                </c:pt>
                <c:pt idx="1">
                  <c:v>1689.9175000707487</c:v>
                </c:pt>
                <c:pt idx="2">
                  <c:v>455.45258046041744</c:v>
                </c:pt>
                <c:pt idx="3">
                  <c:v>759.55744125825504</c:v>
                </c:pt>
                <c:pt idx="4">
                  <c:v>283.75611025797389</c:v>
                </c:pt>
                <c:pt idx="5">
                  <c:v>414.36619515244865</c:v>
                </c:pt>
                <c:pt idx="6">
                  <c:v>81.147399862018034</c:v>
                </c:pt>
                <c:pt idx="7">
                  <c:v>414.92680469493013</c:v>
                </c:pt>
                <c:pt idx="8">
                  <c:v>25.872207222590546</c:v>
                </c:pt>
                <c:pt idx="9">
                  <c:v>360.98911460955628</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2020</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7767.2878601449274</c:v>
                </c:pt>
                <c:pt idx="1">
                  <c:v>22180.308750988144</c:v>
                </c:pt>
                <c:pt idx="2">
                  <c:v>8117.2696444099374</c:v>
                </c:pt>
                <c:pt idx="3" formatCode="_ * #\ ##0_ ;_ * \-#\ ##0_ ;_ * &quot;-&quot;??_ ;_ @_ ">
                  <c:v>79263.819190509559</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2021</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8185.2405021739132</c:v>
                </c:pt>
                <c:pt idx="1">
                  <c:v>34994.274094861663</c:v>
                </c:pt>
                <c:pt idx="2">
                  <c:v>6121.5967593167707</c:v>
                </c:pt>
                <c:pt idx="3" formatCode="_ * #\ ##0_ ;_ * \-#\ ##0_ ;_ * &quot;-&quot;??_ ;_ @_ ">
                  <c:v>83362.541784050933</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2022</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6900.0468369565224</c:v>
                </c:pt>
                <c:pt idx="1">
                  <c:v>24505.067470355731</c:v>
                </c:pt>
                <c:pt idx="2">
                  <c:v>6778.6444332298142</c:v>
                </c:pt>
                <c:pt idx="3" formatCode="_ * #\ ##0_ ;_ * \-#\ ##0_ ;_ * &quot;-&quot;??_ ;_ @_ ">
                  <c:v>71207.251964443843</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2020</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1769.0740395034677</c:v>
                </c:pt>
                <c:pt idx="1">
                  <c:v>1168.8644293205766</c:v>
                </c:pt>
                <c:pt idx="2">
                  <c:v>145.45299812029876</c:v>
                </c:pt>
                <c:pt idx="3">
                  <c:v>1105.8876245280726</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2021</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1464.197591740502</c:v>
                </c:pt>
                <c:pt idx="1">
                  <c:v>1823.5241188431364</c:v>
                </c:pt>
                <c:pt idx="2">
                  <c:v>112.87324166947005</c:v>
                </c:pt>
                <c:pt idx="3">
                  <c:v>1150.229218283906</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2022</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1583.5781374260632</c:v>
                </c:pt>
                <c:pt idx="1">
                  <c:v>1376.8794156428476</c:v>
                </c:pt>
                <c:pt idx="2">
                  <c:v>123.13727232676555</c:v>
                </c:pt>
                <c:pt idx="3">
                  <c:v>1111.9996137065696</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2020</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161525</c:v>
                </c:pt>
                <c:pt idx="1">
                  <c:v>33779.378607928287</c:v>
                </c:pt>
                <c:pt idx="2">
                  <c:v>50338.839690263172</c:v>
                </c:pt>
                <c:pt idx="3">
                  <c:v>11707.421245421247</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2021</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34290.493589743593</c:v>
                </c:pt>
                <c:pt idx="1">
                  <c:v>44786.944784527106</c:v>
                </c:pt>
                <c:pt idx="2">
                  <c:v>57244.673067196847</c:v>
                </c:pt>
                <c:pt idx="3">
                  <c:v>14184.867654085045</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2022</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66033.36538461539</c:v>
                </c:pt>
                <c:pt idx="1">
                  <c:v>34271.789724271439</c:v>
                </c:pt>
                <c:pt idx="2">
                  <c:v>55060.821866443432</c:v>
                </c:pt>
                <c:pt idx="3">
                  <c:v>11825.08552317248</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2020</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1428.2980049875312</c:v>
                </c:pt>
                <c:pt idx="1">
                  <c:v>4087.944</c:v>
                </c:pt>
                <c:pt idx="2">
                  <c:v>2497.8568816326533</c:v>
                </c:pt>
                <c:pt idx="3">
                  <c:v>3848.8858368649608</c:v>
                </c:pt>
                <c:pt idx="4">
                  <c:v>7537.45</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2021</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1433.3104738154614</c:v>
                </c:pt>
                <c:pt idx="1">
                  <c:v>3104.3150039000002</c:v>
                </c:pt>
                <c:pt idx="2">
                  <c:v>2405.7066122448982</c:v>
                </c:pt>
                <c:pt idx="3">
                  <c:v>6189.8587348924812</c:v>
                </c:pt>
                <c:pt idx="4">
                  <c:v>7214.3441666666668</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2022</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1816.3347880299252</c:v>
                </c:pt>
                <c:pt idx="1">
                  <c:v>3173.5819999999999</c:v>
                </c:pt>
                <c:pt idx="2">
                  <c:v>2424.5147755102039</c:v>
                </c:pt>
                <c:pt idx="3">
                  <c:v>4575</c:v>
                </c:pt>
                <c:pt idx="4">
                  <c:v>10160.966666666667</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25400"/>
          </c:spPr>
          <c:marker>
            <c:symbol val="none"/>
          </c:marker>
          <c:cat>
            <c:numRef>
              <c:f>'Tab2'!$K$71:$K$227</c:f>
              <c:numCache>
                <c:formatCode>General</c:formatCode>
                <c:ptCount val="157"/>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numCache>
            </c:numRef>
          </c:cat>
          <c:val>
            <c:numRef>
              <c:f>'Tab2'!$N$71:$N$227</c:f>
              <c:numCache>
                <c:formatCode>#\ ##0.0</c:formatCode>
                <c:ptCount val="157"/>
                <c:pt idx="0">
                  <c:v>242.90801425030983</c:v>
                </c:pt>
                <c:pt idx="1">
                  <c:v>203.47333028641077</c:v>
                </c:pt>
                <c:pt idx="2">
                  <c:v>186.07580168776377</c:v>
                </c:pt>
                <c:pt idx="3">
                  <c:v>227.93576215895612</c:v>
                </c:pt>
                <c:pt idx="4">
                  <c:v>244.42187609075052</c:v>
                </c:pt>
                <c:pt idx="5">
                  <c:v>231.20520904925544</c:v>
                </c:pt>
                <c:pt idx="6">
                  <c:v>229.23582907438956</c:v>
                </c:pt>
                <c:pt idx="7">
                  <c:v>256.40144854586129</c:v>
                </c:pt>
                <c:pt idx="8">
                  <c:v>277.07568432671081</c:v>
                </c:pt>
                <c:pt idx="9">
                  <c:v>302.85154200542007</c:v>
                </c:pt>
                <c:pt idx="10">
                  <c:v>268.36206989247319</c:v>
                </c:pt>
                <c:pt idx="11">
                  <c:v>304.35873280423283</c:v>
                </c:pt>
                <c:pt idx="12">
                  <c:v>282.18727604166668</c:v>
                </c:pt>
                <c:pt idx="13">
                  <c:v>301.95242307692314</c:v>
                </c:pt>
                <c:pt idx="14">
                  <c:v>243.03080597014929</c:v>
                </c:pt>
                <c:pt idx="15">
                  <c:v>284.40179562043795</c:v>
                </c:pt>
                <c:pt idx="16">
                  <c:v>310.70351773049646</c:v>
                </c:pt>
                <c:pt idx="17">
                  <c:v>306.60697625698333</c:v>
                </c:pt>
                <c:pt idx="18">
                  <c:v>250.90947210696177</c:v>
                </c:pt>
                <c:pt idx="19">
                  <c:v>295.20252490942033</c:v>
                </c:pt>
                <c:pt idx="20">
                  <c:v>280.973590425532</c:v>
                </c:pt>
                <c:pt idx="21">
                  <c:v>200.29068448500655</c:v>
                </c:pt>
                <c:pt idx="22">
                  <c:v>311.95779437229442</c:v>
                </c:pt>
                <c:pt idx="23">
                  <c:v>413.25683738796425</c:v>
                </c:pt>
                <c:pt idx="24">
                  <c:v>291.9564807773553</c:v>
                </c:pt>
                <c:pt idx="25">
                  <c:v>235.97069115815697</c:v>
                </c:pt>
                <c:pt idx="26">
                  <c:v>207.63488006617041</c:v>
                </c:pt>
                <c:pt idx="27">
                  <c:v>261.95405405405404</c:v>
                </c:pt>
                <c:pt idx="28">
                  <c:v>280.48393479141362</c:v>
                </c:pt>
                <c:pt idx="29">
                  <c:v>225.65006994404479</c:v>
                </c:pt>
                <c:pt idx="30">
                  <c:v>195.69876941457591</c:v>
                </c:pt>
                <c:pt idx="31">
                  <c:v>227.78613396004707</c:v>
                </c:pt>
                <c:pt idx="32">
                  <c:v>245.80277387914236</c:v>
                </c:pt>
                <c:pt idx="33">
                  <c:v>236.33841608929939</c:v>
                </c:pt>
                <c:pt idx="34">
                  <c:v>247.34391454965365</c:v>
                </c:pt>
                <c:pt idx="35">
                  <c:v>255.7227682321498</c:v>
                </c:pt>
                <c:pt idx="36">
                  <c:v>238.89211809523812</c:v>
                </c:pt>
                <c:pt idx="37">
                  <c:v>205.84286493604222</c:v>
                </c:pt>
                <c:pt idx="38">
                  <c:v>237.84561818865083</c:v>
                </c:pt>
                <c:pt idx="39">
                  <c:v>196.26997946995161</c:v>
                </c:pt>
                <c:pt idx="40">
                  <c:v>246.26500927988121</c:v>
                </c:pt>
                <c:pt idx="41">
                  <c:v>204.94731277533049</c:v>
                </c:pt>
                <c:pt idx="42">
                  <c:v>236.78025018395883</c:v>
                </c:pt>
                <c:pt idx="43">
                  <c:v>280.1181208791208</c:v>
                </c:pt>
                <c:pt idx="44">
                  <c:v>335.50269230769237</c:v>
                </c:pt>
                <c:pt idx="45">
                  <c:v>293.30569792802618</c:v>
                </c:pt>
                <c:pt idx="46">
                  <c:v>297.99525334781038</c:v>
                </c:pt>
                <c:pt idx="47">
                  <c:v>245.62200143988497</c:v>
                </c:pt>
                <c:pt idx="48">
                  <c:v>295.92300678087082</c:v>
                </c:pt>
                <c:pt idx="49">
                  <c:v>254.58166666666679</c:v>
                </c:pt>
                <c:pt idx="50">
                  <c:v>309.34333333333331</c:v>
                </c:pt>
                <c:pt idx="51">
                  <c:v>293.70606060606076</c:v>
                </c:pt>
                <c:pt idx="52">
                  <c:v>644.0955201698514</c:v>
                </c:pt>
                <c:pt idx="53">
                  <c:v>398.83491763056441</c:v>
                </c:pt>
                <c:pt idx="54">
                  <c:v>405.96020942408404</c:v>
                </c:pt>
                <c:pt idx="55">
                  <c:v>391.51658359293896</c:v>
                </c:pt>
                <c:pt idx="56">
                  <c:v>423.85135149023642</c:v>
                </c:pt>
                <c:pt idx="57">
                  <c:v>465.10474070283198</c:v>
                </c:pt>
                <c:pt idx="58">
                  <c:v>492.55137666325487</c:v>
                </c:pt>
                <c:pt idx="59">
                  <c:v>439.46963245257461</c:v>
                </c:pt>
                <c:pt idx="60">
                  <c:v>463.6296576032226</c:v>
                </c:pt>
                <c:pt idx="61">
                  <c:v>410.73187061183557</c:v>
                </c:pt>
                <c:pt idx="62">
                  <c:v>417.44224615898469</c:v>
                </c:pt>
                <c:pt idx="63">
                  <c:v>479.80253723932481</c:v>
                </c:pt>
                <c:pt idx="64">
                  <c:v>523.3268491124262</c:v>
                </c:pt>
                <c:pt idx="65">
                  <c:v>525.8689187866928</c:v>
                </c:pt>
                <c:pt idx="66">
                  <c:v>707.62367256637174</c:v>
                </c:pt>
                <c:pt idx="67">
                  <c:v>640.8467600644118</c:v>
                </c:pt>
                <c:pt idx="68">
                  <c:v>534.18842734225632</c:v>
                </c:pt>
                <c:pt idx="69">
                  <c:v>387.93791944180151</c:v>
                </c:pt>
                <c:pt idx="70">
                  <c:v>480.93321462488137</c:v>
                </c:pt>
                <c:pt idx="71">
                  <c:v>733.27513108614232</c:v>
                </c:pt>
                <c:pt idx="72">
                  <c:v>1006.3361300738007</c:v>
                </c:pt>
                <c:pt idx="73">
                  <c:v>666.19823600973245</c:v>
                </c:pt>
                <c:pt idx="74">
                  <c:v>598.33440024668539</c:v>
                </c:pt>
                <c:pt idx="75">
                  <c:v>757.01588776448921</c:v>
                </c:pt>
                <c:pt idx="76">
                  <c:v>689.45683897529739</c:v>
                </c:pt>
                <c:pt idx="77">
                  <c:v>599.8946287878789</c:v>
                </c:pt>
                <c:pt idx="78">
                  <c:v>741.36662104622883</c:v>
                </c:pt>
                <c:pt idx="79">
                  <c:v>675.55039939939957</c:v>
                </c:pt>
                <c:pt idx="80">
                  <c:v>883.52728912158238</c:v>
                </c:pt>
                <c:pt idx="81">
                  <c:v>584.15598545562511</c:v>
                </c:pt>
                <c:pt idx="82">
                  <c:v>621.46785075960679</c:v>
                </c:pt>
                <c:pt idx="83">
                  <c:v>676.99768650088799</c:v>
                </c:pt>
                <c:pt idx="84">
                  <c:v>742.70333185316758</c:v>
                </c:pt>
                <c:pt idx="85">
                  <c:v>491.02525132275127</c:v>
                </c:pt>
                <c:pt idx="86">
                  <c:v>649.15537315634208</c:v>
                </c:pt>
                <c:pt idx="87">
                  <c:v>606.76065204678412</c:v>
                </c:pt>
                <c:pt idx="88">
                  <c:v>593.87003811199065</c:v>
                </c:pt>
                <c:pt idx="89">
                  <c:v>453.20476851851862</c:v>
                </c:pt>
                <c:pt idx="90">
                  <c:v>629.1714581523313</c:v>
                </c:pt>
                <c:pt idx="91">
                  <c:v>666.76339655172421</c:v>
                </c:pt>
                <c:pt idx="92">
                  <c:v>810.46247855917682</c:v>
                </c:pt>
                <c:pt idx="93">
                  <c:v>594.36241730279892</c:v>
                </c:pt>
                <c:pt idx="94">
                  <c:v>683.88692526285877</c:v>
                </c:pt>
                <c:pt idx="95">
                  <c:v>713.48359663865574</c:v>
                </c:pt>
                <c:pt idx="96">
                  <c:v>893.06639432624127</c:v>
                </c:pt>
                <c:pt idx="97">
                  <c:v>702.13872358410833</c:v>
                </c:pt>
                <c:pt idx="98">
                  <c:v>897.09998019241709</c:v>
                </c:pt>
                <c:pt idx="99">
                  <c:v>758.48131346578327</c:v>
                </c:pt>
                <c:pt idx="100">
                  <c:v>784.36865873666943</c:v>
                </c:pt>
                <c:pt idx="101">
                  <c:v>726.12804918032793</c:v>
                </c:pt>
                <c:pt idx="102">
                  <c:v>948.3651787164913</c:v>
                </c:pt>
                <c:pt idx="103">
                  <c:v>910.80675354183404</c:v>
                </c:pt>
                <c:pt idx="104">
                  <c:v>955.79001066666672</c:v>
                </c:pt>
                <c:pt idx="105">
                  <c:v>775.94944842216944</c:v>
                </c:pt>
                <c:pt idx="106">
                  <c:v>1025.0083878256246</c:v>
                </c:pt>
                <c:pt idx="107">
                  <c:v>968.8472077409167</c:v>
                </c:pt>
                <c:pt idx="108">
                  <c:v>2125.2584535737296</c:v>
                </c:pt>
                <c:pt idx="109">
                  <c:v>1083.9873694465905</c:v>
                </c:pt>
                <c:pt idx="110">
                  <c:v>1089.2021261843404</c:v>
                </c:pt>
                <c:pt idx="111">
                  <c:v>1114.3001251826067</c:v>
                </c:pt>
                <c:pt idx="112">
                  <c:v>1316.8983987086858</c:v>
                </c:pt>
                <c:pt idx="113">
                  <c:v>957.61784551818278</c:v>
                </c:pt>
                <c:pt idx="114">
                  <c:v>1141.81223494337</c:v>
                </c:pt>
                <c:pt idx="115">
                  <c:v>962.2785256833572</c:v>
                </c:pt>
                <c:pt idx="116">
                  <c:v>1066.0728044894781</c:v>
                </c:pt>
                <c:pt idx="117">
                  <c:v>779.39672997491505</c:v>
                </c:pt>
                <c:pt idx="118">
                  <c:v>1074.5699818779306</c:v>
                </c:pt>
                <c:pt idx="119">
                  <c:v>1011.8093970292384</c:v>
                </c:pt>
                <c:pt idx="120">
                  <c:v>1242.60777422091</c:v>
                </c:pt>
                <c:pt idx="121">
                  <c:v>1216.7475748863656</c:v>
                </c:pt>
                <c:pt idx="122">
                  <c:v>885.36161441103093</c:v>
                </c:pt>
                <c:pt idx="123">
                  <c:v>1069.4135014035794</c:v>
                </c:pt>
                <c:pt idx="124">
                  <c:v>1054.729310309441</c:v>
                </c:pt>
                <c:pt idx="125">
                  <c:v>866.14097350864142</c:v>
                </c:pt>
                <c:pt idx="126">
                  <c:v>1274.1392874495084</c:v>
                </c:pt>
                <c:pt idx="127">
                  <c:v>1018.7507699464425</c:v>
                </c:pt>
                <c:pt idx="128">
                  <c:v>1117.7019440013632</c:v>
                </c:pt>
                <c:pt idx="129">
                  <c:v>855.96319567639046</c:v>
                </c:pt>
                <c:pt idx="130">
                  <c:v>1133.0516753563297</c:v>
                </c:pt>
                <c:pt idx="131">
                  <c:v>1006.020040179682</c:v>
                </c:pt>
                <c:pt idx="132">
                  <c:v>1156.4990380366987</c:v>
                </c:pt>
                <c:pt idx="133">
                  <c:v>890.20039118349985</c:v>
                </c:pt>
                <c:pt idx="134">
                  <c:v>1561.2531462426923</c:v>
                </c:pt>
                <c:pt idx="135">
                  <c:v>1059.3109116273397</c:v>
                </c:pt>
                <c:pt idx="136">
                  <c:v>1135.5664845645238</c:v>
                </c:pt>
                <c:pt idx="137">
                  <c:v>842.22160214519283</c:v>
                </c:pt>
                <c:pt idx="138">
                  <c:v>994.67256166553523</c:v>
                </c:pt>
                <c:pt idx="139">
                  <c:v>1242.0164308176102</c:v>
                </c:pt>
                <c:pt idx="140">
                  <c:v>1267.9194500111337</c:v>
                </c:pt>
                <c:pt idx="141">
                  <c:v>1153.4689161413053</c:v>
                </c:pt>
                <c:pt idx="142">
                  <c:v>1285.7182878658591</c:v>
                </c:pt>
                <c:pt idx="143">
                  <c:v>1134.3799224084012</c:v>
                </c:pt>
                <c:pt idx="144">
                  <c:v>1206.6775759408147</c:v>
                </c:pt>
                <c:pt idx="145">
                  <c:v>1052.1356124415634</c:v>
                </c:pt>
                <c:pt idx="146">
                  <c:v>1464.3374634106428</c:v>
                </c:pt>
                <c:pt idx="147">
                  <c:v>1363.7076142280716</c:v>
                </c:pt>
                <c:pt idx="148">
                  <c:v>1232.9415820279387</c:v>
                </c:pt>
                <c:pt idx="149">
                  <c:v>1035.6681028429036</c:v>
                </c:pt>
                <c:pt idx="150">
                  <c:v>1222.0516524382524</c:v>
                </c:pt>
                <c:pt idx="151">
                  <c:v>1284.9999256192234</c:v>
                </c:pt>
                <c:pt idx="152">
                  <c:v>1894.0910940782894</c:v>
                </c:pt>
                <c:pt idx="153">
                  <c:v>1067.0919497873851</c:v>
                </c:pt>
                <c:pt idx="154">
                  <c:v>1148.0510465997859</c:v>
                </c:pt>
                <c:pt idx="155">
                  <c:v>1265.5486806444378</c:v>
                </c:pt>
                <c:pt idx="156">
                  <c:v>1335.2873026590596</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cat>
            <c:numRef>
              <c:f>'Tab2'!$K$71:$K$227</c:f>
              <c:numCache>
                <c:formatCode>General</c:formatCode>
                <c:ptCount val="157"/>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numCache>
            </c:numRef>
          </c:cat>
          <c:val>
            <c:numRef>
              <c:f>'Tab2'!$L$71:$L$227</c:f>
              <c:numCache>
                <c:formatCode>#,##0</c:formatCode>
                <c:ptCount val="157"/>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pt idx="143" formatCode="0">
                  <c:v>22335.438371541502</c:v>
                </c:pt>
                <c:pt idx="144" formatCode="0">
                  <c:v>22394.924612648225</c:v>
                </c:pt>
                <c:pt idx="145" formatCode="0">
                  <c:v>19703.243703557309</c:v>
                </c:pt>
                <c:pt idx="146" formatCode="0">
                  <c:v>26165.077849802379</c:v>
                </c:pt>
                <c:pt idx="147" formatCode="0">
                  <c:v>22621.988837944664</c:v>
                </c:pt>
                <c:pt idx="148" formatCode="0">
                  <c:v>22417.308750988144</c:v>
                </c:pt>
                <c:pt idx="149" formatCode="0">
                  <c:v>20318.697663474304</c:v>
                </c:pt>
                <c:pt idx="150" formatCode="0">
                  <c:v>23115.129949173919</c:v>
                </c:pt>
                <c:pt idx="151" formatCode="0">
                  <c:v>24544.608407612643</c:v>
                </c:pt>
                <c:pt idx="152" formatCode="0">
                  <c:v>34994.274094861663</c:v>
                </c:pt>
                <c:pt idx="153" formatCode="0">
                  <c:v>20425.734197628459</c:v>
                </c:pt>
                <c:pt idx="154" formatCode="0">
                  <c:v>24805.341992094851</c:v>
                </c:pt>
                <c:pt idx="155" formatCode="0">
                  <c:v>23357.504896820246</c:v>
                </c:pt>
                <c:pt idx="156" formatCode="0">
                  <c:v>24505.067470355731</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numFmt formatCode="General" sourceLinked="1"/>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25400"/>
          </c:spPr>
          <c:marker>
            <c:symbol val="none"/>
          </c:marker>
          <c:cat>
            <c:numRef>
              <c:f>'Tab2'!$K$103:$K$227</c:f>
              <c:numCache>
                <c:formatCode>General</c:formatCode>
                <c:ptCount val="125"/>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numCache>
            </c:numRef>
          </c:cat>
          <c:val>
            <c:numRef>
              <c:f>'Tab2'!$Q$103:$Q$227</c:f>
              <c:numCache>
                <c:formatCode>#\ ##0.0</c:formatCode>
                <c:ptCount val="125"/>
                <c:pt idx="0">
                  <c:v>712.09120272904488</c:v>
                </c:pt>
                <c:pt idx="1">
                  <c:v>688.86959006928407</c:v>
                </c:pt>
                <c:pt idx="2">
                  <c:v>803.77445535026948</c:v>
                </c:pt>
                <c:pt idx="3">
                  <c:v>790.11303932798842</c:v>
                </c:pt>
                <c:pt idx="4">
                  <c:v>755.99940000000004</c:v>
                </c:pt>
                <c:pt idx="5">
                  <c:v>751.17148231753208</c:v>
                </c:pt>
                <c:pt idx="6">
                  <c:v>802.04602029312321</c:v>
                </c:pt>
                <c:pt idx="7">
                  <c:v>769.88482269503538</c:v>
                </c:pt>
                <c:pt idx="8">
                  <c:v>808.41121380846334</c:v>
                </c:pt>
                <c:pt idx="9">
                  <c:v>627.82905102790028</c:v>
                </c:pt>
                <c:pt idx="10">
                  <c:v>692.68921081677752</c:v>
                </c:pt>
                <c:pt idx="11">
                  <c:v>828.99342490842469</c:v>
                </c:pt>
                <c:pt idx="12">
                  <c:v>759.05265201465215</c:v>
                </c:pt>
                <c:pt idx="13">
                  <c:v>870.75679571065086</c:v>
                </c:pt>
                <c:pt idx="14">
                  <c:v>746.30359211002553</c:v>
                </c:pt>
                <c:pt idx="15">
                  <c:v>681.39171706263505</c:v>
                </c:pt>
                <c:pt idx="16">
                  <c:v>939.13613490364037</c:v>
                </c:pt>
                <c:pt idx="17">
                  <c:v>793.78666666666697</c:v>
                </c:pt>
                <c:pt idx="18">
                  <c:v>837.5616666666665</c:v>
                </c:pt>
                <c:pt idx="19">
                  <c:v>631.63878964059188</c:v>
                </c:pt>
                <c:pt idx="20">
                  <c:v>822.95378096249124</c:v>
                </c:pt>
                <c:pt idx="21">
                  <c:v>994.19964773922209</c:v>
                </c:pt>
                <c:pt idx="22">
                  <c:v>984.2843577661431</c:v>
                </c:pt>
                <c:pt idx="23">
                  <c:v>1116.8455070958814</c:v>
                </c:pt>
                <c:pt idx="24">
                  <c:v>1038.7927560808498</c:v>
                </c:pt>
                <c:pt idx="25">
                  <c:v>1098.5268031388603</c:v>
                </c:pt>
                <c:pt idx="26">
                  <c:v>1190.9525230296831</c:v>
                </c:pt>
                <c:pt idx="27">
                  <c:v>925.89044715447164</c:v>
                </c:pt>
                <c:pt idx="28">
                  <c:v>975.41172876804308</c:v>
                </c:pt>
                <c:pt idx="29">
                  <c:v>934.71880140421274</c:v>
                </c:pt>
                <c:pt idx="30">
                  <c:v>700.53898463593896</c:v>
                </c:pt>
                <c:pt idx="31">
                  <c:v>1184.8283316782515</c:v>
                </c:pt>
                <c:pt idx="32">
                  <c:v>1097.791572978304</c:v>
                </c:pt>
                <c:pt idx="33">
                  <c:v>1382.4014318330073</c:v>
                </c:pt>
                <c:pt idx="34">
                  <c:v>900.61194690265461</c:v>
                </c:pt>
                <c:pt idx="35">
                  <c:v>1460.0880273752016</c:v>
                </c:pt>
                <c:pt idx="36">
                  <c:v>1266.2072609942641</c:v>
                </c:pt>
                <c:pt idx="37">
                  <c:v>1036.2430478908977</c:v>
                </c:pt>
                <c:pt idx="38">
                  <c:v>1083.3653466286805</c:v>
                </c:pt>
                <c:pt idx="39">
                  <c:v>1118.0630711610486</c:v>
                </c:pt>
                <c:pt idx="40">
                  <c:v>1306.9106857318573</c:v>
                </c:pt>
                <c:pt idx="41">
                  <c:v>1360.4003801703163</c:v>
                </c:pt>
                <c:pt idx="42">
                  <c:v>1751.6672926302808</c:v>
                </c:pt>
                <c:pt idx="43">
                  <c:v>1193.7786859858943</c:v>
                </c:pt>
                <c:pt idx="44">
                  <c:v>1212.4981579749926</c:v>
                </c:pt>
                <c:pt idx="45">
                  <c:v>1011.9642318181818</c:v>
                </c:pt>
                <c:pt idx="46">
                  <c:v>1320.4579638077862</c:v>
                </c:pt>
                <c:pt idx="47">
                  <c:v>1365.799331831832</c:v>
                </c:pt>
                <c:pt idx="48">
                  <c:v>1532.4997905759167</c:v>
                </c:pt>
                <c:pt idx="49">
                  <c:v>1176.3673107747106</c:v>
                </c:pt>
                <c:pt idx="50">
                  <c:v>1241.7808251414951</c:v>
                </c:pt>
                <c:pt idx="51">
                  <c:v>1093.6116474245121</c:v>
                </c:pt>
                <c:pt idx="52">
                  <c:v>1054.7334162226173</c:v>
                </c:pt>
                <c:pt idx="53">
                  <c:v>1008.9735582010582</c:v>
                </c:pt>
                <c:pt idx="54">
                  <c:v>933.06256784660764</c:v>
                </c:pt>
                <c:pt idx="55">
                  <c:v>1005.2218742690068</c:v>
                </c:pt>
                <c:pt idx="56">
                  <c:v>1016.114476693052</c:v>
                </c:pt>
                <c:pt idx="57">
                  <c:v>1045.3717664930557</c:v>
                </c:pt>
                <c:pt idx="58">
                  <c:v>1167.8196973646109</c:v>
                </c:pt>
                <c:pt idx="59">
                  <c:v>1108.2086695402297</c:v>
                </c:pt>
                <c:pt idx="60">
                  <c:v>1312.256512292739</c:v>
                </c:pt>
                <c:pt idx="61">
                  <c:v>1111.4494995759119</c:v>
                </c:pt>
                <c:pt idx="62">
                  <c:v>1178.6927493606142</c:v>
                </c:pt>
                <c:pt idx="63">
                  <c:v>1121.2660784313728</c:v>
                </c:pt>
                <c:pt idx="64">
                  <c:v>1501.5503631205675</c:v>
                </c:pt>
                <c:pt idx="65">
                  <c:v>1422.4385615666386</c:v>
                </c:pt>
                <c:pt idx="66">
                  <c:v>931.93082625919703</c:v>
                </c:pt>
                <c:pt idx="67">
                  <c:v>1219.1597557947018</c:v>
                </c:pt>
                <c:pt idx="68">
                  <c:v>1276.9346841673505</c:v>
                </c:pt>
                <c:pt idx="69">
                  <c:v>1527.7289262295087</c:v>
                </c:pt>
                <c:pt idx="70">
                  <c:v>1950.6639520714864</c:v>
                </c:pt>
                <c:pt idx="71">
                  <c:v>1502.682170542636</c:v>
                </c:pt>
                <c:pt idx="72">
                  <c:v>1356.7927693333336</c:v>
                </c:pt>
                <c:pt idx="73">
                  <c:v>1385.2201233094672</c:v>
                </c:pt>
                <c:pt idx="74">
                  <c:v>1646.4285792131845</c:v>
                </c:pt>
                <c:pt idx="75">
                  <c:v>1521.216437598737</c:v>
                </c:pt>
                <c:pt idx="76">
                  <c:v>2069.1215423465428</c:v>
                </c:pt>
                <c:pt idx="77">
                  <c:v>1731.5555870183605</c:v>
                </c:pt>
                <c:pt idx="78">
                  <c:v>1625.748077725613</c:v>
                </c:pt>
                <c:pt idx="79">
                  <c:v>1641.4298242894072</c:v>
                </c:pt>
                <c:pt idx="80">
                  <c:v>2107.5665655401949</c:v>
                </c:pt>
                <c:pt idx="81">
                  <c:v>1890.8616819338429</c:v>
                </c:pt>
                <c:pt idx="82">
                  <c:v>1604.6474008243172</c:v>
                </c:pt>
                <c:pt idx="83">
                  <c:v>1592.9322251593442</c:v>
                </c:pt>
                <c:pt idx="84">
                  <c:v>1410.9325408161085</c:v>
                </c:pt>
                <c:pt idx="85">
                  <c:v>1272.9233747843675</c:v>
                </c:pt>
                <c:pt idx="86">
                  <c:v>1406.7018036066791</c:v>
                </c:pt>
                <c:pt idx="87">
                  <c:v>1310.6778066396375</c:v>
                </c:pt>
                <c:pt idx="88">
                  <c:v>1394.5544564643524</c:v>
                </c:pt>
                <c:pt idx="89">
                  <c:v>1363.6415598852361</c:v>
                </c:pt>
                <c:pt idx="90">
                  <c:v>1592.9809697562587</c:v>
                </c:pt>
                <c:pt idx="91">
                  <c:v>1447.8312384825801</c:v>
                </c:pt>
                <c:pt idx="92">
                  <c:v>1766.3527177943079</c:v>
                </c:pt>
                <c:pt idx="93">
                  <c:v>1369.3153830623748</c:v>
                </c:pt>
                <c:pt idx="94">
                  <c:v>1485.5325117041648</c:v>
                </c:pt>
                <c:pt idx="95">
                  <c:v>1296.5832293516385</c:v>
                </c:pt>
                <c:pt idx="96">
                  <c:v>1493.8047388312129</c:v>
                </c:pt>
                <c:pt idx="97">
                  <c:v>1396.3818385250763</c:v>
                </c:pt>
                <c:pt idx="98">
                  <c:v>1550.7506243560917</c:v>
                </c:pt>
                <c:pt idx="99">
                  <c:v>1624.8882721828163</c:v>
                </c:pt>
                <c:pt idx="100">
                  <c:v>1434.4614286878798</c:v>
                </c:pt>
                <c:pt idx="101">
                  <c:v>1109.9668973364257</c:v>
                </c:pt>
                <c:pt idx="102">
                  <c:v>1659.2458773378987</c:v>
                </c:pt>
                <c:pt idx="103">
                  <c:v>1345.7287856322923</c:v>
                </c:pt>
                <c:pt idx="104">
                  <c:v>1430.5045627169518</c:v>
                </c:pt>
                <c:pt idx="105">
                  <c:v>1843.1359820581238</c:v>
                </c:pt>
                <c:pt idx="106">
                  <c:v>1046.2156822810591</c:v>
                </c:pt>
                <c:pt idx="107">
                  <c:v>1311.6825584007188</c:v>
                </c:pt>
                <c:pt idx="108">
                  <c:v>1361.7994433311071</c:v>
                </c:pt>
                <c:pt idx="109">
                  <c:v>1576.7834699061416</c:v>
                </c:pt>
                <c:pt idx="110">
                  <c:v>1932.9994188622045</c:v>
                </c:pt>
                <c:pt idx="111">
                  <c:v>1527.1267546776826</c:v>
                </c:pt>
                <c:pt idx="112">
                  <c:v>1451.332361569785</c:v>
                </c:pt>
                <c:pt idx="113">
                  <c:v>1407.183215540359</c:v>
                </c:pt>
                <c:pt idx="114">
                  <c:v>1550.6206958124765</c:v>
                </c:pt>
                <c:pt idx="115">
                  <c:v>1270.5120474271412</c:v>
                </c:pt>
                <c:pt idx="116">
                  <c:v>1842.0228098699974</c:v>
                </c:pt>
                <c:pt idx="117">
                  <c:v>1233.8210817335939</c:v>
                </c:pt>
                <c:pt idx="118">
                  <c:v>1072.7132243397784</c:v>
                </c:pt>
                <c:pt idx="119">
                  <c:v>1233.7420218557183</c:v>
                </c:pt>
                <c:pt idx="120">
                  <c:v>1520.8593019575692</c:v>
                </c:pt>
                <c:pt idx="121">
                  <c:v>1479.7933450015857</c:v>
                </c:pt>
                <c:pt idx="122">
                  <c:v>1378.3731419548028</c:v>
                </c:pt>
                <c:pt idx="123">
                  <c:v>1258.7612704990802</c:v>
                </c:pt>
                <c:pt idx="124">
                  <c:v>1535.7421685952488</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cat>
            <c:numRef>
              <c:f>'Tab2'!$K$103:$K$227</c:f>
              <c:numCache>
                <c:formatCode>General</c:formatCode>
                <c:ptCount val="125"/>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numCache>
            </c:numRef>
          </c:cat>
          <c:val>
            <c:numRef>
              <c:f>'Tab2'!$O$103:$O$227</c:f>
              <c:numCache>
                <c:formatCode>#,##0</c:formatCode>
                <c:ptCount val="125"/>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pt idx="111" formatCode="0">
                  <c:v>7362.2217963768126</c:v>
                </c:pt>
                <c:pt idx="112" formatCode="0">
                  <c:v>6179.0660115942028</c:v>
                </c:pt>
                <c:pt idx="113" formatCode="0">
                  <c:v>8628.701004347824</c:v>
                </c:pt>
                <c:pt idx="114" formatCode="0">
                  <c:v>13748.462299275363</c:v>
                </c:pt>
                <c:pt idx="115" formatCode="0">
                  <c:v>7776.9221253623255</c:v>
                </c:pt>
                <c:pt idx="116" formatCode="0">
                  <c:v>7817.2878601449283</c:v>
                </c:pt>
                <c:pt idx="117" formatCode="0">
                  <c:v>6698.4276256020294</c:v>
                </c:pt>
                <c:pt idx="118" formatCode="0">
                  <c:v>9381.5569490356484</c:v>
                </c:pt>
                <c:pt idx="119" formatCode="0">
                  <c:v>8299.8127776884066</c:v>
                </c:pt>
                <c:pt idx="120" formatCode="0">
                  <c:v>8185.2405021739132</c:v>
                </c:pt>
                <c:pt idx="121" formatCode="0">
                  <c:v>6967.5044210144924</c:v>
                </c:pt>
                <c:pt idx="122" formatCode="0">
                  <c:v>11835.432255072465</c:v>
                </c:pt>
                <c:pt idx="123" formatCode="0">
                  <c:v>7240.0729996128648</c:v>
                </c:pt>
                <c:pt idx="124" formatCode="0">
                  <c:v>6900.0468369565224</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numFmt formatCode="General" sourceLinked="1"/>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304067</xdr:colOff>
      <xdr:row>18</xdr:row>
      <xdr:rowOff>58370</xdr:rowOff>
    </xdr:from>
    <xdr:to>
      <xdr:col>4</xdr:col>
      <xdr:colOff>424734</xdr:colOff>
      <xdr:row>21</xdr:row>
      <xdr:rowOff>20270</xdr:rowOff>
    </xdr:to>
    <xdr:sp macro="" textlink="">
      <xdr:nvSpPr>
        <xdr:cNvPr id="8" name="Text Box 6">
          <a:extLst>
            <a:ext uri="{FF2B5EF4-FFF2-40B4-BE49-F238E27FC236}">
              <a16:creationId xmlns:a16="http://schemas.microsoft.com/office/drawing/2014/main" id="{6C236B56-5657-47C8-989C-E211142F3FE7}"/>
            </a:ext>
          </a:extLst>
        </xdr:cNvPr>
        <xdr:cNvSpPr txBox="1"/>
      </xdr:nvSpPr>
      <xdr:spPr>
        <a:xfrm>
          <a:off x="304067" y="4281120"/>
          <a:ext cx="3486167" cy="517525"/>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1. KVARTAL 2021 </a:t>
          </a:r>
          <a:r>
            <a:rPr lang="nb-NO" sz="1000">
              <a:effectLst/>
              <a:latin typeface="Arial"/>
              <a:ea typeface="ＭＳ 明朝"/>
              <a:cs typeface="Times New Roman"/>
            </a:rPr>
            <a:t>(</a:t>
          </a:r>
          <a:r>
            <a:rPr lang="nb-NO" sz="1000">
              <a:solidFill>
                <a:schemeClr val="dk1"/>
              </a:solidFill>
              <a:effectLst/>
              <a:latin typeface="Arial"/>
              <a:ea typeface="ＭＳ 明朝"/>
              <a:cs typeface="Times New Roman"/>
            </a:rPr>
            <a:t>25. mai 2022</a:t>
          </a:r>
          <a:r>
            <a:rPr lang="nb-NO" sz="1000">
              <a:effectLst/>
              <a:latin typeface="Arial"/>
              <a:ea typeface="ＭＳ 明朝"/>
              <a:cs typeface="Times New Roman"/>
            </a:rPr>
            <a:t>)</a:t>
          </a:r>
          <a:endParaRPr lang="nb-NO" sz="1200">
            <a:effectLst/>
            <a:ea typeface="ＭＳ 明朝"/>
            <a:cs typeface="Times New Roman"/>
          </a:endParaRPr>
        </a:p>
      </xdr:txBody>
    </xdr:sp>
    <xdr:clientData/>
  </xdr:twoCellAnchor>
  <xdr:twoCellAnchor>
    <xdr:from>
      <xdr:col>0</xdr:col>
      <xdr:colOff>295275</xdr:colOff>
      <xdr:row>13</xdr:row>
      <xdr:rowOff>117231</xdr:rowOff>
    </xdr:from>
    <xdr:to>
      <xdr:col>7</xdr:col>
      <xdr:colOff>95250</xdr:colOff>
      <xdr:row>17</xdr:row>
      <xdr:rowOff>101600</xdr:rowOff>
    </xdr:to>
    <xdr:sp macro="" textlink="">
      <xdr:nvSpPr>
        <xdr:cNvPr id="9" name="Text Box 4">
          <a:extLst>
            <a:ext uri="{FF2B5EF4-FFF2-40B4-BE49-F238E27FC236}">
              <a16:creationId xmlns:a16="http://schemas.microsoft.com/office/drawing/2014/main" id="{5856D3A2-E0F3-4AD9-A702-028D7F73472C}"/>
            </a:ext>
          </a:extLst>
        </xdr:cNvPr>
        <xdr:cNvSpPr txBox="1"/>
      </xdr:nvSpPr>
      <xdr:spPr>
        <a:xfrm>
          <a:off x="295275" y="2755656"/>
          <a:ext cx="5638800" cy="1165469"/>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005670"/>
              </a:solidFill>
              <a:effectLst/>
              <a:latin typeface="Arial"/>
              <a:ea typeface="ＭＳ 明朝"/>
              <a:cs typeface="Times New Roman"/>
            </a:rPr>
            <a:t>SKADESTATISTIKK	</a:t>
          </a:r>
          <a:endParaRPr lang="nb-NO" sz="1200">
            <a:solidFill>
              <a:srgbClr val="005670"/>
            </a:solidFill>
            <a:effectLst/>
            <a:ea typeface="ＭＳ 明朝"/>
            <a:cs typeface="Times New Roman"/>
          </a:endParaRPr>
        </a:p>
        <a:p>
          <a:pPr>
            <a:lnSpc>
              <a:spcPct val="120000"/>
            </a:lnSpc>
            <a:spcAft>
              <a:spcPts val="0"/>
            </a:spcAft>
          </a:pPr>
          <a:r>
            <a:rPr lang="en-GB" sz="2600">
              <a:solidFill>
                <a:srgbClr val="005670"/>
              </a:solidFill>
              <a:effectLst/>
              <a:latin typeface="Arial"/>
              <a:ea typeface="ＭＳ 明朝"/>
              <a:cs typeface="MinionPro-Regular"/>
            </a:rPr>
            <a:t>landbasert</a:t>
          </a:r>
          <a:r>
            <a:rPr lang="en-GB" sz="2600" baseline="0">
              <a:solidFill>
                <a:srgbClr val="005670"/>
              </a:solidFill>
              <a:effectLst/>
              <a:latin typeface="Arial"/>
              <a:ea typeface="ＭＳ 明朝"/>
              <a:cs typeface="MinionPro-Regular"/>
            </a:rPr>
            <a:t> skadeforsikring</a:t>
          </a:r>
          <a:r>
            <a:rPr lang="nb-NO" sz="1200">
              <a:effectLst/>
              <a:ea typeface="ＭＳ 明朝"/>
              <a:cs typeface="Times New Roman"/>
            </a:rPr>
            <a:t> </a:t>
          </a:r>
        </a:p>
      </xdr:txBody>
    </xdr:sp>
    <xdr:clientData/>
  </xdr:twoCellAnchor>
  <xdr:twoCellAnchor>
    <xdr:from>
      <xdr:col>0</xdr:col>
      <xdr:colOff>292100</xdr:colOff>
      <xdr:row>16</xdr:row>
      <xdr:rowOff>410309</xdr:rowOff>
    </xdr:from>
    <xdr:to>
      <xdr:col>6</xdr:col>
      <xdr:colOff>695353</xdr:colOff>
      <xdr:row>18</xdr:row>
      <xdr:rowOff>43961</xdr:rowOff>
    </xdr:to>
    <xdr:sp macro="" textlink="">
      <xdr:nvSpPr>
        <xdr:cNvPr id="10" name="Text Box 5">
          <a:extLst>
            <a:ext uri="{FF2B5EF4-FFF2-40B4-BE49-F238E27FC236}">
              <a16:creationId xmlns:a16="http://schemas.microsoft.com/office/drawing/2014/main" id="{C65A56DF-C6C9-4ACE-81B2-6DDF0692C997}"/>
            </a:ext>
          </a:extLst>
        </xdr:cNvPr>
        <xdr:cNvSpPr txBox="1"/>
      </xdr:nvSpPr>
      <xdr:spPr>
        <a:xfrm>
          <a:off x="292100" y="3810734"/>
          <a:ext cx="5480078" cy="471852"/>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en-GB" sz="1400">
              <a:solidFill>
                <a:srgbClr val="000000"/>
              </a:solidFill>
              <a:effectLst/>
              <a:latin typeface="Arial"/>
              <a:ea typeface="ＭＳ 明朝"/>
              <a:cs typeface="MinionPro-Regular"/>
            </a:rPr>
            <a:t>Statistikk over antall meldte skader og totalt anslåtte erstatninger</a:t>
          </a:r>
        </a:p>
        <a:p>
          <a:pPr>
            <a:spcAft>
              <a:spcPts val="0"/>
            </a:spcAft>
          </a:pPr>
          <a:r>
            <a:rPr lang="nb-NO" sz="1200">
              <a:effectLst/>
              <a:ea typeface="ＭＳ 明朝"/>
              <a:cs typeface="Times New Roman"/>
            </a:rPr>
            <a:t> </a:t>
          </a:r>
        </a:p>
      </xdr:txBody>
    </xdr:sp>
    <xdr:clientData/>
  </xdr:twoCellAnchor>
  <xdr:twoCellAnchor editAs="oneCell">
    <xdr:from>
      <xdr:col>0</xdr:col>
      <xdr:colOff>281354</xdr:colOff>
      <xdr:row>5</xdr:row>
      <xdr:rowOff>14653</xdr:rowOff>
    </xdr:from>
    <xdr:to>
      <xdr:col>9</xdr:col>
      <xdr:colOff>591039</xdr:colOff>
      <xdr:row>12</xdr:row>
      <xdr:rowOff>222182</xdr:rowOff>
    </xdr:to>
    <xdr:pic>
      <xdr:nvPicPr>
        <xdr:cNvPr id="11" name="Bilde 7">
          <a:extLst>
            <a:ext uri="{FF2B5EF4-FFF2-40B4-BE49-F238E27FC236}">
              <a16:creationId xmlns:a16="http://schemas.microsoft.com/office/drawing/2014/main" id="{35ED7BBA-853A-4832-B8DE-6AEB5DF8F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354" y="824278"/>
          <a:ext cx="7805860" cy="17886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6</xdr:col>
      <xdr:colOff>371630</xdr:colOff>
      <xdr:row>45</xdr:row>
      <xdr:rowOff>141446</xdr:rowOff>
    </xdr:to>
    <xdr:sp macro="" textlink="">
      <xdr:nvSpPr>
        <xdr:cNvPr id="4" name="Text Box 1">
          <a:extLst>
            <a:ext uri="{FF2B5EF4-FFF2-40B4-BE49-F238E27FC236}">
              <a16:creationId xmlns:a16="http://schemas.microsoft.com/office/drawing/2014/main" id="{6617446D-AD4E-438E-90ED-C10B705C8C2D}"/>
            </a:ext>
          </a:extLst>
        </xdr:cNvPr>
        <xdr:cNvSpPr txBox="1">
          <a:spLocks noChangeArrowheads="1"/>
        </xdr:cNvSpPr>
      </xdr:nvSpPr>
      <xdr:spPr bwMode="auto">
        <a:xfrm>
          <a:off x="0" y="342900"/>
          <a:ext cx="5305580" cy="8142446"/>
        </a:xfrm>
        <a:prstGeom prst="rect">
          <a:avLst/>
        </a:prstGeom>
        <a:solidFill>
          <a:srgbClr val="FFFFFF"/>
        </a:solidFill>
        <a:ln w="9525">
          <a:noFill/>
          <a:miter lim="800000"/>
          <a:headEnd/>
          <a:tailEnd/>
        </a:ln>
      </xdr:spPr>
      <xdr:txBody>
        <a:bodyPr vertOverflow="clip" wrap="square" lIns="27432" tIns="27432"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nb-NO" sz="10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Hovedtrekk 1.kvartal 2022 – gunstig vinter i Sør-Norge – snørikt i nord og vest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koronatiltakene lempet på - reiseskader nærmer seg 2019-nivå</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1"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Merk at korona-begrensende gjaldt mye av 1.kvartal 2021, mens de utover i 1.kvartal 2022 har blitt lempet på. Betydningen i fjor var størst på reise siden «unødvendige fritidsreiser» ble frarådet. For næringslivet var det da også mye nedstenginger særlig innen reiseliv og restaurant, dette medførte mindre aktivitet på en del områder.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Erstatningene for landbasert forsikring totalt hittil i år ble på 13,0 milliarder kr, mot 12,2 milliarder i fjor til samme tid. Økningen fra i fjor på 800 mill.kr skyldes i stor grad reiseskader (300 mill.kr) og motorvognskader (490 mill.kr), samt mer personskader. Det er reduksjon fra 1.kvartal i fjor på hus, hjem, hytte (-460 mill.kr) som i stor grad skyldes en gunstig vinter i Sør-Norge, med mindre frost- og snøtyngdeskader, samt færre brannskader i private hjem. På næringsbygg økte erstatningene med drøye 100 mill.kr fra i fjor som skyldes flere storskader på brann (bl.a. leilighetsbygg i Hemsedal og i Drammen).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Motor – flere biler på veien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Erstatning på motorvogn totalt ble på 4,8 milliarder kr som er en økning på drøye 11 prosent fra i fjor. Det er kasko og kollisjonsskadene som har økt mest i kroner. Glasskadene er på nesten 410 mill.kr hittil i år, noe som er 3 prosent lavere enn 1.kvartal 2020; det må bemerkes at glasskadene i 1.kvartal 2021 var noe underrapportert (feil). På personbil er det noe økte erstatninger på tyveri av og fra bil. Koronatiltakene i 1.kvartal i fjor medførte at færre nyttekjøretøy var på veien, og dermed mindre skader, mens det i år har blitt lempet på tiltakene og dermed økte skader. På lastebil/buss økte både antall skader med 30 prosent og erstatninger med rundt 14 prosent sammenlignet med samme tid i fjor. I likhet med arbeidsmaskin/traktor hvor erstatningene økte med nesten 14 prosent; her skyldtes det også noe mer tyveri av kjøretøy.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Hus, hjem, hytte – gunstig vinter i sør ga mindre brann- og vannskader</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For hus, hjem og hytter ble de totale erstatningene hittil i år på 2,5 milliarder kr mot nesten 3 milliarder i fjor, en reduksjon på drøyt 15 prosent. Brannskadene ble på 791 mill.kr som er en reduksjon på nesten 11 prosent fra i fjor, og vannskadeerstatningene ble på 882 mill.kr mot 1,2 milliarder i fjor. Vinteren i fjor var kald og medførte mye frostskader og i tillegg var det en del snøtyngdeskader på hus og hytter. Antall meldte Innbrudd/tyveri/ran tilfeller hittil i år er på totalt 6.185.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Næringsbygg og landbruk – flere storskader på brann og mindre vannskader etter frost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Hittil i år ble det erstattet skader for totalt 1,690 mrd.kr mot 1,585 mrd.kr i fjor. Økningen skyldes mer brannskader; blant annet brant det to leilighetsbygg i mars i år; ett i Hemsedal (under oppføring) og i Drammen. I likhet med private boliger var det mye frostskader i fjor, mens det i år har vært en gunstigere vinter. Vannskadene hittil i år ble på 495 mill.kr mot 633 mill.kr i fjor. Erstatning etter innbrudd/tyveri/ran utgjør ‘bare’ 37 mill.kr, men også her er det en økning fra i fjor. Det er ofte høye egenandeler på næring og strenge sikringstiltak, slik at forsikringsmeldte skader her utgjør under halvparten av det som erstattes fra private boliger/hytter.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Reiseforsikring – «forbud» mot unødvendige utenlandsreiser opphevet i år</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Hittil i år er det meldt rundt 66.000 reiseskader mot 34.000 i 1.kv. i fjor. Samlet erstatning hittil er på 414 mill.kr, mot fjorårets 111 mill.kr. I 1.kvartal 2019 – det siste før koronatiltak – var det 82.000 reiseskader med erstatning på 670 mill.kr. Hittil i år er tyveri av reisegods, ulykke og avbestilling på omtrent 2019-nivå, mens reisesyke fortsatt er en del lavere (omtrent halvparten).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Behandlingsforsikring – økt bruk som følge av korona(?)</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Det er fortsatt stor økning i porteføljen på behandlingsforsikring, som gjenspeiler seg i bruken av denne forsikringen – fra 1.kvartal 2021 økte antall forsikrede personer med 8 prosent.</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Antall meldte tilfeller har økt fra 85.200 1.kv.2020 til 103.000 hittil i år, og erstatningene har økt fra 447 mill.kr til 492 mill.kr hittil i år. Hittil i år er fysioterapi-bruk på 105 mill.kr, mot samme tid i fjor på 83 mill.kr. Bruk av fysioterapi kan være «gjemt» under «annet-posten» hvor blant annet rehabilitering inngår.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381000</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12775"/>
          <a:ext cx="2889250" cy="9547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Codan Forsikring</a:t>
          </a:r>
        </a:p>
        <a:p>
          <a:pPr algn="l" rtl="0">
            <a:defRPr sz="1000"/>
          </a:pPr>
          <a:r>
            <a:rPr lang="en-US" sz="1050" b="0" i="0" strike="noStrike">
              <a:solidFill>
                <a:srgbClr val="000000"/>
              </a:solidFill>
              <a:latin typeface="Times New Roman" pitchFamily="18" charset="0"/>
              <a:ea typeface="+mn-ea"/>
              <a:cs typeface="Times New Roman" pitchFamily="18" charset="0"/>
            </a:rPr>
            <a:t>     Danica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DNB Livsforsikring</a:t>
          </a:r>
        </a:p>
        <a:p>
          <a:pPr algn="l" rtl="0">
            <a:defRPr sz="1000"/>
          </a:pPr>
          <a:r>
            <a:rPr lang="en-US" sz="1050" b="0" i="0" strike="noStrike">
              <a:solidFill>
                <a:srgbClr val="000000"/>
              </a:solidFill>
              <a:latin typeface="Times New Roman" pitchFamily="18" charset="0"/>
              <a:ea typeface="+mn-ea"/>
              <a:cs typeface="Times New Roman" pitchFamily="18" charset="0"/>
            </a:rPr>
            <a:t>     Eika Forsikring</a:t>
          </a:r>
        </a:p>
        <a:p>
          <a:pPr algn="l" rtl="0">
            <a:defRPr sz="1000"/>
          </a:pPr>
          <a:r>
            <a:rPr lang="en-US" sz="1050" b="0" i="0" strike="noStrike">
              <a:solidFill>
                <a:srgbClr val="000000"/>
              </a:solidFill>
              <a:latin typeface="Times New Roman" pitchFamily="18" charset="0"/>
              <a:ea typeface="+mn-ea"/>
              <a:cs typeface="Times New Roman" pitchFamily="18" charset="0"/>
            </a:rPr>
            <a:t>     Eir Försäkring AB</a:t>
          </a:r>
        </a:p>
        <a:p>
          <a:pPr algn="l" rtl="0">
            <a:defRPr sz="1000"/>
          </a:pPr>
          <a:r>
            <a:rPr lang="en-US" sz="1050" b="0" i="0" strike="noStrike">
              <a:solidFill>
                <a:srgbClr val="000000"/>
              </a:solidFill>
              <a:latin typeface="Times New Roman" pitchFamily="18" charset="0"/>
              <a:ea typeface="+mn-ea"/>
              <a:cs typeface="Times New Roman" pitchFamily="18" charset="0"/>
            </a:rPr>
            <a:t>     Euro Accident</a:t>
          </a:r>
        </a:p>
        <a:p>
          <a:pPr algn="l" rtl="0">
            <a:defRPr sz="1000"/>
          </a:pPr>
          <a:r>
            <a:rPr lang="en-US" sz="1050" b="0" i="0" strike="noStrike">
              <a:solidFill>
                <a:srgbClr val="000000"/>
              </a:solidFill>
              <a:latin typeface="Times New Roman" pitchFamily="18" charset="0"/>
              <a:ea typeface="+mn-ea"/>
              <a:cs typeface="Times New Roman" pitchFamily="18" charset="0"/>
            </a:rPr>
            <a:t>     Euro Insurance LTD (Lease Plan Norge)</a:t>
          </a:r>
        </a:p>
        <a:p>
          <a:pPr algn="l" rtl="0">
            <a:defRPr sz="1000"/>
          </a:pPr>
          <a:r>
            <a:rPr lang="en-US" sz="1050" b="0" i="0" strike="noStrike">
              <a:solidFill>
                <a:srgbClr val="000000"/>
              </a:solidFill>
              <a:latin typeface="Times New Roman" pitchFamily="18" charset="0"/>
              <a:ea typeface="+mn-ea"/>
              <a:cs typeface="Times New Roman" pitchFamily="18" charset="0"/>
            </a:rPr>
            <a:t>     Fremtind Livsforsikring</a:t>
          </a:r>
        </a:p>
        <a:p>
          <a:pPr algn="l" rtl="0">
            <a:defRPr sz="1000"/>
          </a:pPr>
          <a:r>
            <a:rPr lang="en-US" sz="1050" b="0" i="0" strike="noStrike">
              <a:solidFill>
                <a:srgbClr val="000000"/>
              </a:solidFill>
              <a:latin typeface="Times New Roman" pitchFamily="18" charset="0"/>
              <a:ea typeface="+mn-ea"/>
              <a:cs typeface="Times New Roman" pitchFamily="18" charset="0"/>
            </a:rPr>
            <a:t>     Fremtind Skadeforsirking</a:t>
          </a:r>
        </a:p>
        <a:p>
          <a:pPr algn="l" rtl="0">
            <a:defRPr sz="1000"/>
          </a:pPr>
          <a:r>
            <a:rPr lang="en-US" sz="1050" b="0" i="0" strike="noStrike">
              <a:solidFill>
                <a:srgbClr val="000000"/>
              </a:solidFill>
              <a:latin typeface="Times New Roman" pitchFamily="18" charset="0"/>
              <a:ea typeface="+mn-ea"/>
              <a:cs typeface="Times New Roman" pitchFamily="18" charset="0"/>
            </a:rPr>
            <a:t>     Frende 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      </a:t>
          </a:r>
        </a:p>
        <a:p>
          <a:pPr algn="l" rtl="0">
            <a:defRPr sz="1000"/>
          </a:pPr>
          <a:r>
            <a:rPr lang="en-US" sz="1050" b="0" i="0" strike="noStrike">
              <a:solidFill>
                <a:srgbClr val="000000"/>
              </a:solidFill>
              <a:latin typeface="Times New Roman" pitchFamily="18" charset="0"/>
              <a:ea typeface="+mn-ea"/>
              <a:cs typeface="Times New Roman" pitchFamily="18" charset="0"/>
            </a:rPr>
            <a:t>     HDI Global Specialty SE</a:t>
          </a:r>
        </a:p>
        <a:p>
          <a:pPr algn="l" rtl="0">
            <a:defRPr sz="1000"/>
          </a:pPr>
          <a:r>
            <a:rPr lang="en-US" sz="1050" b="0" i="0" strike="noStrike">
              <a:solidFill>
                <a:srgbClr val="000000"/>
              </a:solidFill>
              <a:latin typeface="Times New Roman" pitchFamily="18" charset="0"/>
              <a:ea typeface="+mn-ea"/>
              <a:cs typeface="Times New Roman" pitchFamily="18" charset="0"/>
            </a:rPr>
            <a:t>     If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Insr      </a:t>
          </a:r>
        </a:p>
        <a:p>
          <a:pPr algn="l" rtl="0">
            <a:defRPr sz="1000"/>
          </a:pPr>
          <a:r>
            <a:rPr lang="en-US" sz="1050" b="0" i="0" strike="noStrike">
              <a:solidFill>
                <a:srgbClr val="000000"/>
              </a:solidFill>
              <a:latin typeface="Times New Roman" pitchFamily="18" charset="0"/>
              <a:ea typeface="+mn-ea"/>
              <a:cs typeface="Times New Roman" pitchFamily="18" charset="0"/>
            </a:rPr>
            <a:t>     Jernbanepersonalets bank og forsikring      </a:t>
          </a:r>
        </a:p>
        <a:p>
          <a:pPr algn="l" rtl="0">
            <a:defRPr sz="1000"/>
          </a:pPr>
          <a:r>
            <a:rPr lang="en-US" sz="1050" b="0" i="0" strike="noStrike">
              <a:solidFill>
                <a:srgbClr val="000000"/>
              </a:solidFill>
              <a:latin typeface="Times New Roman" pitchFamily="18" charset="0"/>
              <a:ea typeface="+mn-ea"/>
              <a:cs typeface="Times New Roman" pitchFamily="18" charset="0"/>
            </a:rPr>
            <a:t>     KLP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KNIF Trygghet Forsikring</a:t>
          </a:r>
        </a:p>
        <a:p>
          <a:pPr algn="l" rtl="0">
            <a:defRPr sz="1000"/>
          </a:pPr>
          <a:r>
            <a:rPr lang="en-US" sz="1050" b="0" i="0" strike="noStrike">
              <a:solidFill>
                <a:srgbClr val="000000"/>
              </a:solidFill>
              <a:latin typeface="Times New Roman" pitchFamily="18" charset="0"/>
              <a:ea typeface="+mn-ea"/>
              <a:cs typeface="Times New Roman" pitchFamily="18" charset="0"/>
            </a:rPr>
            <a:t>     Landkreditt Forsikring</a:t>
          </a:r>
        </a:p>
        <a:p>
          <a:pPr algn="l" rtl="0">
            <a:defRPr sz="1000"/>
          </a:pPr>
          <a:r>
            <a:rPr lang="en-US" sz="1050" b="0" i="0" strike="noStrike">
              <a:solidFill>
                <a:srgbClr val="000000"/>
              </a:solidFill>
              <a:latin typeface="Times New Roman" pitchFamily="18" charset="0"/>
              <a:ea typeface="+mn-ea"/>
              <a:cs typeface="Times New Roman" pitchFamily="18" charset="0"/>
            </a:rPr>
            <a:t>     Møretrygd</a:t>
          </a:r>
        </a:p>
        <a:p>
          <a:pPr algn="l" rtl="0">
            <a:defRPr sz="1000"/>
          </a:pPr>
          <a:r>
            <a:rPr lang="en-US" sz="1050" b="0" i="0" strike="noStrike">
              <a:solidFill>
                <a:srgbClr val="000000"/>
              </a:solidFill>
              <a:latin typeface="Times New Roman" pitchFamily="18" charset="0"/>
              <a:ea typeface="+mn-ea"/>
              <a:cs typeface="Times New Roman" pitchFamily="18" charset="0"/>
            </a:rPr>
            <a:t>     Nordea Liv</a:t>
          </a: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Protector Forsikring</a:t>
          </a:r>
        </a:p>
        <a:p>
          <a:pPr algn="l" rtl="0">
            <a:defRPr sz="1000"/>
          </a:pPr>
          <a:r>
            <a:rPr lang="en-US" sz="1050" b="0" i="0" strike="noStrike">
              <a:solidFill>
                <a:srgbClr val="000000"/>
              </a:solidFill>
              <a:latin typeface="Times New Roman" pitchFamily="18" charset="0"/>
              <a:ea typeface="+mn-ea"/>
              <a:cs typeface="Times New Roman" pitchFamily="18" charset="0"/>
            </a:rPr>
            <a:t>     Skogbrand</a:t>
          </a:r>
        </a:p>
        <a:p>
          <a:pPr algn="l" rtl="0">
            <a:defRPr sz="1000"/>
          </a:pPr>
          <a:r>
            <a:rPr lang="en-US" sz="1050" b="0" i="0" strike="noStrike">
              <a:solidFill>
                <a:srgbClr val="000000"/>
              </a:solidFill>
              <a:latin typeface="Times New Roman" pitchFamily="18" charset="0"/>
              <a:ea typeface="+mn-ea"/>
              <a:cs typeface="Times New Roman" pitchFamily="18" charset="0"/>
            </a:rPr>
            <a:t>     Storebrand Forsikring</a:t>
          </a:r>
        </a:p>
        <a:p>
          <a:pPr algn="l" rtl="0">
            <a:defRPr sz="1000"/>
          </a:pPr>
          <a:r>
            <a:rPr lang="en-US" sz="1050" b="0" i="0" strike="noStrike">
              <a:solidFill>
                <a:srgbClr val="000000"/>
              </a:solidFill>
              <a:latin typeface="Times New Roman" pitchFamily="18" charset="0"/>
              <a:ea typeface="+mn-ea"/>
              <a:cs typeface="Times New Roman" pitchFamily="18" charset="0"/>
            </a:rPr>
            <a:t>     Telenor Forsikring</a:t>
          </a:r>
        </a:p>
        <a:p>
          <a:pPr algn="l" rtl="0">
            <a:defRPr sz="1000"/>
          </a:pPr>
          <a:r>
            <a:rPr lang="en-US" sz="1050" b="0" i="0" strike="noStrike">
              <a:solidFill>
                <a:srgbClr val="000000"/>
              </a:solidFill>
              <a:latin typeface="Times New Roman" pitchFamily="18" charset="0"/>
              <a:ea typeface="+mn-ea"/>
              <a:cs typeface="Times New Roman" pitchFamily="18" charset="0"/>
            </a:rPr>
            <a:t>     Troll Forsikring</a:t>
          </a:r>
        </a:p>
        <a:p>
          <a:pPr algn="l" rtl="0">
            <a:defRPr sz="1000"/>
          </a:pPr>
          <a:r>
            <a:rPr lang="en-US" sz="1050" b="0" i="0" strike="noStrike">
              <a:solidFill>
                <a:srgbClr val="000000"/>
              </a:solidFill>
              <a:latin typeface="Times New Roman" pitchFamily="18" charset="0"/>
              <a:ea typeface="+mn-ea"/>
              <a:cs typeface="Times New Roman" pitchFamily="18" charset="0"/>
            </a:rPr>
            <a:t>     Tryg</a:t>
          </a:r>
        </a:p>
        <a:p>
          <a:pPr algn="l" rtl="0">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050" b="0" i="0" strike="noStrike">
              <a:solidFill>
                <a:srgbClr val="000000"/>
              </a:solidFill>
              <a:latin typeface="Times New Roman" pitchFamily="18" charset="0"/>
              <a:ea typeface="+mn-ea"/>
              <a:cs typeface="Times New Roman" pitchFamily="18" charset="0"/>
            </a:rPr>
            <a:t>     WaterCircles Forsikring</a:t>
          </a:r>
        </a:p>
        <a:p>
          <a:pPr algn="l" rtl="0">
            <a:defRPr sz="1000"/>
          </a:pPr>
          <a:r>
            <a:rPr lang="en-US" sz="1050" b="0" i="0" strike="noStrike">
              <a:solidFill>
                <a:srgbClr val="000000"/>
              </a:solidFill>
              <a:latin typeface="Times New Roman" pitchFamily="18" charset="0"/>
              <a:ea typeface="+mn-ea"/>
              <a:cs typeface="Times New Roman" pitchFamily="18" charset="0"/>
            </a:rPr>
            <a:t>     YouPlus Livsforsikring  </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200" b="0" i="1">
              <a:effectLst/>
              <a:latin typeface="Times New Roman" panose="02020603050405020304" pitchFamily="18" charset="0"/>
              <a:ea typeface="+mn-ea"/>
              <a:cs typeface="Times New Roman" panose="02020603050405020304" pitchFamily="18" charset="0"/>
            </a:rPr>
            <a:t>Naturskadeutbetalingene</a:t>
          </a:r>
          <a:r>
            <a:rPr lang="en-US" sz="1200" b="0" i="0">
              <a:effectLst/>
              <a:latin typeface="Times New Roman" panose="02020603050405020304" pitchFamily="18" charset="0"/>
              <a:ea typeface="+mn-ea"/>
              <a:cs typeface="Times New Roman" panose="02020603050405020304" pitchFamily="18" charset="0"/>
            </a:rPr>
            <a:t> er holdt utenfor statistikken. Det samme gjelder </a:t>
          </a:r>
          <a:r>
            <a:rPr lang="en-US" sz="1200" b="0" i="1">
              <a:effectLst/>
              <a:latin typeface="Times New Roman" panose="02020603050405020304" pitchFamily="18" charset="0"/>
              <a:ea typeface="+mn-ea"/>
              <a:cs typeface="Times New Roman" panose="02020603050405020304" pitchFamily="18" charset="0"/>
            </a:rPr>
            <a:t>kreditt</a:t>
          </a:r>
          <a:r>
            <a:rPr lang="en-US" sz="1200" b="0" i="0">
              <a:effectLst/>
              <a:latin typeface="Times New Roman" panose="02020603050405020304" pitchFamily="18" charset="0"/>
              <a:ea typeface="+mn-ea"/>
              <a:cs typeface="Times New Roman" panose="02020603050405020304" pitchFamily="18" charset="0"/>
            </a:rPr>
            <a:t>- og </a:t>
          </a:r>
          <a:r>
            <a:rPr lang="en-US" sz="1200" b="0" i="1">
              <a:effectLst/>
              <a:latin typeface="Times New Roman" panose="02020603050405020304" pitchFamily="18" charset="0"/>
              <a:ea typeface="+mn-ea"/>
              <a:cs typeface="Times New Roman" panose="02020603050405020304" pitchFamily="18" charset="0"/>
            </a:rPr>
            <a:t>sjøforsikring.</a:t>
          </a:r>
          <a:endParaRPr lang="nb-NO" sz="1200">
            <a:effectLst/>
            <a:latin typeface="Times New Roman" panose="02020603050405020304" pitchFamily="18" charset="0"/>
            <a:cs typeface="Times New Roman" panose="02020603050405020304" pitchFamily="18" charset="0"/>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460375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968625" y="604537"/>
          <a:ext cx="2492375" cy="9539587"/>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(tall hittil i år).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a:t>
          </a:r>
          <a:r>
            <a:rPr lang="en-US" sz="1200" b="0" i="0" strike="noStrike">
              <a:solidFill>
                <a:srgbClr val="000000"/>
              </a:solidFill>
              <a:latin typeface="Times New Roman"/>
              <a:ea typeface="+mn-ea"/>
              <a:cs typeface="Times New Roman"/>
            </a:rPr>
            <a:t>tidsperiode statistikken omfatter (tall hittil i år). I </a:t>
          </a:r>
          <a:r>
            <a:rPr lang="en-US" sz="1200" b="0" i="0" strike="noStrike">
              <a:solidFill>
                <a:srgbClr val="000000"/>
              </a:solidFill>
              <a:latin typeface="Times New Roman"/>
              <a:cs typeface="Times New Roman"/>
            </a:rPr>
            <a:t>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Framskriving</a:t>
          </a:r>
        </a:p>
        <a:p>
          <a:pPr algn="l" rtl="0">
            <a:defRPr sz="1000"/>
          </a:pPr>
          <a:r>
            <a:rPr lang="en-US" sz="1200" b="0" i="0" strike="noStrike">
              <a:solidFill>
                <a:srgbClr val="000000"/>
              </a:solidFill>
              <a:latin typeface="Times New Roman"/>
              <a:cs typeface="Times New Roman"/>
            </a:rPr>
            <a:t>I rapporten for 1., 2. og 3. kvartal gis det en framskriving av antall skader og anslått erstatning for inneværende skadeår. Alle slike tall er merket med *. Framskrivingen gir bare uttrykk for hva årsresultatet blir om den gjenværende del av året utvikler seg  på samme måte som de to foregående skadeår, gitt volumet for antall skader og anslått erstatning hittil i år. Framskrivingen blir derfor særlig sårbar hvis det er meldt storskader tidlig i året, eller ved andre spesielle hendelser som medfører uvanlige forsikringsår. Spesielt vil årene 2020 og 2021 (år med mange korona-tiltak), kunne inneholde «dårlige» framskrivings-grunnlag for hva som kan inntreffe resten av året, da disse årene sannsynligvis ikke vil følge «vanlig» utvikling, men utvikle seg i henhold til pandemiutviklingen og ulike tiltak fra Norges myndigheter.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454823</xdr:colOff>
      <xdr:row>4</xdr:row>
      <xdr:rowOff>66675</xdr:rowOff>
    </xdr:from>
    <xdr:to>
      <xdr:col>13</xdr:col>
      <xdr:colOff>721523</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205792" y="578644"/>
          <a:ext cx="2552700" cy="937736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showRowColHeaders="0" tabSelected="1" zoomScale="65" zoomScaleNormal="65" zoomScaleSheetLayoutView="100" workbookViewId="0"/>
  </sheetViews>
  <sheetFormatPr defaultColWidth="11.42578125" defaultRowHeight="12.75" x14ac:dyDescent="0.2"/>
  <cols>
    <col min="1" max="1" width="16.28515625" style="151" customWidth="1"/>
    <col min="2" max="4" width="11.42578125" style="151"/>
    <col min="5" max="5" width="14.140625" style="151" bestFit="1" customWidth="1"/>
    <col min="6" max="7" width="11.42578125" style="151"/>
    <col min="8" max="8" width="13.42578125" style="151" customWidth="1"/>
    <col min="9" max="9" width="11.42578125" style="151"/>
    <col min="10" max="10" width="13.42578125" style="151" bestFit="1" customWidth="1"/>
    <col min="11" max="256" width="11.42578125" style="151"/>
    <col min="257" max="257" width="16.28515625" style="151" customWidth="1"/>
    <col min="258" max="260" width="11.42578125" style="151"/>
    <col min="261" max="261" width="14.140625" style="151" bestFit="1" customWidth="1"/>
    <col min="262" max="263" width="11.42578125" style="151"/>
    <col min="264" max="264" width="13.42578125" style="151" customWidth="1"/>
    <col min="265" max="265" width="11.42578125" style="151"/>
    <col min="266" max="266" width="13.42578125" style="151" bestFit="1" customWidth="1"/>
    <col min="267" max="512" width="11.42578125" style="151"/>
    <col min="513" max="513" width="16.28515625" style="151" customWidth="1"/>
    <col min="514" max="516" width="11.42578125" style="151"/>
    <col min="517" max="517" width="14.140625" style="151" bestFit="1" customWidth="1"/>
    <col min="518" max="519" width="11.42578125" style="151"/>
    <col min="520" max="520" width="13.42578125" style="151" customWidth="1"/>
    <col min="521" max="521" width="11.42578125" style="151"/>
    <col min="522" max="522" width="13.42578125" style="151" bestFit="1" customWidth="1"/>
    <col min="523" max="768" width="11.42578125" style="151"/>
    <col min="769" max="769" width="16.28515625" style="151" customWidth="1"/>
    <col min="770" max="772" width="11.42578125" style="151"/>
    <col min="773" max="773" width="14.140625" style="151" bestFit="1" customWidth="1"/>
    <col min="774" max="775" width="11.42578125" style="151"/>
    <col min="776" max="776" width="13.42578125" style="151" customWidth="1"/>
    <col min="777" max="777" width="11.42578125" style="151"/>
    <col min="778" max="778" width="13.42578125" style="151" bestFit="1" customWidth="1"/>
    <col min="779" max="1024" width="11.42578125" style="151"/>
    <col min="1025" max="1025" width="16.28515625" style="151" customWidth="1"/>
    <col min="1026" max="1028" width="11.42578125" style="151"/>
    <col min="1029" max="1029" width="14.140625" style="151" bestFit="1" customWidth="1"/>
    <col min="1030" max="1031" width="11.42578125" style="151"/>
    <col min="1032" max="1032" width="13.42578125" style="151" customWidth="1"/>
    <col min="1033" max="1033" width="11.42578125" style="151"/>
    <col min="1034" max="1034" width="13.42578125" style="151" bestFit="1" customWidth="1"/>
    <col min="1035" max="1280" width="11.42578125" style="151"/>
    <col min="1281" max="1281" width="16.28515625" style="151" customWidth="1"/>
    <col min="1282" max="1284" width="11.42578125" style="151"/>
    <col min="1285" max="1285" width="14.140625" style="151" bestFit="1" customWidth="1"/>
    <col min="1286" max="1287" width="11.42578125" style="151"/>
    <col min="1288" max="1288" width="13.42578125" style="151" customWidth="1"/>
    <col min="1289" max="1289" width="11.42578125" style="151"/>
    <col min="1290" max="1290" width="13.42578125" style="151" bestFit="1" customWidth="1"/>
    <col min="1291" max="1536" width="11.42578125" style="151"/>
    <col min="1537" max="1537" width="16.28515625" style="151" customWidth="1"/>
    <col min="1538" max="1540" width="11.42578125" style="151"/>
    <col min="1541" max="1541" width="14.140625" style="151" bestFit="1" customWidth="1"/>
    <col min="1542" max="1543" width="11.42578125" style="151"/>
    <col min="1544" max="1544" width="13.42578125" style="151" customWidth="1"/>
    <col min="1545" max="1545" width="11.42578125" style="151"/>
    <col min="1546" max="1546" width="13.42578125" style="151" bestFit="1" customWidth="1"/>
    <col min="1547" max="1792" width="11.42578125" style="151"/>
    <col min="1793" max="1793" width="16.28515625" style="151" customWidth="1"/>
    <col min="1794" max="1796" width="11.42578125" style="151"/>
    <col min="1797" max="1797" width="14.140625" style="151" bestFit="1" customWidth="1"/>
    <col min="1798" max="1799" width="11.42578125" style="151"/>
    <col min="1800" max="1800" width="13.42578125" style="151" customWidth="1"/>
    <col min="1801" max="1801" width="11.42578125" style="151"/>
    <col min="1802" max="1802" width="13.42578125" style="151" bestFit="1" customWidth="1"/>
    <col min="1803" max="2048" width="11.42578125" style="151"/>
    <col min="2049" max="2049" width="16.28515625" style="151" customWidth="1"/>
    <col min="2050" max="2052" width="11.42578125" style="151"/>
    <col min="2053" max="2053" width="14.140625" style="151" bestFit="1" customWidth="1"/>
    <col min="2054" max="2055" width="11.42578125" style="151"/>
    <col min="2056" max="2056" width="13.42578125" style="151" customWidth="1"/>
    <col min="2057" max="2057" width="11.42578125" style="151"/>
    <col min="2058" max="2058" width="13.42578125" style="151" bestFit="1" customWidth="1"/>
    <col min="2059" max="2304" width="11.42578125" style="151"/>
    <col min="2305" max="2305" width="16.28515625" style="151" customWidth="1"/>
    <col min="2306" max="2308" width="11.42578125" style="151"/>
    <col min="2309" max="2309" width="14.140625" style="151" bestFit="1" customWidth="1"/>
    <col min="2310" max="2311" width="11.42578125" style="151"/>
    <col min="2312" max="2312" width="13.42578125" style="151" customWidth="1"/>
    <col min="2313" max="2313" width="11.42578125" style="151"/>
    <col min="2314" max="2314" width="13.42578125" style="151" bestFit="1" customWidth="1"/>
    <col min="2315" max="2560" width="11.42578125" style="151"/>
    <col min="2561" max="2561" width="16.28515625" style="151" customWidth="1"/>
    <col min="2562" max="2564" width="11.42578125" style="151"/>
    <col min="2565" max="2565" width="14.140625" style="151" bestFit="1" customWidth="1"/>
    <col min="2566" max="2567" width="11.42578125" style="151"/>
    <col min="2568" max="2568" width="13.42578125" style="151" customWidth="1"/>
    <col min="2569" max="2569" width="11.42578125" style="151"/>
    <col min="2570" max="2570" width="13.42578125" style="151" bestFit="1" customWidth="1"/>
    <col min="2571" max="2816" width="11.42578125" style="151"/>
    <col min="2817" max="2817" width="16.28515625" style="151" customWidth="1"/>
    <col min="2818" max="2820" width="11.42578125" style="151"/>
    <col min="2821" max="2821" width="14.140625" style="151" bestFit="1" customWidth="1"/>
    <col min="2822" max="2823" width="11.42578125" style="151"/>
    <col min="2824" max="2824" width="13.42578125" style="151" customWidth="1"/>
    <col min="2825" max="2825" width="11.42578125" style="151"/>
    <col min="2826" max="2826" width="13.42578125" style="151" bestFit="1" customWidth="1"/>
    <col min="2827" max="3072" width="11.42578125" style="151"/>
    <col min="3073" max="3073" width="16.28515625" style="151" customWidth="1"/>
    <col min="3074" max="3076" width="11.42578125" style="151"/>
    <col min="3077" max="3077" width="14.140625" style="151" bestFit="1" customWidth="1"/>
    <col min="3078" max="3079" width="11.42578125" style="151"/>
    <col min="3080" max="3080" width="13.42578125" style="151" customWidth="1"/>
    <col min="3081" max="3081" width="11.42578125" style="151"/>
    <col min="3082" max="3082" width="13.42578125" style="151" bestFit="1" customWidth="1"/>
    <col min="3083" max="3328" width="11.42578125" style="151"/>
    <col min="3329" max="3329" width="16.28515625" style="151" customWidth="1"/>
    <col min="3330" max="3332" width="11.42578125" style="151"/>
    <col min="3333" max="3333" width="14.140625" style="151" bestFit="1" customWidth="1"/>
    <col min="3334" max="3335" width="11.42578125" style="151"/>
    <col min="3336" max="3336" width="13.42578125" style="151" customWidth="1"/>
    <col min="3337" max="3337" width="11.42578125" style="151"/>
    <col min="3338" max="3338" width="13.42578125" style="151" bestFit="1" customWidth="1"/>
    <col min="3339" max="3584" width="11.42578125" style="151"/>
    <col min="3585" max="3585" width="16.28515625" style="151" customWidth="1"/>
    <col min="3586" max="3588" width="11.42578125" style="151"/>
    <col min="3589" max="3589" width="14.140625" style="151" bestFit="1" customWidth="1"/>
    <col min="3590" max="3591" width="11.42578125" style="151"/>
    <col min="3592" max="3592" width="13.42578125" style="151" customWidth="1"/>
    <col min="3593" max="3593" width="11.42578125" style="151"/>
    <col min="3594" max="3594" width="13.42578125" style="151" bestFit="1" customWidth="1"/>
    <col min="3595" max="3840" width="11.42578125" style="151"/>
    <col min="3841" max="3841" width="16.28515625" style="151" customWidth="1"/>
    <col min="3842" max="3844" width="11.42578125" style="151"/>
    <col min="3845" max="3845" width="14.140625" style="151" bestFit="1" customWidth="1"/>
    <col min="3846" max="3847" width="11.42578125" style="151"/>
    <col min="3848" max="3848" width="13.42578125" style="151" customWidth="1"/>
    <col min="3849" max="3849" width="11.42578125" style="151"/>
    <col min="3850" max="3850" width="13.42578125" style="151" bestFit="1" customWidth="1"/>
    <col min="3851" max="4096" width="11.42578125" style="151"/>
    <col min="4097" max="4097" width="16.28515625" style="151" customWidth="1"/>
    <col min="4098" max="4100" width="11.42578125" style="151"/>
    <col min="4101" max="4101" width="14.140625" style="151" bestFit="1" customWidth="1"/>
    <col min="4102" max="4103" width="11.42578125" style="151"/>
    <col min="4104" max="4104" width="13.42578125" style="151" customWidth="1"/>
    <col min="4105" max="4105" width="11.42578125" style="151"/>
    <col min="4106" max="4106" width="13.42578125" style="151" bestFit="1" customWidth="1"/>
    <col min="4107" max="4352" width="11.42578125" style="151"/>
    <col min="4353" max="4353" width="16.28515625" style="151" customWidth="1"/>
    <col min="4354" max="4356" width="11.42578125" style="151"/>
    <col min="4357" max="4357" width="14.140625" style="151" bestFit="1" customWidth="1"/>
    <col min="4358" max="4359" width="11.42578125" style="151"/>
    <col min="4360" max="4360" width="13.42578125" style="151" customWidth="1"/>
    <col min="4361" max="4361" width="11.42578125" style="151"/>
    <col min="4362" max="4362" width="13.42578125" style="151" bestFit="1" customWidth="1"/>
    <col min="4363" max="4608" width="11.42578125" style="151"/>
    <col min="4609" max="4609" width="16.28515625" style="151" customWidth="1"/>
    <col min="4610" max="4612" width="11.42578125" style="151"/>
    <col min="4613" max="4613" width="14.140625" style="151" bestFit="1" customWidth="1"/>
    <col min="4614" max="4615" width="11.42578125" style="151"/>
    <col min="4616" max="4616" width="13.42578125" style="151" customWidth="1"/>
    <col min="4617" max="4617" width="11.42578125" style="151"/>
    <col min="4618" max="4618" width="13.42578125" style="151" bestFit="1" customWidth="1"/>
    <col min="4619" max="4864" width="11.42578125" style="151"/>
    <col min="4865" max="4865" width="16.28515625" style="151" customWidth="1"/>
    <col min="4866" max="4868" width="11.42578125" style="151"/>
    <col min="4869" max="4869" width="14.140625" style="151" bestFit="1" customWidth="1"/>
    <col min="4870" max="4871" width="11.42578125" style="151"/>
    <col min="4872" max="4872" width="13.42578125" style="151" customWidth="1"/>
    <col min="4873" max="4873" width="11.42578125" style="151"/>
    <col min="4874" max="4874" width="13.42578125" style="151" bestFit="1" customWidth="1"/>
    <col min="4875" max="5120" width="11.42578125" style="151"/>
    <col min="5121" max="5121" width="16.28515625" style="151" customWidth="1"/>
    <col min="5122" max="5124" width="11.42578125" style="151"/>
    <col min="5125" max="5125" width="14.140625" style="151" bestFit="1" customWidth="1"/>
    <col min="5126" max="5127" width="11.42578125" style="151"/>
    <col min="5128" max="5128" width="13.42578125" style="151" customWidth="1"/>
    <col min="5129" max="5129" width="11.42578125" style="151"/>
    <col min="5130" max="5130" width="13.42578125" style="151" bestFit="1" customWidth="1"/>
    <col min="5131" max="5376" width="11.42578125" style="151"/>
    <col min="5377" max="5377" width="16.28515625" style="151" customWidth="1"/>
    <col min="5378" max="5380" width="11.42578125" style="151"/>
    <col min="5381" max="5381" width="14.140625" style="151" bestFit="1" customWidth="1"/>
    <col min="5382" max="5383" width="11.42578125" style="151"/>
    <col min="5384" max="5384" width="13.42578125" style="151" customWidth="1"/>
    <col min="5385" max="5385" width="11.42578125" style="151"/>
    <col min="5386" max="5386" width="13.42578125" style="151" bestFit="1" customWidth="1"/>
    <col min="5387" max="5632" width="11.42578125" style="151"/>
    <col min="5633" max="5633" width="16.28515625" style="151" customWidth="1"/>
    <col min="5634" max="5636" width="11.42578125" style="151"/>
    <col min="5637" max="5637" width="14.140625" style="151" bestFit="1" customWidth="1"/>
    <col min="5638" max="5639" width="11.42578125" style="151"/>
    <col min="5640" max="5640" width="13.42578125" style="151" customWidth="1"/>
    <col min="5641" max="5641" width="11.42578125" style="151"/>
    <col min="5642" max="5642" width="13.42578125" style="151" bestFit="1" customWidth="1"/>
    <col min="5643" max="5888" width="11.42578125" style="151"/>
    <col min="5889" max="5889" width="16.28515625" style="151" customWidth="1"/>
    <col min="5890" max="5892" width="11.42578125" style="151"/>
    <col min="5893" max="5893" width="14.140625" style="151" bestFit="1" customWidth="1"/>
    <col min="5894" max="5895" width="11.42578125" style="151"/>
    <col min="5896" max="5896" width="13.42578125" style="151" customWidth="1"/>
    <col min="5897" max="5897" width="11.42578125" style="151"/>
    <col min="5898" max="5898" width="13.42578125" style="151" bestFit="1" customWidth="1"/>
    <col min="5899" max="6144" width="11.42578125" style="151"/>
    <col min="6145" max="6145" width="16.28515625" style="151" customWidth="1"/>
    <col min="6146" max="6148" width="11.42578125" style="151"/>
    <col min="6149" max="6149" width="14.140625" style="151" bestFit="1" customWidth="1"/>
    <col min="6150" max="6151" width="11.42578125" style="151"/>
    <col min="6152" max="6152" width="13.42578125" style="151" customWidth="1"/>
    <col min="6153" max="6153" width="11.42578125" style="151"/>
    <col min="6154" max="6154" width="13.42578125" style="151" bestFit="1" customWidth="1"/>
    <col min="6155" max="6400" width="11.42578125" style="151"/>
    <col min="6401" max="6401" width="16.28515625" style="151" customWidth="1"/>
    <col min="6402" max="6404" width="11.42578125" style="151"/>
    <col min="6405" max="6405" width="14.140625" style="151" bestFit="1" customWidth="1"/>
    <col min="6406" max="6407" width="11.42578125" style="151"/>
    <col min="6408" max="6408" width="13.42578125" style="151" customWidth="1"/>
    <col min="6409" max="6409" width="11.42578125" style="151"/>
    <col min="6410" max="6410" width="13.42578125" style="151" bestFit="1" customWidth="1"/>
    <col min="6411" max="6656" width="11.42578125" style="151"/>
    <col min="6657" max="6657" width="16.28515625" style="151" customWidth="1"/>
    <col min="6658" max="6660" width="11.42578125" style="151"/>
    <col min="6661" max="6661" width="14.140625" style="151" bestFit="1" customWidth="1"/>
    <col min="6662" max="6663" width="11.42578125" style="151"/>
    <col min="6664" max="6664" width="13.42578125" style="151" customWidth="1"/>
    <col min="6665" max="6665" width="11.42578125" style="151"/>
    <col min="6666" max="6666" width="13.42578125" style="151" bestFit="1" customWidth="1"/>
    <col min="6667" max="6912" width="11.42578125" style="151"/>
    <col min="6913" max="6913" width="16.28515625" style="151" customWidth="1"/>
    <col min="6914" max="6916" width="11.42578125" style="151"/>
    <col min="6917" max="6917" width="14.140625" style="151" bestFit="1" customWidth="1"/>
    <col min="6918" max="6919" width="11.42578125" style="151"/>
    <col min="6920" max="6920" width="13.42578125" style="151" customWidth="1"/>
    <col min="6921" max="6921" width="11.42578125" style="151"/>
    <col min="6922" max="6922" width="13.42578125" style="151" bestFit="1" customWidth="1"/>
    <col min="6923" max="7168" width="11.42578125" style="151"/>
    <col min="7169" max="7169" width="16.28515625" style="151" customWidth="1"/>
    <col min="7170" max="7172" width="11.42578125" style="151"/>
    <col min="7173" max="7173" width="14.140625" style="151" bestFit="1" customWidth="1"/>
    <col min="7174" max="7175" width="11.42578125" style="151"/>
    <col min="7176" max="7176" width="13.42578125" style="151" customWidth="1"/>
    <col min="7177" max="7177" width="11.42578125" style="151"/>
    <col min="7178" max="7178" width="13.42578125" style="151" bestFit="1" customWidth="1"/>
    <col min="7179" max="7424" width="11.42578125" style="151"/>
    <col min="7425" max="7425" width="16.28515625" style="151" customWidth="1"/>
    <col min="7426" max="7428" width="11.42578125" style="151"/>
    <col min="7429" max="7429" width="14.140625" style="151" bestFit="1" customWidth="1"/>
    <col min="7430" max="7431" width="11.42578125" style="151"/>
    <col min="7432" max="7432" width="13.42578125" style="151" customWidth="1"/>
    <col min="7433" max="7433" width="11.42578125" style="151"/>
    <col min="7434" max="7434" width="13.42578125" style="151" bestFit="1" customWidth="1"/>
    <col min="7435" max="7680" width="11.42578125" style="151"/>
    <col min="7681" max="7681" width="16.28515625" style="151" customWidth="1"/>
    <col min="7682" max="7684" width="11.42578125" style="151"/>
    <col min="7685" max="7685" width="14.140625" style="151" bestFit="1" customWidth="1"/>
    <col min="7686" max="7687" width="11.42578125" style="151"/>
    <col min="7688" max="7688" width="13.42578125" style="151" customWidth="1"/>
    <col min="7689" max="7689" width="11.42578125" style="151"/>
    <col min="7690" max="7690" width="13.42578125" style="151" bestFit="1" customWidth="1"/>
    <col min="7691" max="7936" width="11.42578125" style="151"/>
    <col min="7937" max="7937" width="16.28515625" style="151" customWidth="1"/>
    <col min="7938" max="7940" width="11.42578125" style="151"/>
    <col min="7941" max="7941" width="14.140625" style="151" bestFit="1" customWidth="1"/>
    <col min="7942" max="7943" width="11.42578125" style="151"/>
    <col min="7944" max="7944" width="13.42578125" style="151" customWidth="1"/>
    <col min="7945" max="7945" width="11.42578125" style="151"/>
    <col min="7946" max="7946" width="13.42578125" style="151" bestFit="1" customWidth="1"/>
    <col min="7947" max="8192" width="11.42578125" style="151"/>
    <col min="8193" max="8193" width="16.28515625" style="151" customWidth="1"/>
    <col min="8194" max="8196" width="11.42578125" style="151"/>
    <col min="8197" max="8197" width="14.140625" style="151" bestFit="1" customWidth="1"/>
    <col min="8198" max="8199" width="11.42578125" style="151"/>
    <col min="8200" max="8200" width="13.42578125" style="151" customWidth="1"/>
    <col min="8201" max="8201" width="11.42578125" style="151"/>
    <col min="8202" max="8202" width="13.42578125" style="151" bestFit="1" customWidth="1"/>
    <col min="8203" max="8448" width="11.42578125" style="151"/>
    <col min="8449" max="8449" width="16.28515625" style="151" customWidth="1"/>
    <col min="8450" max="8452" width="11.42578125" style="151"/>
    <col min="8453" max="8453" width="14.140625" style="151" bestFit="1" customWidth="1"/>
    <col min="8454" max="8455" width="11.42578125" style="151"/>
    <col min="8456" max="8456" width="13.42578125" style="151" customWidth="1"/>
    <col min="8457" max="8457" width="11.42578125" style="151"/>
    <col min="8458" max="8458" width="13.42578125" style="151" bestFit="1" customWidth="1"/>
    <col min="8459" max="8704" width="11.42578125" style="151"/>
    <col min="8705" max="8705" width="16.28515625" style="151" customWidth="1"/>
    <col min="8706" max="8708" width="11.42578125" style="151"/>
    <col min="8709" max="8709" width="14.140625" style="151" bestFit="1" customWidth="1"/>
    <col min="8710" max="8711" width="11.42578125" style="151"/>
    <col min="8712" max="8712" width="13.42578125" style="151" customWidth="1"/>
    <col min="8713" max="8713" width="11.42578125" style="151"/>
    <col min="8714" max="8714" width="13.42578125" style="151" bestFit="1" customWidth="1"/>
    <col min="8715" max="8960" width="11.42578125" style="151"/>
    <col min="8961" max="8961" width="16.28515625" style="151" customWidth="1"/>
    <col min="8962" max="8964" width="11.42578125" style="151"/>
    <col min="8965" max="8965" width="14.140625" style="151" bestFit="1" customWidth="1"/>
    <col min="8966" max="8967" width="11.42578125" style="151"/>
    <col min="8968" max="8968" width="13.42578125" style="151" customWidth="1"/>
    <col min="8969" max="8969" width="11.42578125" style="151"/>
    <col min="8970" max="8970" width="13.42578125" style="151" bestFit="1" customWidth="1"/>
    <col min="8971" max="9216" width="11.42578125" style="151"/>
    <col min="9217" max="9217" width="16.28515625" style="151" customWidth="1"/>
    <col min="9218" max="9220" width="11.42578125" style="151"/>
    <col min="9221" max="9221" width="14.140625" style="151" bestFit="1" customWidth="1"/>
    <col min="9222" max="9223" width="11.42578125" style="151"/>
    <col min="9224" max="9224" width="13.42578125" style="151" customWidth="1"/>
    <col min="9225" max="9225" width="11.42578125" style="151"/>
    <col min="9226" max="9226" width="13.42578125" style="151" bestFit="1" customWidth="1"/>
    <col min="9227" max="9472" width="11.42578125" style="151"/>
    <col min="9473" max="9473" width="16.28515625" style="151" customWidth="1"/>
    <col min="9474" max="9476" width="11.42578125" style="151"/>
    <col min="9477" max="9477" width="14.140625" style="151" bestFit="1" customWidth="1"/>
    <col min="9478" max="9479" width="11.42578125" style="151"/>
    <col min="9480" max="9480" width="13.42578125" style="151" customWidth="1"/>
    <col min="9481" max="9481" width="11.42578125" style="151"/>
    <col min="9482" max="9482" width="13.42578125" style="151" bestFit="1" customWidth="1"/>
    <col min="9483" max="9728" width="11.42578125" style="151"/>
    <col min="9729" max="9729" width="16.28515625" style="151" customWidth="1"/>
    <col min="9730" max="9732" width="11.42578125" style="151"/>
    <col min="9733" max="9733" width="14.140625" style="151" bestFit="1" customWidth="1"/>
    <col min="9734" max="9735" width="11.42578125" style="151"/>
    <col min="9736" max="9736" width="13.42578125" style="151" customWidth="1"/>
    <col min="9737" max="9737" width="11.42578125" style="151"/>
    <col min="9738" max="9738" width="13.42578125" style="151" bestFit="1" customWidth="1"/>
    <col min="9739" max="9984" width="11.42578125" style="151"/>
    <col min="9985" max="9985" width="16.28515625" style="151" customWidth="1"/>
    <col min="9986" max="9988" width="11.42578125" style="151"/>
    <col min="9989" max="9989" width="14.140625" style="151" bestFit="1" customWidth="1"/>
    <col min="9990" max="9991" width="11.42578125" style="151"/>
    <col min="9992" max="9992" width="13.42578125" style="151" customWidth="1"/>
    <col min="9993" max="9993" width="11.42578125" style="151"/>
    <col min="9994" max="9994" width="13.42578125" style="151" bestFit="1" customWidth="1"/>
    <col min="9995" max="10240" width="11.42578125" style="151"/>
    <col min="10241" max="10241" width="16.28515625" style="151" customWidth="1"/>
    <col min="10242" max="10244" width="11.42578125" style="151"/>
    <col min="10245" max="10245" width="14.140625" style="151" bestFit="1" customWidth="1"/>
    <col min="10246" max="10247" width="11.42578125" style="151"/>
    <col min="10248" max="10248" width="13.42578125" style="151" customWidth="1"/>
    <col min="10249" max="10249" width="11.42578125" style="151"/>
    <col min="10250" max="10250" width="13.42578125" style="151" bestFit="1" customWidth="1"/>
    <col min="10251" max="10496" width="11.42578125" style="151"/>
    <col min="10497" max="10497" width="16.28515625" style="151" customWidth="1"/>
    <col min="10498" max="10500" width="11.42578125" style="151"/>
    <col min="10501" max="10501" width="14.140625" style="151" bestFit="1" customWidth="1"/>
    <col min="10502" max="10503" width="11.42578125" style="151"/>
    <col min="10504" max="10504" width="13.42578125" style="151" customWidth="1"/>
    <col min="10505" max="10505" width="11.42578125" style="151"/>
    <col min="10506" max="10506" width="13.42578125" style="151" bestFit="1" customWidth="1"/>
    <col min="10507" max="10752" width="11.42578125" style="151"/>
    <col min="10753" max="10753" width="16.28515625" style="151" customWidth="1"/>
    <col min="10754" max="10756" width="11.42578125" style="151"/>
    <col min="10757" max="10757" width="14.140625" style="151" bestFit="1" customWidth="1"/>
    <col min="10758" max="10759" width="11.42578125" style="151"/>
    <col min="10760" max="10760" width="13.42578125" style="151" customWidth="1"/>
    <col min="10761" max="10761" width="11.42578125" style="151"/>
    <col min="10762" max="10762" width="13.42578125" style="151" bestFit="1" customWidth="1"/>
    <col min="10763" max="11008" width="11.42578125" style="151"/>
    <col min="11009" max="11009" width="16.28515625" style="151" customWidth="1"/>
    <col min="11010" max="11012" width="11.42578125" style="151"/>
    <col min="11013" max="11013" width="14.140625" style="151" bestFit="1" customWidth="1"/>
    <col min="11014" max="11015" width="11.42578125" style="151"/>
    <col min="11016" max="11016" width="13.42578125" style="151" customWidth="1"/>
    <col min="11017" max="11017" width="11.42578125" style="151"/>
    <col min="11018" max="11018" width="13.42578125" style="151" bestFit="1" customWidth="1"/>
    <col min="11019" max="11264" width="11.42578125" style="151"/>
    <col min="11265" max="11265" width="16.28515625" style="151" customWidth="1"/>
    <col min="11266" max="11268" width="11.42578125" style="151"/>
    <col min="11269" max="11269" width="14.140625" style="151" bestFit="1" customWidth="1"/>
    <col min="11270" max="11271" width="11.42578125" style="151"/>
    <col min="11272" max="11272" width="13.42578125" style="151" customWidth="1"/>
    <col min="11273" max="11273" width="11.42578125" style="151"/>
    <col min="11274" max="11274" width="13.42578125" style="151" bestFit="1" customWidth="1"/>
    <col min="11275" max="11520" width="11.42578125" style="151"/>
    <col min="11521" max="11521" width="16.28515625" style="151" customWidth="1"/>
    <col min="11522" max="11524" width="11.42578125" style="151"/>
    <col min="11525" max="11525" width="14.140625" style="151" bestFit="1" customWidth="1"/>
    <col min="11526" max="11527" width="11.42578125" style="151"/>
    <col min="11528" max="11528" width="13.42578125" style="151" customWidth="1"/>
    <col min="11529" max="11529" width="11.42578125" style="151"/>
    <col min="11530" max="11530" width="13.42578125" style="151" bestFit="1" customWidth="1"/>
    <col min="11531" max="11776" width="11.42578125" style="151"/>
    <col min="11777" max="11777" width="16.28515625" style="151" customWidth="1"/>
    <col min="11778" max="11780" width="11.42578125" style="151"/>
    <col min="11781" max="11781" width="14.140625" style="151" bestFit="1" customWidth="1"/>
    <col min="11782" max="11783" width="11.42578125" style="151"/>
    <col min="11784" max="11784" width="13.42578125" style="151" customWidth="1"/>
    <col min="11785" max="11785" width="11.42578125" style="151"/>
    <col min="11786" max="11786" width="13.42578125" style="151" bestFit="1" customWidth="1"/>
    <col min="11787" max="12032" width="11.42578125" style="151"/>
    <col min="12033" max="12033" width="16.28515625" style="151" customWidth="1"/>
    <col min="12034" max="12036" width="11.42578125" style="151"/>
    <col min="12037" max="12037" width="14.140625" style="151" bestFit="1" customWidth="1"/>
    <col min="12038" max="12039" width="11.42578125" style="151"/>
    <col min="12040" max="12040" width="13.42578125" style="151" customWidth="1"/>
    <col min="12041" max="12041" width="11.42578125" style="151"/>
    <col min="12042" max="12042" width="13.42578125" style="151" bestFit="1" customWidth="1"/>
    <col min="12043" max="12288" width="11.42578125" style="151"/>
    <col min="12289" max="12289" width="16.28515625" style="151" customWidth="1"/>
    <col min="12290" max="12292" width="11.42578125" style="151"/>
    <col min="12293" max="12293" width="14.140625" style="151" bestFit="1" customWidth="1"/>
    <col min="12294" max="12295" width="11.42578125" style="151"/>
    <col min="12296" max="12296" width="13.42578125" style="151" customWidth="1"/>
    <col min="12297" max="12297" width="11.42578125" style="151"/>
    <col min="12298" max="12298" width="13.42578125" style="151" bestFit="1" customWidth="1"/>
    <col min="12299" max="12544" width="11.42578125" style="151"/>
    <col min="12545" max="12545" width="16.28515625" style="151" customWidth="1"/>
    <col min="12546" max="12548" width="11.42578125" style="151"/>
    <col min="12549" max="12549" width="14.140625" style="151" bestFit="1" customWidth="1"/>
    <col min="12550" max="12551" width="11.42578125" style="151"/>
    <col min="12552" max="12552" width="13.42578125" style="151" customWidth="1"/>
    <col min="12553" max="12553" width="11.42578125" style="151"/>
    <col min="12554" max="12554" width="13.42578125" style="151" bestFit="1" customWidth="1"/>
    <col min="12555" max="12800" width="11.42578125" style="151"/>
    <col min="12801" max="12801" width="16.28515625" style="151" customWidth="1"/>
    <col min="12802" max="12804" width="11.42578125" style="151"/>
    <col min="12805" max="12805" width="14.140625" style="151" bestFit="1" customWidth="1"/>
    <col min="12806" max="12807" width="11.42578125" style="151"/>
    <col min="12808" max="12808" width="13.42578125" style="151" customWidth="1"/>
    <col min="12809" max="12809" width="11.42578125" style="151"/>
    <col min="12810" max="12810" width="13.42578125" style="151" bestFit="1" customWidth="1"/>
    <col min="12811" max="13056" width="11.42578125" style="151"/>
    <col min="13057" max="13057" width="16.28515625" style="151" customWidth="1"/>
    <col min="13058" max="13060" width="11.42578125" style="151"/>
    <col min="13061" max="13061" width="14.140625" style="151" bestFit="1" customWidth="1"/>
    <col min="13062" max="13063" width="11.42578125" style="151"/>
    <col min="13064" max="13064" width="13.42578125" style="151" customWidth="1"/>
    <col min="13065" max="13065" width="11.42578125" style="151"/>
    <col min="13066" max="13066" width="13.42578125" style="151" bestFit="1" customWidth="1"/>
    <col min="13067" max="13312" width="11.42578125" style="151"/>
    <col min="13313" max="13313" width="16.28515625" style="151" customWidth="1"/>
    <col min="13314" max="13316" width="11.42578125" style="151"/>
    <col min="13317" max="13317" width="14.140625" style="151" bestFit="1" customWidth="1"/>
    <col min="13318" max="13319" width="11.42578125" style="151"/>
    <col min="13320" max="13320" width="13.42578125" style="151" customWidth="1"/>
    <col min="13321" max="13321" width="11.42578125" style="151"/>
    <col min="13322" max="13322" width="13.42578125" style="151" bestFit="1" customWidth="1"/>
    <col min="13323" max="13568" width="11.42578125" style="151"/>
    <col min="13569" max="13569" width="16.28515625" style="151" customWidth="1"/>
    <col min="13570" max="13572" width="11.42578125" style="151"/>
    <col min="13573" max="13573" width="14.140625" style="151" bestFit="1" customWidth="1"/>
    <col min="13574" max="13575" width="11.42578125" style="151"/>
    <col min="13576" max="13576" width="13.42578125" style="151" customWidth="1"/>
    <col min="13577" max="13577" width="11.42578125" style="151"/>
    <col min="13578" max="13578" width="13.42578125" style="151" bestFit="1" customWidth="1"/>
    <col min="13579" max="13824" width="11.42578125" style="151"/>
    <col min="13825" max="13825" width="16.28515625" style="151" customWidth="1"/>
    <col min="13826" max="13828" width="11.42578125" style="151"/>
    <col min="13829" max="13829" width="14.140625" style="151" bestFit="1" customWidth="1"/>
    <col min="13830" max="13831" width="11.42578125" style="151"/>
    <col min="13832" max="13832" width="13.42578125" style="151" customWidth="1"/>
    <col min="13833" max="13833" width="11.42578125" style="151"/>
    <col min="13834" max="13834" width="13.42578125" style="151" bestFit="1" customWidth="1"/>
    <col min="13835" max="14080" width="11.42578125" style="151"/>
    <col min="14081" max="14081" width="16.28515625" style="151" customWidth="1"/>
    <col min="14082" max="14084" width="11.42578125" style="151"/>
    <col min="14085" max="14085" width="14.140625" style="151" bestFit="1" customWidth="1"/>
    <col min="14086" max="14087" width="11.42578125" style="151"/>
    <col min="14088" max="14088" width="13.42578125" style="151" customWidth="1"/>
    <col min="14089" max="14089" width="11.42578125" style="151"/>
    <col min="14090" max="14090" width="13.42578125" style="151" bestFit="1" customWidth="1"/>
    <col min="14091" max="14336" width="11.42578125" style="151"/>
    <col min="14337" max="14337" width="16.28515625" style="151" customWidth="1"/>
    <col min="14338" max="14340" width="11.42578125" style="151"/>
    <col min="14341" max="14341" width="14.140625" style="151" bestFit="1" customWidth="1"/>
    <col min="14342" max="14343" width="11.42578125" style="151"/>
    <col min="14344" max="14344" width="13.42578125" style="151" customWidth="1"/>
    <col min="14345" max="14345" width="11.42578125" style="151"/>
    <col min="14346" max="14346" width="13.42578125" style="151" bestFit="1" customWidth="1"/>
    <col min="14347" max="14592" width="11.42578125" style="151"/>
    <col min="14593" max="14593" width="16.28515625" style="151" customWidth="1"/>
    <col min="14594" max="14596" width="11.42578125" style="151"/>
    <col min="14597" max="14597" width="14.140625" style="151" bestFit="1" customWidth="1"/>
    <col min="14598" max="14599" width="11.42578125" style="151"/>
    <col min="14600" max="14600" width="13.42578125" style="151" customWidth="1"/>
    <col min="14601" max="14601" width="11.42578125" style="151"/>
    <col min="14602" max="14602" width="13.42578125" style="151" bestFit="1" customWidth="1"/>
    <col min="14603" max="14848" width="11.42578125" style="151"/>
    <col min="14849" max="14849" width="16.28515625" style="151" customWidth="1"/>
    <col min="14850" max="14852" width="11.42578125" style="151"/>
    <col min="14853" max="14853" width="14.140625" style="151" bestFit="1" customWidth="1"/>
    <col min="14854" max="14855" width="11.42578125" style="151"/>
    <col min="14856" max="14856" width="13.42578125" style="151" customWidth="1"/>
    <col min="14857" max="14857" width="11.42578125" style="151"/>
    <col min="14858" max="14858" width="13.42578125" style="151" bestFit="1" customWidth="1"/>
    <col min="14859" max="15104" width="11.42578125" style="151"/>
    <col min="15105" max="15105" width="16.28515625" style="151" customWidth="1"/>
    <col min="15106" max="15108" width="11.42578125" style="151"/>
    <col min="15109" max="15109" width="14.140625" style="151" bestFit="1" customWidth="1"/>
    <col min="15110" max="15111" width="11.42578125" style="151"/>
    <col min="15112" max="15112" width="13.42578125" style="151" customWidth="1"/>
    <col min="15113" max="15113" width="11.42578125" style="151"/>
    <col min="15114" max="15114" width="13.42578125" style="151" bestFit="1" customWidth="1"/>
    <col min="15115" max="15360" width="11.42578125" style="151"/>
    <col min="15361" max="15361" width="16.28515625" style="151" customWidth="1"/>
    <col min="15362" max="15364" width="11.42578125" style="151"/>
    <col min="15365" max="15365" width="14.140625" style="151" bestFit="1" customWidth="1"/>
    <col min="15366" max="15367" width="11.42578125" style="151"/>
    <col min="15368" max="15368" width="13.42578125" style="151" customWidth="1"/>
    <col min="15369" max="15369" width="11.42578125" style="151"/>
    <col min="15370" max="15370" width="13.42578125" style="151" bestFit="1" customWidth="1"/>
    <col min="15371" max="15616" width="11.42578125" style="151"/>
    <col min="15617" max="15617" width="16.28515625" style="151" customWidth="1"/>
    <col min="15618" max="15620" width="11.42578125" style="151"/>
    <col min="15621" max="15621" width="14.140625" style="151" bestFit="1" customWidth="1"/>
    <col min="15622" max="15623" width="11.42578125" style="151"/>
    <col min="15624" max="15624" width="13.42578125" style="151" customWidth="1"/>
    <col min="15625" max="15625" width="11.42578125" style="151"/>
    <col min="15626" max="15626" width="13.42578125" style="151" bestFit="1" customWidth="1"/>
    <col min="15627" max="15872" width="11.42578125" style="151"/>
    <col min="15873" max="15873" width="16.28515625" style="151" customWidth="1"/>
    <col min="15874" max="15876" width="11.42578125" style="151"/>
    <col min="15877" max="15877" width="14.140625" style="151" bestFit="1" customWidth="1"/>
    <col min="15878" max="15879" width="11.42578125" style="151"/>
    <col min="15880" max="15880" width="13.42578125" style="151" customWidth="1"/>
    <col min="15881" max="15881" width="11.42578125" style="151"/>
    <col min="15882" max="15882" width="13.42578125" style="151" bestFit="1" customWidth="1"/>
    <col min="15883" max="16128" width="11.42578125" style="151"/>
    <col min="16129" max="16129" width="16.28515625" style="151" customWidth="1"/>
    <col min="16130" max="16132" width="11.42578125" style="151"/>
    <col min="16133" max="16133" width="14.140625" style="151" bestFit="1" customWidth="1"/>
    <col min="16134" max="16135" width="11.42578125" style="151"/>
    <col min="16136" max="16136" width="13.42578125" style="151" customWidth="1"/>
    <col min="16137" max="16137" width="11.42578125" style="151"/>
    <col min="16138" max="16138" width="13.42578125" style="151" bestFit="1" customWidth="1"/>
    <col min="16139" max="16384" width="11.42578125" style="151"/>
  </cols>
  <sheetData>
    <row r="5" spans="2:9" x14ac:dyDescent="0.2">
      <c r="B5" s="150"/>
      <c r="C5" s="150"/>
      <c r="D5" s="150"/>
      <c r="E5" s="150"/>
      <c r="F5" s="150"/>
      <c r="G5" s="150"/>
      <c r="H5" s="150"/>
    </row>
    <row r="6" spans="2:9" ht="23.25" x14ac:dyDescent="0.35">
      <c r="B6" s="152"/>
      <c r="C6" s="150"/>
      <c r="D6" s="150"/>
      <c r="E6" s="150"/>
      <c r="F6" s="150"/>
      <c r="G6" s="150"/>
      <c r="H6" s="150"/>
      <c r="I6" s="153"/>
    </row>
    <row r="7" spans="2:9" x14ac:dyDescent="0.2">
      <c r="B7" s="150"/>
      <c r="C7" s="150"/>
      <c r="D7" s="150"/>
      <c r="E7" s="150"/>
      <c r="F7" s="150"/>
      <c r="G7" s="150"/>
      <c r="H7" s="150"/>
      <c r="I7" s="150"/>
    </row>
    <row r="8" spans="2:9" x14ac:dyDescent="0.2">
      <c r="B8" s="150"/>
      <c r="C8" s="150"/>
      <c r="D8" s="150"/>
      <c r="F8" s="150"/>
      <c r="G8" s="150"/>
      <c r="H8" s="150"/>
    </row>
    <row r="9" spans="2:9" x14ac:dyDescent="0.2">
      <c r="B9" s="150"/>
      <c r="C9" s="150"/>
      <c r="D9" s="150"/>
      <c r="E9" s="150"/>
      <c r="F9" s="150"/>
      <c r="G9" s="150"/>
      <c r="H9" s="150"/>
    </row>
    <row r="10" spans="2:9" ht="23.25" x14ac:dyDescent="0.35">
      <c r="B10" s="150"/>
      <c r="C10" s="150"/>
      <c r="D10" s="150"/>
      <c r="I10" s="153"/>
    </row>
    <row r="11" spans="2:9" x14ac:dyDescent="0.2">
      <c r="B11" s="150"/>
      <c r="C11" s="150"/>
      <c r="D11" s="150"/>
    </row>
    <row r="12" spans="2:9" ht="27" customHeight="1" x14ac:dyDescent="0.35">
      <c r="B12" s="150"/>
      <c r="C12" s="150"/>
      <c r="D12" s="150"/>
      <c r="E12" s="150"/>
      <c r="F12" s="150"/>
      <c r="G12" s="150"/>
      <c r="H12" s="150"/>
      <c r="I12" s="153"/>
    </row>
    <row r="13" spans="2:9" ht="19.5" customHeight="1" x14ac:dyDescent="0.35">
      <c r="B13" s="150"/>
      <c r="C13" s="154"/>
      <c r="D13" s="154"/>
      <c r="E13" s="154"/>
      <c r="F13" s="154"/>
      <c r="G13" s="154"/>
      <c r="H13" s="154"/>
      <c r="I13" s="153"/>
    </row>
    <row r="14" spans="2:9" x14ac:dyDescent="0.2">
      <c r="B14" s="150"/>
      <c r="C14" s="150"/>
      <c r="D14" s="150"/>
      <c r="F14" s="150"/>
      <c r="G14" s="150"/>
      <c r="H14" s="150"/>
    </row>
    <row r="15" spans="2:9" x14ac:dyDescent="0.2">
      <c r="B15" s="150"/>
      <c r="C15" s="150"/>
      <c r="D15" s="150"/>
      <c r="F15" s="150"/>
      <c r="G15" s="150"/>
      <c r="H15" s="150"/>
      <c r="I15" s="150"/>
    </row>
    <row r="16" spans="2:9" ht="34.5" x14ac:dyDescent="0.45">
      <c r="B16" s="150"/>
      <c r="C16" s="150"/>
      <c r="D16" s="150"/>
      <c r="E16" s="155"/>
      <c r="F16" s="150"/>
      <c r="G16" s="150"/>
      <c r="H16" s="150"/>
      <c r="I16" s="150"/>
    </row>
    <row r="17" spans="2:9" ht="33" x14ac:dyDescent="0.45">
      <c r="B17" s="150"/>
      <c r="C17" s="150"/>
      <c r="D17" s="150"/>
      <c r="E17" s="156"/>
      <c r="F17" s="150"/>
      <c r="G17" s="150"/>
      <c r="H17" s="150"/>
      <c r="I17" s="150"/>
    </row>
    <row r="18" spans="2:9" ht="33" x14ac:dyDescent="0.45">
      <c r="D18" s="156"/>
    </row>
    <row r="19" spans="2:9" ht="18.75" x14ac:dyDescent="0.3">
      <c r="E19" s="157"/>
      <c r="I19" s="158"/>
    </row>
    <row r="21" spans="2:9" x14ac:dyDescent="0.2">
      <c r="E21" s="159"/>
    </row>
    <row r="22" spans="2:9" ht="26.25" x14ac:dyDescent="0.4">
      <c r="E22" s="160"/>
    </row>
    <row r="25" spans="2:9" ht="18.75" x14ac:dyDescent="0.3">
      <c r="E25" s="161"/>
    </row>
    <row r="26" spans="2:9" ht="18.75" x14ac:dyDescent="0.3">
      <c r="E26" s="162"/>
    </row>
    <row r="28" spans="2:9" x14ac:dyDescent="0.2">
      <c r="D28" s="154"/>
      <c r="E28" s="154"/>
      <c r="F28" s="154"/>
      <c r="G28" s="154"/>
      <c r="H28" s="154"/>
    </row>
    <row r="33" spans="1:9" ht="35.25" x14ac:dyDescent="0.2">
      <c r="A33" s="163"/>
    </row>
    <row r="36" spans="1:9" ht="33" x14ac:dyDescent="0.2">
      <c r="B36" s="164"/>
    </row>
    <row r="39" spans="1:9" ht="18" x14ac:dyDescent="0.25">
      <c r="B39" s="165"/>
    </row>
    <row r="41" spans="1:9" ht="18.75" x14ac:dyDescent="0.3">
      <c r="I41" s="166"/>
    </row>
    <row r="43" spans="1:9" ht="18.75" x14ac:dyDescent="0.3">
      <c r="B43" s="201"/>
      <c r="C43" s="201"/>
      <c r="D43" s="201"/>
    </row>
    <row r="57" spans="10:10" ht="18.75" x14ac:dyDescent="0.3">
      <c r="J57" s="167"/>
    </row>
  </sheetData>
  <mergeCells count="1">
    <mergeCell ref="B43:D43"/>
  </mergeCells>
  <pageMargins left="0.78740157480314965" right="0.78740157480314965" top="0.98425196850393704" bottom="0.98425196850393704" header="0.51181102362204722" footer="0.51181102362204722"/>
  <pageSetup paperSize="9" scale="6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148</v>
      </c>
      <c r="B4" s="5"/>
      <c r="C4" s="5"/>
      <c r="D4" s="5"/>
      <c r="E4" s="5"/>
      <c r="F4" s="5"/>
      <c r="G4" s="5"/>
      <c r="H4" s="6"/>
    </row>
    <row r="5" spans="1:8" x14ac:dyDescent="0.2">
      <c r="A5" s="7"/>
      <c r="B5" s="8"/>
      <c r="C5" s="9"/>
      <c r="D5" s="8"/>
      <c r="E5" s="10"/>
      <c r="F5" s="11"/>
      <c r="G5" s="205" t="s">
        <v>1</v>
      </c>
      <c r="H5" s="206"/>
    </row>
    <row r="6" spans="1:8" x14ac:dyDescent="0.2">
      <c r="A6" s="12"/>
      <c r="B6" s="13"/>
      <c r="C6" s="14" t="s">
        <v>235</v>
      </c>
      <c r="D6" s="15" t="s">
        <v>236</v>
      </c>
      <c r="E6" s="15" t="s">
        <v>237</v>
      </c>
      <c r="F6" s="16"/>
      <c r="G6" s="17" t="s">
        <v>238</v>
      </c>
      <c r="H6" s="18" t="s">
        <v>239</v>
      </c>
    </row>
    <row r="7" spans="1:8" x14ac:dyDescent="0.2">
      <c r="A7" s="207" t="s">
        <v>42</v>
      </c>
      <c r="B7" s="19" t="s">
        <v>3</v>
      </c>
      <c r="C7" s="20">
        <v>237964</v>
      </c>
      <c r="D7" s="20">
        <v>251790</v>
      </c>
      <c r="E7" s="21">
        <v>248218.22598655269</v>
      </c>
      <c r="F7" s="22" t="s">
        <v>240</v>
      </c>
      <c r="G7" s="23">
        <v>4.3091501178971185</v>
      </c>
      <c r="H7" s="24">
        <v>-1.4185527675631704</v>
      </c>
    </row>
    <row r="8" spans="1:8" x14ac:dyDescent="0.2">
      <c r="A8" s="208"/>
      <c r="B8" s="25" t="s">
        <v>241</v>
      </c>
      <c r="C8" s="26">
        <v>50338.839690263172</v>
      </c>
      <c r="D8" s="26">
        <v>57244.673067196847</v>
      </c>
      <c r="E8" s="26">
        <v>55060.821866443432</v>
      </c>
      <c r="F8" s="27"/>
      <c r="G8" s="28">
        <v>9.3803953472801425</v>
      </c>
      <c r="H8" s="29">
        <v>-3.8149422186233721</v>
      </c>
    </row>
    <row r="9" spans="1:8" x14ac:dyDescent="0.2">
      <c r="A9" s="30" t="s">
        <v>18</v>
      </c>
      <c r="B9" s="31" t="s">
        <v>3</v>
      </c>
      <c r="C9" s="20">
        <v>12133</v>
      </c>
      <c r="D9" s="20">
        <v>13010</v>
      </c>
      <c r="E9" s="21">
        <v>11453.866956027683</v>
      </c>
      <c r="F9" s="22" t="s">
        <v>240</v>
      </c>
      <c r="G9" s="32">
        <v>-5.5974041372481338</v>
      </c>
      <c r="H9" s="33">
        <v>-11.961053374114655</v>
      </c>
    </row>
    <row r="10" spans="1:8" x14ac:dyDescent="0.2">
      <c r="A10" s="34"/>
      <c r="B10" s="25" t="s">
        <v>241</v>
      </c>
      <c r="C10" s="26">
        <v>2715.2548565217389</v>
      </c>
      <c r="D10" s="26">
        <v>2656.4708304347823</v>
      </c>
      <c r="E10" s="26">
        <v>2409.0737608695654</v>
      </c>
      <c r="F10" s="27"/>
      <c r="G10" s="35">
        <v>-11.276329914916118</v>
      </c>
      <c r="H10" s="29">
        <v>-9.312997783782393</v>
      </c>
    </row>
    <row r="11" spans="1:8" x14ac:dyDescent="0.2">
      <c r="A11" s="30" t="s">
        <v>19</v>
      </c>
      <c r="B11" s="31" t="s">
        <v>3</v>
      </c>
      <c r="C11" s="20">
        <v>8652</v>
      </c>
      <c r="D11" s="20">
        <v>8966</v>
      </c>
      <c r="E11" s="21">
        <v>8614.3244540495853</v>
      </c>
      <c r="F11" s="22" t="s">
        <v>240</v>
      </c>
      <c r="G11" s="37">
        <v>-0.4354547613316555</v>
      </c>
      <c r="H11" s="33">
        <v>-3.9223237335535828</v>
      </c>
    </row>
    <row r="12" spans="1:8" x14ac:dyDescent="0.2">
      <c r="A12" s="34"/>
      <c r="B12" s="25" t="s">
        <v>241</v>
      </c>
      <c r="C12" s="26">
        <v>1725.8495217391305</v>
      </c>
      <c r="D12" s="26">
        <v>3025.5694347826084</v>
      </c>
      <c r="E12" s="26">
        <v>2362.2458695652176</v>
      </c>
      <c r="F12" s="27"/>
      <c r="G12" s="28">
        <v>36.874382141079934</v>
      </c>
      <c r="H12" s="29">
        <v>-21.923924719481818</v>
      </c>
    </row>
    <row r="13" spans="1:8" x14ac:dyDescent="0.2">
      <c r="A13" s="30" t="s">
        <v>20</v>
      </c>
      <c r="B13" s="31" t="s">
        <v>3</v>
      </c>
      <c r="C13" s="20">
        <v>29205</v>
      </c>
      <c r="D13" s="20">
        <v>23780</v>
      </c>
      <c r="E13" s="21">
        <v>26442.467229585269</v>
      </c>
      <c r="F13" s="22" t="s">
        <v>240</v>
      </c>
      <c r="G13" s="23">
        <v>-9.4591089553663181</v>
      </c>
      <c r="H13" s="24">
        <v>11.196245708937198</v>
      </c>
    </row>
    <row r="14" spans="1:8" x14ac:dyDescent="0.2">
      <c r="A14" s="34"/>
      <c r="B14" s="25" t="s">
        <v>241</v>
      </c>
      <c r="C14" s="26">
        <v>5646.404534161491</v>
      </c>
      <c r="D14" s="26">
        <v>4507.5092546583855</v>
      </c>
      <c r="E14" s="26">
        <v>5045.1170807453418</v>
      </c>
      <c r="F14" s="27"/>
      <c r="G14" s="38">
        <v>-10.649032490999915</v>
      </c>
      <c r="H14" s="24">
        <v>11.926937821178157</v>
      </c>
    </row>
    <row r="15" spans="1:8" x14ac:dyDescent="0.2">
      <c r="A15" s="30" t="s">
        <v>21</v>
      </c>
      <c r="B15" s="31" t="s">
        <v>3</v>
      </c>
      <c r="C15" s="20">
        <v>2089</v>
      </c>
      <c r="D15" s="20">
        <v>2400</v>
      </c>
      <c r="E15" s="21">
        <v>2774.921848887494</v>
      </c>
      <c r="F15" s="22" t="s">
        <v>240</v>
      </c>
      <c r="G15" s="37">
        <v>32.834937716012149</v>
      </c>
      <c r="H15" s="33">
        <v>15.621743703645578</v>
      </c>
    </row>
    <row r="16" spans="1:8" x14ac:dyDescent="0.2">
      <c r="A16" s="34"/>
      <c r="B16" s="25" t="s">
        <v>241</v>
      </c>
      <c r="C16" s="26">
        <v>315.11798913043481</v>
      </c>
      <c r="D16" s="26">
        <v>613.606865942029</v>
      </c>
      <c r="E16" s="26">
        <v>576.03414855072469</v>
      </c>
      <c r="F16" s="27"/>
      <c r="G16" s="28">
        <v>82.799512696906191</v>
      </c>
      <c r="H16" s="29">
        <v>-6.1232556994976619</v>
      </c>
    </row>
    <row r="17" spans="1:8" x14ac:dyDescent="0.2">
      <c r="A17" s="30" t="s">
        <v>22</v>
      </c>
      <c r="B17" s="31" t="s">
        <v>3</v>
      </c>
      <c r="C17" s="20">
        <v>5918</v>
      </c>
      <c r="D17" s="20">
        <v>7183</v>
      </c>
      <c r="E17" s="21">
        <v>7922.9625616475223</v>
      </c>
      <c r="F17" s="22" t="s">
        <v>240</v>
      </c>
      <c r="G17" s="37">
        <v>33.879056465824988</v>
      </c>
      <c r="H17" s="33">
        <v>10.30158097796911</v>
      </c>
    </row>
    <row r="18" spans="1:8" x14ac:dyDescent="0.2">
      <c r="A18" s="34"/>
      <c r="B18" s="25" t="s">
        <v>241</v>
      </c>
      <c r="C18" s="26">
        <v>1219.1179891304348</v>
      </c>
      <c r="D18" s="26">
        <v>1258.6068659420289</v>
      </c>
      <c r="E18" s="26">
        <v>1461.0341485507247</v>
      </c>
      <c r="F18" s="27"/>
      <c r="G18" s="28">
        <v>19.843539475030013</v>
      </c>
      <c r="H18" s="29">
        <v>16.083440197760652</v>
      </c>
    </row>
    <row r="19" spans="1:8" x14ac:dyDescent="0.2">
      <c r="A19" s="30" t="s">
        <v>189</v>
      </c>
      <c r="B19" s="31" t="s">
        <v>3</v>
      </c>
      <c r="C19" s="20">
        <v>166646</v>
      </c>
      <c r="D19" s="20">
        <v>182208</v>
      </c>
      <c r="E19" s="21">
        <v>182750.27303094312</v>
      </c>
      <c r="F19" s="22" t="s">
        <v>240</v>
      </c>
      <c r="G19" s="23">
        <v>9.6637621250693826</v>
      </c>
      <c r="H19" s="24">
        <v>0.29761208670481665</v>
      </c>
    </row>
    <row r="20" spans="1:8" x14ac:dyDescent="0.2">
      <c r="A20" s="30"/>
      <c r="B20" s="25" t="s">
        <v>241</v>
      </c>
      <c r="C20" s="26">
        <v>35218.011335403731</v>
      </c>
      <c r="D20" s="26">
        <v>42110.773136645963</v>
      </c>
      <c r="E20" s="26">
        <v>40958.292701863349</v>
      </c>
      <c r="F20" s="27"/>
      <c r="G20" s="38">
        <v>16.299277411751717</v>
      </c>
      <c r="H20" s="24">
        <v>-2.7367828917386703</v>
      </c>
    </row>
    <row r="21" spans="1:8" x14ac:dyDescent="0.2">
      <c r="A21" s="39" t="s">
        <v>12</v>
      </c>
      <c r="B21" s="31" t="s">
        <v>3</v>
      </c>
      <c r="C21" s="20">
        <v>1853</v>
      </c>
      <c r="D21" s="20">
        <v>2004</v>
      </c>
      <c r="E21" s="21">
        <v>2420.9110182206869</v>
      </c>
      <c r="F21" s="22" t="s">
        <v>240</v>
      </c>
      <c r="G21" s="37">
        <v>30.648193104192501</v>
      </c>
      <c r="H21" s="33">
        <v>20.803943024984378</v>
      </c>
    </row>
    <row r="22" spans="1:8" x14ac:dyDescent="0.2">
      <c r="A22" s="34"/>
      <c r="B22" s="25" t="s">
        <v>241</v>
      </c>
      <c r="C22" s="26">
        <v>296.07079347826084</v>
      </c>
      <c r="D22" s="26">
        <v>345.9641195652174</v>
      </c>
      <c r="E22" s="26">
        <v>407.02048913043478</v>
      </c>
      <c r="F22" s="27"/>
      <c r="G22" s="28">
        <v>37.474042727662862</v>
      </c>
      <c r="H22" s="29">
        <v>17.648179713534631</v>
      </c>
    </row>
    <row r="23" spans="1:8" x14ac:dyDescent="0.2">
      <c r="A23" s="39" t="s">
        <v>23</v>
      </c>
      <c r="B23" s="31" t="s">
        <v>3</v>
      </c>
      <c r="C23" s="20">
        <v>5386</v>
      </c>
      <c r="D23" s="20">
        <v>5327</v>
      </c>
      <c r="E23" s="21">
        <v>5090.3238461487581</v>
      </c>
      <c r="F23" s="22" t="s">
        <v>240</v>
      </c>
      <c r="G23" s="23">
        <v>-5.4897169300267734</v>
      </c>
      <c r="H23" s="24">
        <v>-4.4429538924580783</v>
      </c>
    </row>
    <row r="24" spans="1:8" x14ac:dyDescent="0.2">
      <c r="A24" s="34"/>
      <c r="B24" s="25" t="s">
        <v>241</v>
      </c>
      <c r="C24" s="26">
        <v>1269.1179891304348</v>
      </c>
      <c r="D24" s="26">
        <v>1532.6068659420289</v>
      </c>
      <c r="E24" s="26">
        <v>1364.0341485507247</v>
      </c>
      <c r="F24" s="27"/>
      <c r="G24" s="28">
        <v>7.4789074170577265</v>
      </c>
      <c r="H24" s="29">
        <v>-10.999084053280001</v>
      </c>
    </row>
    <row r="25" spans="1:8" x14ac:dyDescent="0.2">
      <c r="A25" s="30" t="s">
        <v>24</v>
      </c>
      <c r="B25" s="31" t="s">
        <v>3</v>
      </c>
      <c r="C25" s="20">
        <v>9242</v>
      </c>
      <c r="D25" s="20">
        <v>9544</v>
      </c>
      <c r="E25" s="21">
        <v>7767.1680086640999</v>
      </c>
      <c r="F25" s="22" t="s">
        <v>240</v>
      </c>
      <c r="G25" s="23">
        <v>-15.957931089979439</v>
      </c>
      <c r="H25" s="24">
        <v>-18.617267302345979</v>
      </c>
    </row>
    <row r="26" spans="1:8" ht="13.5" thickBot="1" x14ac:dyDescent="0.25">
      <c r="A26" s="41"/>
      <c r="B26" s="42" t="s">
        <v>241</v>
      </c>
      <c r="C26" s="43">
        <v>2526.2359782608696</v>
      </c>
      <c r="D26" s="43">
        <v>2223.2137318840578</v>
      </c>
      <c r="E26" s="43">
        <v>1903.0682971014494</v>
      </c>
      <c r="F26" s="44"/>
      <c r="G26" s="45">
        <v>-24.667833350565544</v>
      </c>
      <c r="H26" s="46">
        <v>-14.400119529277191</v>
      </c>
    </row>
    <row r="31" spans="1:8" x14ac:dyDescent="0.2">
      <c r="A31" s="47"/>
      <c r="B31" s="48"/>
      <c r="C31" s="49"/>
      <c r="D31" s="55"/>
      <c r="E31" s="49"/>
      <c r="F31" s="49"/>
      <c r="G31" s="50"/>
      <c r="H31" s="51"/>
    </row>
    <row r="32" spans="1:8" ht="16.5" thickBot="1" x14ac:dyDescent="0.3">
      <c r="A32" s="4" t="s">
        <v>43</v>
      </c>
      <c r="B32" s="5"/>
      <c r="C32" s="5"/>
      <c r="D32" s="5"/>
      <c r="E32" s="5"/>
      <c r="F32" s="5"/>
      <c r="G32" s="5"/>
      <c r="H32" s="6"/>
    </row>
    <row r="33" spans="1:8" x14ac:dyDescent="0.2">
      <c r="A33" s="7"/>
      <c r="B33" s="8"/>
      <c r="C33" s="211" t="s">
        <v>16</v>
      </c>
      <c r="D33" s="205"/>
      <c r="E33" s="205"/>
      <c r="F33" s="212"/>
      <c r="G33" s="205" t="s">
        <v>1</v>
      </c>
      <c r="H33" s="206"/>
    </row>
    <row r="34" spans="1:8" x14ac:dyDescent="0.2">
      <c r="A34" s="12"/>
      <c r="B34" s="13"/>
      <c r="C34" s="14" t="s">
        <v>235</v>
      </c>
      <c r="D34" s="15" t="s">
        <v>236</v>
      </c>
      <c r="E34" s="15" t="s">
        <v>237</v>
      </c>
      <c r="F34" s="16"/>
      <c r="G34" s="17" t="s">
        <v>238</v>
      </c>
      <c r="H34" s="18" t="s">
        <v>239</v>
      </c>
    </row>
    <row r="35" spans="1:8" ht="12.75" customHeight="1" x14ac:dyDescent="0.2">
      <c r="A35" s="207" t="s">
        <v>42</v>
      </c>
      <c r="B35" s="19" t="s">
        <v>3</v>
      </c>
      <c r="C35" s="80">
        <v>1739.1286627570807</v>
      </c>
      <c r="D35" s="80">
        <v>1815.0056375781719</v>
      </c>
      <c r="E35" s="83">
        <v>2032.3959420063711</v>
      </c>
      <c r="F35" s="22" t="s">
        <v>240</v>
      </c>
      <c r="G35" s="23">
        <v>16.862885738675999</v>
      </c>
      <c r="H35" s="24">
        <v>11.977390038207886</v>
      </c>
    </row>
    <row r="36" spans="1:8" ht="12.75" customHeight="1" x14ac:dyDescent="0.2">
      <c r="A36" s="208"/>
      <c r="B36" s="25" t="s">
        <v>241</v>
      </c>
      <c r="C36" s="82">
        <v>373.54831963300336</v>
      </c>
      <c r="D36" s="82">
        <v>438.95562754655737</v>
      </c>
      <c r="E36" s="82">
        <v>471.72309693838349</v>
      </c>
      <c r="F36" s="27"/>
      <c r="G36" s="28">
        <v>26.281680881828891</v>
      </c>
      <c r="H36" s="29">
        <v>7.464870555361685</v>
      </c>
    </row>
    <row r="37" spans="1:8" x14ac:dyDescent="0.2">
      <c r="A37" s="30" t="s">
        <v>18</v>
      </c>
      <c r="B37" s="31" t="s">
        <v>3</v>
      </c>
      <c r="C37" s="80">
        <v>445.74235518505702</v>
      </c>
      <c r="D37" s="80">
        <v>481.52034743058613</v>
      </c>
      <c r="E37" s="83">
        <v>493.62846375510196</v>
      </c>
      <c r="F37" s="22" t="s">
        <v>240</v>
      </c>
      <c r="G37" s="32">
        <v>10.74300164949868</v>
      </c>
      <c r="H37" s="33">
        <v>2.5145596420016858</v>
      </c>
    </row>
    <row r="38" spans="1:8" x14ac:dyDescent="0.2">
      <c r="A38" s="34"/>
      <c r="B38" s="25" t="s">
        <v>241</v>
      </c>
      <c r="C38" s="82">
        <v>106.87366621641038</v>
      </c>
      <c r="D38" s="82">
        <v>129.96964512813375</v>
      </c>
      <c r="E38" s="82">
        <v>127.87776231427847</v>
      </c>
      <c r="F38" s="27"/>
      <c r="G38" s="35">
        <v>19.653200682136713</v>
      </c>
      <c r="H38" s="29">
        <v>-1.6095164465463796</v>
      </c>
    </row>
    <row r="39" spans="1:8" x14ac:dyDescent="0.2">
      <c r="A39" s="30" t="s">
        <v>19</v>
      </c>
      <c r="B39" s="31" t="s">
        <v>3</v>
      </c>
      <c r="C39" s="80">
        <v>132.70640476573291</v>
      </c>
      <c r="D39" s="80">
        <v>119.4962779121096</v>
      </c>
      <c r="E39" s="83">
        <v>141.02741607597153</v>
      </c>
      <c r="F39" s="22" t="s">
        <v>240</v>
      </c>
      <c r="G39" s="37">
        <v>6.2702409314212986</v>
      </c>
      <c r="H39" s="33">
        <v>18.018250057711626</v>
      </c>
    </row>
    <row r="40" spans="1:8" x14ac:dyDescent="0.2">
      <c r="A40" s="34"/>
      <c r="B40" s="25" t="s">
        <v>241</v>
      </c>
      <c r="C40" s="82">
        <v>25.619950460507432</v>
      </c>
      <c r="D40" s="82">
        <v>35.740254800936043</v>
      </c>
      <c r="E40" s="82">
        <v>35.652788629525823</v>
      </c>
      <c r="F40" s="27"/>
      <c r="G40" s="28">
        <v>39.160255928221972</v>
      </c>
      <c r="H40" s="29">
        <v>-0.24472733028173366</v>
      </c>
    </row>
    <row r="41" spans="1:8" x14ac:dyDescent="0.2">
      <c r="A41" s="30" t="s">
        <v>20</v>
      </c>
      <c r="B41" s="31" t="s">
        <v>3</v>
      </c>
      <c r="C41" s="80">
        <v>283.56403810824094</v>
      </c>
      <c r="D41" s="80">
        <v>238.26323056774183</v>
      </c>
      <c r="E41" s="83">
        <v>296.66492665101447</v>
      </c>
      <c r="F41" s="22" t="s">
        <v>240</v>
      </c>
      <c r="G41" s="23">
        <v>4.6200811041394019</v>
      </c>
      <c r="H41" s="24">
        <v>24.51141787346333</v>
      </c>
    </row>
    <row r="42" spans="1:8" x14ac:dyDescent="0.2">
      <c r="A42" s="34"/>
      <c r="B42" s="25" t="s">
        <v>241</v>
      </c>
      <c r="C42" s="82">
        <v>57.24752618262454</v>
      </c>
      <c r="D42" s="82">
        <v>50.938599117950773</v>
      </c>
      <c r="E42" s="82">
        <v>62.201657249406942</v>
      </c>
      <c r="F42" s="27"/>
      <c r="G42" s="38">
        <v>8.6538779876326828</v>
      </c>
      <c r="H42" s="24">
        <v>22.111048058812969</v>
      </c>
    </row>
    <row r="43" spans="1:8" x14ac:dyDescent="0.2">
      <c r="A43" s="30" t="s">
        <v>21</v>
      </c>
      <c r="B43" s="31" t="s">
        <v>3</v>
      </c>
      <c r="C43" s="80">
        <v>12.890875694108434</v>
      </c>
      <c r="D43" s="80">
        <v>16.42417481485889</v>
      </c>
      <c r="E43" s="83">
        <v>17.589081568990832</v>
      </c>
      <c r="F43" s="22" t="s">
        <v>240</v>
      </c>
      <c r="G43" s="37">
        <v>36.445979205506063</v>
      </c>
      <c r="H43" s="33">
        <v>7.0926348949845277</v>
      </c>
    </row>
    <row r="44" spans="1:8" x14ac:dyDescent="0.2">
      <c r="A44" s="34"/>
      <c r="B44" s="25" t="s">
        <v>241</v>
      </c>
      <c r="C44" s="82">
        <v>2.3350840369990205</v>
      </c>
      <c r="D44" s="82">
        <v>3.5259915235981687</v>
      </c>
      <c r="E44" s="82">
        <v>3.5565640712723212</v>
      </c>
      <c r="F44" s="27"/>
      <c r="G44" s="28">
        <v>52.309896128753905</v>
      </c>
      <c r="H44" s="29">
        <v>0.86706242682494405</v>
      </c>
    </row>
    <row r="45" spans="1:8" x14ac:dyDescent="0.2">
      <c r="A45" s="30" t="s">
        <v>22</v>
      </c>
      <c r="B45" s="31" t="s">
        <v>3</v>
      </c>
      <c r="C45" s="80">
        <v>27.984178563933117</v>
      </c>
      <c r="D45" s="80">
        <v>34.15859753709514</v>
      </c>
      <c r="E45" s="83">
        <v>43.963303797178447</v>
      </c>
      <c r="F45" s="22" t="s">
        <v>240</v>
      </c>
      <c r="G45" s="37">
        <v>57.10056915459981</v>
      </c>
      <c r="H45" s="33">
        <v>28.703480139767777</v>
      </c>
    </row>
    <row r="46" spans="1:8" x14ac:dyDescent="0.2">
      <c r="A46" s="34"/>
      <c r="B46" s="25" t="s">
        <v>241</v>
      </c>
      <c r="C46" s="82">
        <v>5.7043357254563087</v>
      </c>
      <c r="D46" s="82">
        <v>5.554936656414788</v>
      </c>
      <c r="E46" s="82">
        <v>7.6661289372722328</v>
      </c>
      <c r="F46" s="27"/>
      <c r="G46" s="28">
        <v>34.391264929607445</v>
      </c>
      <c r="H46" s="29">
        <v>38.005694959985902</v>
      </c>
    </row>
    <row r="47" spans="1:8" x14ac:dyDescent="0.2">
      <c r="A47" s="30" t="s">
        <v>189</v>
      </c>
      <c r="B47" s="31" t="s">
        <v>3</v>
      </c>
      <c r="C47" s="80">
        <v>597.04541345724635</v>
      </c>
      <c r="D47" s="80">
        <v>666.41657354977133</v>
      </c>
      <c r="E47" s="83">
        <v>735.11004705283506</v>
      </c>
      <c r="F47" s="22" t="s">
        <v>240</v>
      </c>
      <c r="G47" s="23">
        <v>23.124645208496418</v>
      </c>
      <c r="H47" s="24">
        <v>10.307887923188531</v>
      </c>
    </row>
    <row r="48" spans="1:8" x14ac:dyDescent="0.2">
      <c r="A48" s="30"/>
      <c r="B48" s="25" t="s">
        <v>241</v>
      </c>
      <c r="C48" s="82">
        <v>120.75133615624389</v>
      </c>
      <c r="D48" s="82">
        <v>158.43054998249056</v>
      </c>
      <c r="E48" s="82">
        <v>165.10485556229833</v>
      </c>
      <c r="F48" s="27"/>
      <c r="G48" s="38">
        <v>36.73128664072425</v>
      </c>
      <c r="H48" s="24">
        <v>4.2127642557230303</v>
      </c>
    </row>
    <row r="49" spans="1:8" x14ac:dyDescent="0.2">
      <c r="A49" s="39" t="s">
        <v>12</v>
      </c>
      <c r="B49" s="31" t="s">
        <v>3</v>
      </c>
      <c r="C49" s="80">
        <v>19.590359293111437</v>
      </c>
      <c r="D49" s="80">
        <v>26.189544232373748</v>
      </c>
      <c r="E49" s="83">
        <v>49.117456274018913</v>
      </c>
      <c r="F49" s="22" t="s">
        <v>240</v>
      </c>
      <c r="G49" s="37">
        <v>150.72259032681495</v>
      </c>
      <c r="H49" s="33">
        <v>87.546052112289999</v>
      </c>
    </row>
    <row r="50" spans="1:8" x14ac:dyDescent="0.2">
      <c r="A50" s="34"/>
      <c r="B50" s="25" t="s">
        <v>241</v>
      </c>
      <c r="C50" s="82">
        <v>2.084875247052925</v>
      </c>
      <c r="D50" s="82">
        <v>3.6375693569683016</v>
      </c>
      <c r="E50" s="82">
        <v>6.1923446108610891</v>
      </c>
      <c r="F50" s="27"/>
      <c r="G50" s="28">
        <v>197.01271668960896</v>
      </c>
      <c r="H50" s="29">
        <v>70.233032093222846</v>
      </c>
    </row>
    <row r="51" spans="1:8" x14ac:dyDescent="0.2">
      <c r="A51" s="39" t="s">
        <v>23</v>
      </c>
      <c r="B51" s="31" t="s">
        <v>3</v>
      </c>
      <c r="C51" s="80">
        <v>118.70036905708614</v>
      </c>
      <c r="D51" s="80">
        <v>120.71935405247179</v>
      </c>
      <c r="E51" s="83">
        <v>130.99434850402909</v>
      </c>
      <c r="F51" s="22" t="s">
        <v>240</v>
      </c>
      <c r="G51" s="23">
        <v>10.357153515698386</v>
      </c>
      <c r="H51" s="24">
        <v>8.5114723585177501</v>
      </c>
    </row>
    <row r="52" spans="1:8" x14ac:dyDescent="0.2">
      <c r="A52" s="34"/>
      <c r="B52" s="25" t="s">
        <v>241</v>
      </c>
      <c r="C52" s="82">
        <v>22.149826408207002</v>
      </c>
      <c r="D52" s="82">
        <v>27.1586314900382</v>
      </c>
      <c r="E52" s="82">
        <v>27.57984986163558</v>
      </c>
      <c r="F52" s="27"/>
      <c r="G52" s="38">
        <v>24.514970697091499</v>
      </c>
      <c r="H52" s="24">
        <v>1.5509558047940715</v>
      </c>
    </row>
    <row r="53" spans="1:8" x14ac:dyDescent="0.2">
      <c r="A53" s="30" t="s">
        <v>24</v>
      </c>
      <c r="B53" s="31" t="s">
        <v>3</v>
      </c>
      <c r="C53" s="80">
        <v>100.90466863256418</v>
      </c>
      <c r="D53" s="80">
        <v>111.81753748116357</v>
      </c>
      <c r="E53" s="83">
        <v>150.69570065456011</v>
      </c>
      <c r="F53" s="22" t="s">
        <v>240</v>
      </c>
      <c r="G53" s="37">
        <v>49.344626662722391</v>
      </c>
      <c r="H53" s="33">
        <v>34.769289370145373</v>
      </c>
    </row>
    <row r="54" spans="1:8" ht="13.5" thickBot="1" x14ac:dyDescent="0.25">
      <c r="A54" s="41"/>
      <c r="B54" s="42" t="s">
        <v>241</v>
      </c>
      <c r="C54" s="86">
        <v>30.78171919950179</v>
      </c>
      <c r="D54" s="86">
        <v>23.999449490026734</v>
      </c>
      <c r="E54" s="86">
        <v>35.890145701832679</v>
      </c>
      <c r="F54" s="44"/>
      <c r="G54" s="45">
        <v>16.595650389837786</v>
      </c>
      <c r="H54" s="46">
        <v>49.545704024366358</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H61" s="202">
        <v>14</v>
      </c>
    </row>
    <row r="62" spans="1:8" ht="12.75" customHeight="1" x14ac:dyDescent="0.2">
      <c r="A62" s="54" t="s">
        <v>243</v>
      </c>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149</v>
      </c>
      <c r="B4" s="5"/>
      <c r="C4" s="5"/>
      <c r="D4" s="5"/>
      <c r="E4" s="5"/>
      <c r="F4" s="5"/>
      <c r="G4" s="5"/>
      <c r="H4" s="6"/>
    </row>
    <row r="5" spans="1:8" x14ac:dyDescent="0.2">
      <c r="A5" s="7"/>
      <c r="B5" s="8"/>
      <c r="C5" s="9"/>
      <c r="D5" s="8"/>
      <c r="E5" s="10"/>
      <c r="F5" s="11"/>
      <c r="G5" s="205" t="s">
        <v>1</v>
      </c>
      <c r="H5" s="206"/>
    </row>
    <row r="6" spans="1:8" x14ac:dyDescent="0.2">
      <c r="A6" s="12"/>
      <c r="B6" s="13"/>
      <c r="C6" s="14" t="s">
        <v>235</v>
      </c>
      <c r="D6" s="15" t="s">
        <v>236</v>
      </c>
      <c r="E6" s="15" t="s">
        <v>237</v>
      </c>
      <c r="F6" s="16"/>
      <c r="G6" s="17" t="s">
        <v>238</v>
      </c>
      <c r="H6" s="18" t="s">
        <v>239</v>
      </c>
    </row>
    <row r="7" spans="1:8" x14ac:dyDescent="0.2">
      <c r="A7" s="207" t="s">
        <v>44</v>
      </c>
      <c r="B7" s="19" t="s">
        <v>3</v>
      </c>
      <c r="C7" s="20">
        <v>140079.52566316118</v>
      </c>
      <c r="D7" s="20">
        <v>143670.22691942658</v>
      </c>
      <c r="E7" s="21">
        <v>120666.558715497</v>
      </c>
      <c r="F7" s="22" t="s">
        <v>240</v>
      </c>
      <c r="G7" s="23">
        <v>-13.858532755418594</v>
      </c>
      <c r="H7" s="24">
        <v>-16.011437231758919</v>
      </c>
    </row>
    <row r="8" spans="1:8" x14ac:dyDescent="0.2">
      <c r="A8" s="208"/>
      <c r="B8" s="25" t="s">
        <v>241</v>
      </c>
      <c r="C8" s="26">
        <v>33779.378607928287</v>
      </c>
      <c r="D8" s="26">
        <v>44786.944784527106</v>
      </c>
      <c r="E8" s="26">
        <v>34271.789724271439</v>
      </c>
      <c r="F8" s="27"/>
      <c r="G8" s="28">
        <v>1.4577269820694028</v>
      </c>
      <c r="H8" s="29">
        <v>-23.478170057914781</v>
      </c>
    </row>
    <row r="9" spans="1:8" x14ac:dyDescent="0.2">
      <c r="A9" s="30" t="s">
        <v>18</v>
      </c>
      <c r="B9" s="31" t="s">
        <v>3</v>
      </c>
      <c r="C9" s="20">
        <v>12765.16556521739</v>
      </c>
      <c r="D9" s="20">
        <v>13581.382797564696</v>
      </c>
      <c r="E9" s="21">
        <v>10868.063419030237</v>
      </c>
      <c r="F9" s="22" t="s">
        <v>240</v>
      </c>
      <c r="G9" s="32">
        <v>-14.861555351513729</v>
      </c>
      <c r="H9" s="33">
        <v>-19.978226215823838</v>
      </c>
    </row>
    <row r="10" spans="1:8" x14ac:dyDescent="0.2">
      <c r="A10" s="34"/>
      <c r="B10" s="25" t="s">
        <v>241</v>
      </c>
      <c r="C10" s="26">
        <v>3297.4702913043479</v>
      </c>
      <c r="D10" s="26">
        <v>3667.5490565217392</v>
      </c>
      <c r="E10" s="26">
        <v>2891.0974521739131</v>
      </c>
      <c r="F10" s="27"/>
      <c r="G10" s="35">
        <v>-12.323775598587432</v>
      </c>
      <c r="H10" s="29">
        <v>-21.170858041206515</v>
      </c>
    </row>
    <row r="11" spans="1:8" x14ac:dyDescent="0.2">
      <c r="A11" s="30" t="s">
        <v>19</v>
      </c>
      <c r="B11" s="31" t="s">
        <v>3</v>
      </c>
      <c r="C11" s="20">
        <v>55376.885217391304</v>
      </c>
      <c r="D11" s="20">
        <v>61405.60932521565</v>
      </c>
      <c r="E11" s="21">
        <v>46491.84605494143</v>
      </c>
      <c r="F11" s="22" t="s">
        <v>240</v>
      </c>
      <c r="G11" s="37">
        <v>-16.044671215381939</v>
      </c>
      <c r="H11" s="33">
        <v>-24.287297910013606</v>
      </c>
    </row>
    <row r="12" spans="1:8" x14ac:dyDescent="0.2">
      <c r="A12" s="34"/>
      <c r="B12" s="25" t="s">
        <v>241</v>
      </c>
      <c r="C12" s="26">
        <v>13990.234304347827</v>
      </c>
      <c r="D12" s="26">
        <v>21263.16352173913</v>
      </c>
      <c r="E12" s="26">
        <v>14328.658173913043</v>
      </c>
      <c r="F12" s="27"/>
      <c r="G12" s="28">
        <v>2.4190007272433007</v>
      </c>
      <c r="H12" s="29">
        <v>-32.61276404490026</v>
      </c>
    </row>
    <row r="13" spans="1:8" x14ac:dyDescent="0.2">
      <c r="A13" s="30" t="s">
        <v>20</v>
      </c>
      <c r="B13" s="31" t="s">
        <v>3</v>
      </c>
      <c r="C13" s="20">
        <v>3448.0881987577641</v>
      </c>
      <c r="D13" s="20">
        <v>2890.7187262931675</v>
      </c>
      <c r="E13" s="21">
        <v>3137.3527907250932</v>
      </c>
      <c r="F13" s="22" t="s">
        <v>240</v>
      </c>
      <c r="G13" s="23">
        <v>-9.0118172773138099</v>
      </c>
      <c r="H13" s="24">
        <v>8.531928831007022</v>
      </c>
    </row>
    <row r="14" spans="1:8" x14ac:dyDescent="0.2">
      <c r="A14" s="34"/>
      <c r="B14" s="25" t="s">
        <v>241</v>
      </c>
      <c r="C14" s="26">
        <v>793.4449068322981</v>
      </c>
      <c r="D14" s="26">
        <v>535.17310559006205</v>
      </c>
      <c r="E14" s="26">
        <v>621.3134161490683</v>
      </c>
      <c r="F14" s="27"/>
      <c r="G14" s="38">
        <v>-21.694195677736118</v>
      </c>
      <c r="H14" s="24">
        <v>16.095784645985006</v>
      </c>
    </row>
    <row r="15" spans="1:8" x14ac:dyDescent="0.2">
      <c r="A15" s="30" t="s">
        <v>21</v>
      </c>
      <c r="B15" s="31" t="s">
        <v>3</v>
      </c>
      <c r="C15" s="20">
        <v>4300.3173913043483</v>
      </c>
      <c r="D15" s="20">
        <v>4815.5846285021735</v>
      </c>
      <c r="E15" s="21">
        <v>4386.6310317110483</v>
      </c>
      <c r="F15" s="22" t="s">
        <v>240</v>
      </c>
      <c r="G15" s="37">
        <v>2.0071458116378551</v>
      </c>
      <c r="H15" s="33">
        <v>-8.9076120530051952</v>
      </c>
    </row>
    <row r="16" spans="1:8" x14ac:dyDescent="0.2">
      <c r="A16" s="34"/>
      <c r="B16" s="25" t="s">
        <v>241</v>
      </c>
      <c r="C16" s="26">
        <v>826.92143115942031</v>
      </c>
      <c r="D16" s="26">
        <v>1215.7171557971014</v>
      </c>
      <c r="E16" s="26">
        <v>1002.8414130434783</v>
      </c>
      <c r="F16" s="27"/>
      <c r="G16" s="28">
        <v>21.274086661099332</v>
      </c>
      <c r="H16" s="29">
        <v>-17.510301778545539</v>
      </c>
    </row>
    <row r="17" spans="1:8" x14ac:dyDescent="0.2">
      <c r="A17" s="30" t="s">
        <v>22</v>
      </c>
      <c r="B17" s="31" t="s">
        <v>3</v>
      </c>
      <c r="C17" s="20">
        <v>420.31739130434784</v>
      </c>
      <c r="D17" s="20">
        <v>401.58462850217393</v>
      </c>
      <c r="E17" s="21">
        <v>375.11721058482402</v>
      </c>
      <c r="F17" s="22" t="s">
        <v>240</v>
      </c>
      <c r="G17" s="37">
        <v>-10.753821196704848</v>
      </c>
      <c r="H17" s="33">
        <v>-6.5907447742877423</v>
      </c>
    </row>
    <row r="18" spans="1:8" x14ac:dyDescent="0.2">
      <c r="A18" s="34"/>
      <c r="B18" s="25" t="s">
        <v>241</v>
      </c>
      <c r="C18" s="26">
        <v>94.92143115942028</v>
      </c>
      <c r="D18" s="26">
        <v>87.717155797101455</v>
      </c>
      <c r="E18" s="26">
        <v>82.841413043478269</v>
      </c>
      <c r="F18" s="27"/>
      <c r="G18" s="28">
        <v>-12.726333735585655</v>
      </c>
      <c r="H18" s="29">
        <v>-5.5584824990236399</v>
      </c>
    </row>
    <row r="19" spans="1:8" x14ac:dyDescent="0.2">
      <c r="A19" s="30" t="s">
        <v>189</v>
      </c>
      <c r="B19" s="31" t="s">
        <v>3</v>
      </c>
      <c r="C19" s="20">
        <v>40188.720496894413</v>
      </c>
      <c r="D19" s="20">
        <v>40060.296815732916</v>
      </c>
      <c r="E19" s="21">
        <v>37091.469570728754</v>
      </c>
      <c r="F19" s="22" t="s">
        <v>240</v>
      </c>
      <c r="G19" s="23">
        <v>-7.7067666944136732</v>
      </c>
      <c r="H19" s="24">
        <v>-7.4108967755780952</v>
      </c>
    </row>
    <row r="20" spans="1:8" x14ac:dyDescent="0.2">
      <c r="A20" s="30"/>
      <c r="B20" s="25" t="s">
        <v>241</v>
      </c>
      <c r="C20" s="26">
        <v>9255.6122670807454</v>
      </c>
      <c r="D20" s="26">
        <v>11109.432763975155</v>
      </c>
      <c r="E20" s="26">
        <v>9630.7835403726713</v>
      </c>
      <c r="F20" s="27"/>
      <c r="G20" s="38">
        <v>4.0534463033449413</v>
      </c>
      <c r="H20" s="24">
        <v>-13.30985348232484</v>
      </c>
    </row>
    <row r="21" spans="1:8" x14ac:dyDescent="0.2">
      <c r="A21" s="39" t="s">
        <v>12</v>
      </c>
      <c r="B21" s="31" t="s">
        <v>3</v>
      </c>
      <c r="C21" s="20">
        <v>453.9904347826087</v>
      </c>
      <c r="D21" s="20">
        <v>458.55077710130433</v>
      </c>
      <c r="E21" s="21">
        <v>569.86527161440983</v>
      </c>
      <c r="F21" s="22" t="s">
        <v>240</v>
      </c>
      <c r="G21" s="37">
        <v>25.523629564417433</v>
      </c>
      <c r="H21" s="33">
        <v>24.275282056389045</v>
      </c>
    </row>
    <row r="22" spans="1:8" x14ac:dyDescent="0.2">
      <c r="A22" s="34"/>
      <c r="B22" s="25" t="s">
        <v>241</v>
      </c>
      <c r="C22" s="26">
        <v>105.35285869565217</v>
      </c>
      <c r="D22" s="26">
        <v>90.430293478260865</v>
      </c>
      <c r="E22" s="26">
        <v>118.30484782608696</v>
      </c>
      <c r="F22" s="27"/>
      <c r="G22" s="28">
        <v>12.293913322134941</v>
      </c>
      <c r="H22" s="29">
        <v>30.824354622410965</v>
      </c>
    </row>
    <row r="23" spans="1:8" x14ac:dyDescent="0.2">
      <c r="A23" s="39" t="s">
        <v>23</v>
      </c>
      <c r="B23" s="31" t="s">
        <v>3</v>
      </c>
      <c r="C23" s="20">
        <v>6361.3173913043474</v>
      </c>
      <c r="D23" s="20">
        <v>6214.5846285021744</v>
      </c>
      <c r="E23" s="21">
        <v>5503.3811965684872</v>
      </c>
      <c r="F23" s="22" t="s">
        <v>240</v>
      </c>
      <c r="G23" s="23">
        <v>-13.486769201433376</v>
      </c>
      <c r="H23" s="24">
        <v>-11.444102453313917</v>
      </c>
    </row>
    <row r="24" spans="1:8" x14ac:dyDescent="0.2">
      <c r="A24" s="34"/>
      <c r="B24" s="25" t="s">
        <v>241</v>
      </c>
      <c r="C24" s="26">
        <v>1607.9214311594203</v>
      </c>
      <c r="D24" s="26">
        <v>1663.7171557971014</v>
      </c>
      <c r="E24" s="26">
        <v>1444.8414130434783</v>
      </c>
      <c r="F24" s="27"/>
      <c r="G24" s="28">
        <v>-10.142287735934346</v>
      </c>
      <c r="H24" s="29">
        <v>-13.155826517203749</v>
      </c>
    </row>
    <row r="25" spans="1:8" x14ac:dyDescent="0.2">
      <c r="A25" s="30" t="s">
        <v>24</v>
      </c>
      <c r="B25" s="31" t="s">
        <v>3</v>
      </c>
      <c r="C25" s="20">
        <v>24989.634782608697</v>
      </c>
      <c r="D25" s="20">
        <v>23165.169257004349</v>
      </c>
      <c r="E25" s="21">
        <v>20916.39436748044</v>
      </c>
      <c r="F25" s="22" t="s">
        <v>240</v>
      </c>
      <c r="G25" s="23">
        <v>-16.29971966602325</v>
      </c>
      <c r="H25" s="24">
        <v>-9.7075694313951857</v>
      </c>
    </row>
    <row r="26" spans="1:8" ht="13.5" thickBot="1" x14ac:dyDescent="0.25">
      <c r="A26" s="41"/>
      <c r="B26" s="42" t="s">
        <v>241</v>
      </c>
      <c r="C26" s="43">
        <v>6637.8428623188411</v>
      </c>
      <c r="D26" s="43">
        <v>7898.4343115942029</v>
      </c>
      <c r="E26" s="43">
        <v>6515.682826086957</v>
      </c>
      <c r="F26" s="44"/>
      <c r="G26" s="45">
        <v>-1.8403574589774081</v>
      </c>
      <c r="H26" s="46">
        <v>-17.506652976495474</v>
      </c>
    </row>
    <row r="31" spans="1:8" x14ac:dyDescent="0.2">
      <c r="A31" s="47"/>
      <c r="B31" s="48"/>
      <c r="C31" s="49"/>
      <c r="D31" s="55"/>
      <c r="E31" s="49"/>
      <c r="F31" s="49"/>
      <c r="G31" s="50"/>
      <c r="H31" s="51"/>
    </row>
    <row r="32" spans="1:8" ht="16.5" thickBot="1" x14ac:dyDescent="0.3">
      <c r="A32" s="4" t="s">
        <v>99</v>
      </c>
      <c r="B32" s="5"/>
      <c r="C32" s="5"/>
      <c r="D32" s="5"/>
      <c r="E32" s="5"/>
      <c r="F32" s="5"/>
      <c r="G32" s="5"/>
      <c r="H32" s="6"/>
    </row>
    <row r="33" spans="1:8" x14ac:dyDescent="0.2">
      <c r="A33" s="7"/>
      <c r="B33" s="8"/>
      <c r="C33" s="211" t="s">
        <v>16</v>
      </c>
      <c r="D33" s="205"/>
      <c r="E33" s="205"/>
      <c r="F33" s="212"/>
      <c r="G33" s="205" t="s">
        <v>1</v>
      </c>
      <c r="H33" s="206"/>
    </row>
    <row r="34" spans="1:8" x14ac:dyDescent="0.2">
      <c r="A34" s="12"/>
      <c r="B34" s="13"/>
      <c r="C34" s="14" t="s">
        <v>235</v>
      </c>
      <c r="D34" s="15" t="s">
        <v>236</v>
      </c>
      <c r="E34" s="15" t="s">
        <v>237</v>
      </c>
      <c r="F34" s="16"/>
      <c r="G34" s="17" t="s">
        <v>238</v>
      </c>
      <c r="H34" s="18" t="s">
        <v>239</v>
      </c>
    </row>
    <row r="35" spans="1:8" ht="12.75" customHeight="1" x14ac:dyDescent="0.2">
      <c r="A35" s="207" t="s">
        <v>44</v>
      </c>
      <c r="B35" s="19" t="s">
        <v>3</v>
      </c>
      <c r="C35" s="80">
        <v>5870.1940090888684</v>
      </c>
      <c r="D35" s="80">
        <v>6314.5080110263816</v>
      </c>
      <c r="E35" s="83">
        <v>5702.4673301569974</v>
      </c>
      <c r="F35" s="22" t="s">
        <v>240</v>
      </c>
      <c r="G35" s="23">
        <v>-2.85725955006221</v>
      </c>
      <c r="H35" s="24">
        <v>-9.6926107275600941</v>
      </c>
    </row>
    <row r="36" spans="1:8" ht="12.75" customHeight="1" x14ac:dyDescent="0.2">
      <c r="A36" s="208"/>
      <c r="B36" s="25" t="s">
        <v>241</v>
      </c>
      <c r="C36" s="82">
        <v>1602.6128019544669</v>
      </c>
      <c r="D36" s="82">
        <v>2148.1939960511395</v>
      </c>
      <c r="E36" s="82">
        <v>1792.8925098154727</v>
      </c>
      <c r="F36" s="27"/>
      <c r="G36" s="28">
        <v>11.873092965995909</v>
      </c>
      <c r="H36" s="29">
        <v>-16.539543769733569</v>
      </c>
    </row>
    <row r="37" spans="1:8" x14ac:dyDescent="0.2">
      <c r="A37" s="30" t="s">
        <v>18</v>
      </c>
      <c r="B37" s="31" t="s">
        <v>3</v>
      </c>
      <c r="C37" s="80">
        <v>1779.7662429127643</v>
      </c>
      <c r="D37" s="80">
        <v>2013.4504213424714</v>
      </c>
      <c r="E37" s="83">
        <v>1896.9798358984788</v>
      </c>
      <c r="F37" s="22" t="s">
        <v>240</v>
      </c>
      <c r="G37" s="32">
        <v>6.5858982016583809</v>
      </c>
      <c r="H37" s="33">
        <v>-5.7846264407313157</v>
      </c>
    </row>
    <row r="38" spans="1:8" x14ac:dyDescent="0.2">
      <c r="A38" s="34"/>
      <c r="B38" s="25" t="s">
        <v>241</v>
      </c>
      <c r="C38" s="82">
        <v>526.1299941855583</v>
      </c>
      <c r="D38" s="82">
        <v>665.64693037508403</v>
      </c>
      <c r="E38" s="82">
        <v>603.342393586306</v>
      </c>
      <c r="F38" s="27"/>
      <c r="G38" s="35">
        <v>14.675536512658141</v>
      </c>
      <c r="H38" s="29">
        <v>-9.3599976121981285</v>
      </c>
    </row>
    <row r="39" spans="1:8" x14ac:dyDescent="0.2">
      <c r="A39" s="30" t="s">
        <v>19</v>
      </c>
      <c r="B39" s="31" t="s">
        <v>3</v>
      </c>
      <c r="C39" s="80">
        <v>2595.9403010461156</v>
      </c>
      <c r="D39" s="80">
        <v>2877.8540346858599</v>
      </c>
      <c r="E39" s="83">
        <v>2428.3465087415861</v>
      </c>
      <c r="F39" s="22" t="s">
        <v>240</v>
      </c>
      <c r="G39" s="37">
        <v>-6.4559956265940457</v>
      </c>
      <c r="H39" s="33">
        <v>-15.619538744026016</v>
      </c>
    </row>
    <row r="40" spans="1:8" x14ac:dyDescent="0.2">
      <c r="A40" s="34"/>
      <c r="B40" s="25" t="s">
        <v>241</v>
      </c>
      <c r="C40" s="82">
        <v>669.508130100686</v>
      </c>
      <c r="D40" s="82">
        <v>1002.5167610637538</v>
      </c>
      <c r="E40" s="82">
        <v>757.3874552070107</v>
      </c>
      <c r="F40" s="27"/>
      <c r="G40" s="28">
        <v>13.125953391052732</v>
      </c>
      <c r="H40" s="29">
        <v>-24.451392273645439</v>
      </c>
    </row>
    <row r="41" spans="1:8" x14ac:dyDescent="0.2">
      <c r="A41" s="30" t="s">
        <v>20</v>
      </c>
      <c r="B41" s="31" t="s">
        <v>3</v>
      </c>
      <c r="C41" s="80">
        <v>56.436037544278321</v>
      </c>
      <c r="D41" s="80">
        <v>52.66322865341963</v>
      </c>
      <c r="E41" s="83">
        <v>49.027798995417655</v>
      </c>
      <c r="F41" s="22" t="s">
        <v>240</v>
      </c>
      <c r="G41" s="23">
        <v>-13.126787193463656</v>
      </c>
      <c r="H41" s="24">
        <v>-6.9031651703829056</v>
      </c>
    </row>
    <row r="42" spans="1:8" x14ac:dyDescent="0.2">
      <c r="A42" s="34"/>
      <c r="B42" s="25" t="s">
        <v>241</v>
      </c>
      <c r="C42" s="82">
        <v>18.25408582751448</v>
      </c>
      <c r="D42" s="82">
        <v>12.799347043955471</v>
      </c>
      <c r="E42" s="82">
        <v>12.992380517740537</v>
      </c>
      <c r="F42" s="27"/>
      <c r="G42" s="38">
        <v>-28.82480864554141</v>
      </c>
      <c r="H42" s="24">
        <v>1.508150948030007</v>
      </c>
    </row>
    <row r="43" spans="1:8" x14ac:dyDescent="0.2">
      <c r="A43" s="30" t="s">
        <v>21</v>
      </c>
      <c r="B43" s="31" t="s">
        <v>3</v>
      </c>
      <c r="C43" s="80">
        <v>43.163339153619731</v>
      </c>
      <c r="D43" s="80">
        <v>49.684795302046474</v>
      </c>
      <c r="E43" s="83">
        <v>50.254372937996806</v>
      </c>
      <c r="F43" s="22" t="s">
        <v>240</v>
      </c>
      <c r="G43" s="37">
        <v>16.428371677037902</v>
      </c>
      <c r="H43" s="33">
        <v>1.1463821728311814</v>
      </c>
    </row>
    <row r="44" spans="1:8" x14ac:dyDescent="0.2">
      <c r="A44" s="34"/>
      <c r="B44" s="25" t="s">
        <v>241</v>
      </c>
      <c r="C44" s="82">
        <v>9.3869243932246853</v>
      </c>
      <c r="D44" s="82">
        <v>12.400325484604764</v>
      </c>
      <c r="E44" s="82">
        <v>11.954219747160998</v>
      </c>
      <c r="F44" s="27"/>
      <c r="G44" s="28">
        <v>27.349696731224782</v>
      </c>
      <c r="H44" s="29">
        <v>-3.5975324841078873</v>
      </c>
    </row>
    <row r="45" spans="1:8" x14ac:dyDescent="0.2">
      <c r="A45" s="30" t="s">
        <v>22</v>
      </c>
      <c r="B45" s="31" t="s">
        <v>3</v>
      </c>
      <c r="C45" s="80">
        <v>3.1623911489308409</v>
      </c>
      <c r="D45" s="80">
        <v>3.0031009673376188</v>
      </c>
      <c r="E45" s="83">
        <v>2.8950936541833174</v>
      </c>
      <c r="F45" s="22" t="s">
        <v>240</v>
      </c>
      <c r="G45" s="37">
        <v>-8.4523856208582231</v>
      </c>
      <c r="H45" s="33">
        <v>-3.5965262017165713</v>
      </c>
    </row>
    <row r="46" spans="1:8" x14ac:dyDescent="0.2">
      <c r="A46" s="34"/>
      <c r="B46" s="25" t="s">
        <v>241</v>
      </c>
      <c r="C46" s="82">
        <v>0.91835862775342392</v>
      </c>
      <c r="D46" s="82">
        <v>0.93099183156131471</v>
      </c>
      <c r="E46" s="82">
        <v>0.8777509234771792</v>
      </c>
      <c r="F46" s="27"/>
      <c r="G46" s="28">
        <v>-4.4217697802418598</v>
      </c>
      <c r="H46" s="29">
        <v>-5.7187298834672049</v>
      </c>
    </row>
    <row r="47" spans="1:8" x14ac:dyDescent="0.2">
      <c r="A47" s="30" t="s">
        <v>189</v>
      </c>
      <c r="B47" s="31" t="s">
        <v>3</v>
      </c>
      <c r="C47" s="80">
        <v>565.94371490292428</v>
      </c>
      <c r="D47" s="80">
        <v>515.02188171698685</v>
      </c>
      <c r="E47" s="83">
        <v>518.24757556561076</v>
      </c>
      <c r="F47" s="22" t="s">
        <v>240</v>
      </c>
      <c r="G47" s="23">
        <v>-8.4277178244650628</v>
      </c>
      <c r="H47" s="24">
        <v>0.62632170848159774</v>
      </c>
    </row>
    <row r="48" spans="1:8" x14ac:dyDescent="0.2">
      <c r="A48" s="30"/>
      <c r="B48" s="25" t="s">
        <v>241</v>
      </c>
      <c r="C48" s="82">
        <v>150.98386084003445</v>
      </c>
      <c r="D48" s="82">
        <v>176.09860254731979</v>
      </c>
      <c r="E48" s="82">
        <v>161.99258460335392</v>
      </c>
      <c r="F48" s="27"/>
      <c r="G48" s="38">
        <v>7.2913248489406897</v>
      </c>
      <c r="H48" s="24">
        <v>-8.0102952209262384</v>
      </c>
    </row>
    <row r="49" spans="1:8" x14ac:dyDescent="0.2">
      <c r="A49" s="39" t="s">
        <v>12</v>
      </c>
      <c r="B49" s="31" t="s">
        <v>3</v>
      </c>
      <c r="C49" s="80">
        <v>4.940653064130899</v>
      </c>
      <c r="D49" s="80">
        <v>4.3824626567413736</v>
      </c>
      <c r="E49" s="83">
        <v>5.3197892143832641</v>
      </c>
      <c r="F49" s="22" t="s">
        <v>240</v>
      </c>
      <c r="G49" s="37">
        <v>7.6738063841173272</v>
      </c>
      <c r="H49" s="33">
        <v>21.388124236496054</v>
      </c>
    </row>
    <row r="50" spans="1:8" x14ac:dyDescent="0.2">
      <c r="A50" s="34"/>
      <c r="B50" s="25" t="s">
        <v>241</v>
      </c>
      <c r="C50" s="82">
        <v>1.3613395648093167</v>
      </c>
      <c r="D50" s="82">
        <v>1.3161913809930019</v>
      </c>
      <c r="E50" s="82">
        <v>1.5511748882756271</v>
      </c>
      <c r="F50" s="27"/>
      <c r="G50" s="28">
        <v>13.944744454180366</v>
      </c>
      <c r="H50" s="29">
        <v>17.853293272999665</v>
      </c>
    </row>
    <row r="51" spans="1:8" x14ac:dyDescent="0.2">
      <c r="A51" s="39" t="s">
        <v>23</v>
      </c>
      <c r="B51" s="31" t="s">
        <v>3</v>
      </c>
      <c r="C51" s="80">
        <v>175.22798370011844</v>
      </c>
      <c r="D51" s="80">
        <v>188.64827610238564</v>
      </c>
      <c r="E51" s="83">
        <v>202.0117267672037</v>
      </c>
      <c r="F51" s="22" t="s">
        <v>240</v>
      </c>
      <c r="G51" s="23">
        <v>15.285083182217278</v>
      </c>
      <c r="H51" s="24">
        <v>7.0837915622220038</v>
      </c>
    </row>
    <row r="52" spans="1:8" x14ac:dyDescent="0.2">
      <c r="A52" s="34"/>
      <c r="B52" s="25" t="s">
        <v>241</v>
      </c>
      <c r="C52" s="82">
        <v>35.798309497320737</v>
      </c>
      <c r="D52" s="82">
        <v>45.533767906760673</v>
      </c>
      <c r="E52" s="82">
        <v>45.978111062345</v>
      </c>
      <c r="F52" s="27"/>
      <c r="G52" s="28">
        <v>28.436542697040352</v>
      </c>
      <c r="H52" s="29">
        <v>0.97585413202396865</v>
      </c>
    </row>
    <row r="53" spans="1:8" x14ac:dyDescent="0.2">
      <c r="A53" s="30" t="s">
        <v>24</v>
      </c>
      <c r="B53" s="31" t="s">
        <v>3</v>
      </c>
      <c r="C53" s="80">
        <v>645.61334561598767</v>
      </c>
      <c r="D53" s="80">
        <v>609.79980959913178</v>
      </c>
      <c r="E53" s="83">
        <v>569.05415479491614</v>
      </c>
      <c r="F53" s="22" t="s">
        <v>240</v>
      </c>
      <c r="G53" s="23">
        <v>-11.858365590015097</v>
      </c>
      <c r="H53" s="24">
        <v>-6.6818083841319833</v>
      </c>
    </row>
    <row r="54" spans="1:8" ht="13.5" thickBot="1" x14ac:dyDescent="0.25">
      <c r="A54" s="41"/>
      <c r="B54" s="42" t="s">
        <v>241</v>
      </c>
      <c r="C54" s="86">
        <v>190.27179891756566</v>
      </c>
      <c r="D54" s="86">
        <v>230.95107841710654</v>
      </c>
      <c r="E54" s="86">
        <v>196.81643927980298</v>
      </c>
      <c r="F54" s="44"/>
      <c r="G54" s="45">
        <v>3.4396271015825874</v>
      </c>
      <c r="H54" s="46">
        <v>-14.780030200012789</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10">
        <v>15</v>
      </c>
    </row>
    <row r="62" spans="1:8" ht="12.75" customHeight="1" x14ac:dyDescent="0.2">
      <c r="A62" s="54" t="s">
        <v>243</v>
      </c>
      <c r="G62" s="53"/>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150</v>
      </c>
      <c r="B4" s="5"/>
      <c r="C4" s="5"/>
      <c r="D4" s="5"/>
      <c r="E4" s="5"/>
      <c r="F4" s="5"/>
      <c r="G4" s="5"/>
      <c r="H4" s="6"/>
    </row>
    <row r="5" spans="1:8" x14ac:dyDescent="0.2">
      <c r="A5" s="7"/>
      <c r="B5" s="8"/>
      <c r="C5" s="9"/>
      <c r="D5" s="8"/>
      <c r="E5" s="10"/>
      <c r="F5" s="11"/>
      <c r="G5" s="205" t="s">
        <v>1</v>
      </c>
      <c r="H5" s="206"/>
    </row>
    <row r="6" spans="1:8" x14ac:dyDescent="0.2">
      <c r="A6" s="12"/>
      <c r="B6" s="13"/>
      <c r="C6" s="14" t="s">
        <v>235</v>
      </c>
      <c r="D6" s="15" t="s">
        <v>236</v>
      </c>
      <c r="E6" s="15" t="s">
        <v>237</v>
      </c>
      <c r="F6" s="16"/>
      <c r="G6" s="17" t="s">
        <v>238</v>
      </c>
      <c r="H6" s="18" t="s">
        <v>239</v>
      </c>
    </row>
    <row r="7" spans="1:8" ht="12.75" customHeight="1" x14ac:dyDescent="0.2">
      <c r="A7" s="207" t="s">
        <v>45</v>
      </c>
      <c r="B7" s="19" t="s">
        <v>3</v>
      </c>
      <c r="C7" s="20">
        <v>19730</v>
      </c>
      <c r="D7" s="20">
        <v>22199</v>
      </c>
      <c r="E7" s="21">
        <v>18755.759731018206</v>
      </c>
      <c r="F7" s="22" t="s">
        <v>240</v>
      </c>
      <c r="G7" s="23">
        <v>-4.9378624885037681</v>
      </c>
      <c r="H7" s="24">
        <v>-15.510789985953394</v>
      </c>
    </row>
    <row r="8" spans="1:8" ht="12.75" customHeight="1" x14ac:dyDescent="0.2">
      <c r="A8" s="208"/>
      <c r="B8" s="25" t="s">
        <v>241</v>
      </c>
      <c r="C8" s="26">
        <v>3848.8858368649608</v>
      </c>
      <c r="D8" s="26">
        <v>6189.8587348924812</v>
      </c>
      <c r="E8" s="26">
        <v>4575</v>
      </c>
      <c r="F8" s="27"/>
      <c r="G8" s="28">
        <v>18.865567697026904</v>
      </c>
      <c r="H8" s="29">
        <v>-26.088781732440154</v>
      </c>
    </row>
    <row r="9" spans="1:8" x14ac:dyDescent="0.2">
      <c r="A9" s="30" t="s">
        <v>18</v>
      </c>
      <c r="B9" s="31" t="s">
        <v>3</v>
      </c>
      <c r="C9" s="20">
        <v>2349</v>
      </c>
      <c r="D9" s="20">
        <v>2884</v>
      </c>
      <c r="E9" s="21">
        <v>2419.1218968499652</v>
      </c>
      <c r="F9" s="22" t="s">
        <v>240</v>
      </c>
      <c r="G9" s="32">
        <v>2.9851807939534041</v>
      </c>
      <c r="H9" s="33">
        <v>-16.119213007976242</v>
      </c>
    </row>
    <row r="10" spans="1:8" x14ac:dyDescent="0.2">
      <c r="A10" s="34"/>
      <c r="B10" s="25" t="s">
        <v>241</v>
      </c>
      <c r="C10" s="26">
        <v>473.24622608695654</v>
      </c>
      <c r="D10" s="26">
        <v>592.96212173913045</v>
      </c>
      <c r="E10" s="26">
        <v>494</v>
      </c>
      <c r="F10" s="27"/>
      <c r="G10" s="35">
        <v>4.3854071662961474</v>
      </c>
      <c r="H10" s="29">
        <v>-16.689450828474364</v>
      </c>
    </row>
    <row r="11" spans="1:8" x14ac:dyDescent="0.2">
      <c r="A11" s="30" t="s">
        <v>19</v>
      </c>
      <c r="B11" s="31" t="s">
        <v>3</v>
      </c>
      <c r="C11" s="20">
        <v>5293</v>
      </c>
      <c r="D11" s="20">
        <v>7881</v>
      </c>
      <c r="E11" s="21">
        <v>4798.827023941164</v>
      </c>
      <c r="F11" s="22" t="s">
        <v>240</v>
      </c>
      <c r="G11" s="37">
        <v>-9.3363494437716952</v>
      </c>
      <c r="H11" s="33">
        <v>-39.108907195265019</v>
      </c>
    </row>
    <row r="12" spans="1:8" x14ac:dyDescent="0.2">
      <c r="A12" s="34"/>
      <c r="B12" s="25" t="s">
        <v>241</v>
      </c>
      <c r="C12" s="26">
        <v>1151.1540869565217</v>
      </c>
      <c r="D12" s="26">
        <v>3029.8737391304348</v>
      </c>
      <c r="E12" s="26">
        <v>1469</v>
      </c>
      <c r="F12" s="27"/>
      <c r="G12" s="28">
        <v>27.611065855120671</v>
      </c>
      <c r="H12" s="29">
        <v>-51.516131480066271</v>
      </c>
    </row>
    <row r="13" spans="1:8" x14ac:dyDescent="0.2">
      <c r="A13" s="30" t="s">
        <v>20</v>
      </c>
      <c r="B13" s="31" t="s">
        <v>3</v>
      </c>
      <c r="C13" s="20">
        <v>1022</v>
      </c>
      <c r="D13" s="20">
        <v>805</v>
      </c>
      <c r="E13" s="21">
        <v>960.06799682506914</v>
      </c>
      <c r="F13" s="22" t="s">
        <v>240</v>
      </c>
      <c r="G13" s="23">
        <v>-6.0598828938288563</v>
      </c>
      <c r="H13" s="24">
        <v>19.263105195660771</v>
      </c>
    </row>
    <row r="14" spans="1:8" x14ac:dyDescent="0.2">
      <c r="A14" s="34"/>
      <c r="B14" s="25" t="s">
        <v>241</v>
      </c>
      <c r="C14" s="26">
        <v>209.97813664596273</v>
      </c>
      <c r="D14" s="26">
        <v>155.22559006211179</v>
      </c>
      <c r="E14" s="26">
        <v>189</v>
      </c>
      <c r="F14" s="27"/>
      <c r="G14" s="38">
        <v>-9.9906290155023498</v>
      </c>
      <c r="H14" s="24">
        <v>21.758274472897</v>
      </c>
    </row>
    <row r="15" spans="1:8" x14ac:dyDescent="0.2">
      <c r="A15" s="30" t="s">
        <v>21</v>
      </c>
      <c r="B15" s="31" t="s">
        <v>3</v>
      </c>
      <c r="C15" s="20">
        <v>558</v>
      </c>
      <c r="D15" s="20">
        <v>625</v>
      </c>
      <c r="E15" s="21">
        <v>727.51279805665649</v>
      </c>
      <c r="F15" s="22" t="s">
        <v>240</v>
      </c>
      <c r="G15" s="37">
        <v>30.378637644562104</v>
      </c>
      <c r="H15" s="33">
        <v>16.402047689065029</v>
      </c>
    </row>
    <row r="16" spans="1:8" x14ac:dyDescent="0.2">
      <c r="A16" s="34"/>
      <c r="B16" s="25" t="s">
        <v>241</v>
      </c>
      <c r="C16" s="26">
        <v>65.576956521739135</v>
      </c>
      <c r="D16" s="26">
        <v>129.14913043478259</v>
      </c>
      <c r="E16" s="26">
        <v>120</v>
      </c>
      <c r="F16" s="27"/>
      <c r="G16" s="28">
        <v>82.991109018942211</v>
      </c>
      <c r="H16" s="29">
        <v>-7.0841595324582585</v>
      </c>
    </row>
    <row r="17" spans="1:8" x14ac:dyDescent="0.2">
      <c r="A17" s="30" t="s">
        <v>22</v>
      </c>
      <c r="B17" s="31" t="s">
        <v>3</v>
      </c>
      <c r="C17" s="20">
        <v>374</v>
      </c>
      <c r="D17" s="20">
        <v>405</v>
      </c>
      <c r="E17" s="21">
        <v>518.13722460485974</v>
      </c>
      <c r="F17" s="22" t="s">
        <v>240</v>
      </c>
      <c r="G17" s="37">
        <v>38.539364867609549</v>
      </c>
      <c r="H17" s="33">
        <v>27.935117186385128</v>
      </c>
    </row>
    <row r="18" spans="1:8" x14ac:dyDescent="0.2">
      <c r="A18" s="34"/>
      <c r="B18" s="25" t="s">
        <v>241</v>
      </c>
      <c r="C18" s="26">
        <v>90.576956521739135</v>
      </c>
      <c r="D18" s="26">
        <v>67.149130434782606</v>
      </c>
      <c r="E18" s="26">
        <v>96</v>
      </c>
      <c r="F18" s="27"/>
      <c r="G18" s="28">
        <v>5.9872220115491501</v>
      </c>
      <c r="H18" s="29">
        <v>42.965365863133968</v>
      </c>
    </row>
    <row r="19" spans="1:8" x14ac:dyDescent="0.2">
      <c r="A19" s="30" t="s">
        <v>189</v>
      </c>
      <c r="B19" s="31" t="s">
        <v>3</v>
      </c>
      <c r="C19" s="20">
        <v>6206</v>
      </c>
      <c r="D19" s="20">
        <v>6216</v>
      </c>
      <c r="E19" s="21">
        <v>5710.6298797584868</v>
      </c>
      <c r="F19" s="22" t="s">
        <v>240</v>
      </c>
      <c r="G19" s="23">
        <v>-7.9821160206495847</v>
      </c>
      <c r="H19" s="24">
        <v>-8.1301499395352863</v>
      </c>
    </row>
    <row r="20" spans="1:8" x14ac:dyDescent="0.2">
      <c r="A20" s="30"/>
      <c r="B20" s="25" t="s">
        <v>241</v>
      </c>
      <c r="C20" s="26">
        <v>986.94534161490685</v>
      </c>
      <c r="D20" s="26">
        <v>1390.5639751552794</v>
      </c>
      <c r="E20" s="26">
        <v>1125</v>
      </c>
      <c r="F20" s="27"/>
      <c r="G20" s="38">
        <v>13.98807538411387</v>
      </c>
      <c r="H20" s="24">
        <v>-19.097573351533498</v>
      </c>
    </row>
    <row r="21" spans="1:8" x14ac:dyDescent="0.2">
      <c r="A21" s="39" t="s">
        <v>12</v>
      </c>
      <c r="B21" s="31" t="s">
        <v>3</v>
      </c>
      <c r="C21" s="20">
        <v>62</v>
      </c>
      <c r="D21" s="20">
        <v>63</v>
      </c>
      <c r="E21" s="21">
        <v>38.299765299747307</v>
      </c>
      <c r="F21" s="22" t="s">
        <v>240</v>
      </c>
      <c r="G21" s="37">
        <v>-38.226185000407561</v>
      </c>
      <c r="H21" s="33">
        <v>-39.206721746432848</v>
      </c>
    </row>
    <row r="22" spans="1:8" x14ac:dyDescent="0.2">
      <c r="A22" s="34"/>
      <c r="B22" s="25" t="s">
        <v>241</v>
      </c>
      <c r="C22" s="26">
        <v>12.346173913043479</v>
      </c>
      <c r="D22" s="26">
        <v>13.489478260869566</v>
      </c>
      <c r="E22" s="26">
        <v>8</v>
      </c>
      <c r="F22" s="27"/>
      <c r="G22" s="28">
        <v>-35.20259753065551</v>
      </c>
      <c r="H22" s="29">
        <v>-40.694518755358445</v>
      </c>
    </row>
    <row r="23" spans="1:8" x14ac:dyDescent="0.2">
      <c r="A23" s="39" t="s">
        <v>23</v>
      </c>
      <c r="B23" s="31" t="s">
        <v>3</v>
      </c>
      <c r="C23" s="20">
        <v>1699</v>
      </c>
      <c r="D23" s="20">
        <v>1708</v>
      </c>
      <c r="E23" s="21">
        <v>2226.5861636206155</v>
      </c>
      <c r="F23" s="22" t="s">
        <v>240</v>
      </c>
      <c r="G23" s="23">
        <v>31.052746534468241</v>
      </c>
      <c r="H23" s="24">
        <v>30.362187565609787</v>
      </c>
    </row>
    <row r="24" spans="1:8" x14ac:dyDescent="0.2">
      <c r="A24" s="34"/>
      <c r="B24" s="25" t="s">
        <v>241</v>
      </c>
      <c r="C24" s="26">
        <v>360.57695652173913</v>
      </c>
      <c r="D24" s="26">
        <v>337.14913043478259</v>
      </c>
      <c r="E24" s="26">
        <v>450</v>
      </c>
      <c r="F24" s="27"/>
      <c r="G24" s="28">
        <v>24.799988424348896</v>
      </c>
      <c r="H24" s="29">
        <v>33.472092726351264</v>
      </c>
    </row>
    <row r="25" spans="1:8" x14ac:dyDescent="0.2">
      <c r="A25" s="30" t="s">
        <v>24</v>
      </c>
      <c r="B25" s="31" t="s">
        <v>3</v>
      </c>
      <c r="C25" s="20">
        <v>3046</v>
      </c>
      <c r="D25" s="20">
        <v>2750</v>
      </c>
      <c r="E25" s="21">
        <v>3127.9760428364953</v>
      </c>
      <c r="F25" s="22" t="s">
        <v>240</v>
      </c>
      <c r="G25" s="23">
        <v>2.6912686420385938</v>
      </c>
      <c r="H25" s="24">
        <v>13.744583375872566</v>
      </c>
    </row>
    <row r="26" spans="1:8" ht="13.5" thickBot="1" x14ac:dyDescent="0.25">
      <c r="A26" s="41"/>
      <c r="B26" s="42" t="s">
        <v>241</v>
      </c>
      <c r="C26" s="43">
        <v>694.15391304347827</v>
      </c>
      <c r="D26" s="43">
        <v>770.29826086956518</v>
      </c>
      <c r="E26" s="43">
        <v>814</v>
      </c>
      <c r="F26" s="44"/>
      <c r="G26" s="45">
        <v>17.265059622161232</v>
      </c>
      <c r="H26" s="46">
        <v>5.6733529530627891</v>
      </c>
    </row>
    <row r="31" spans="1:8" x14ac:dyDescent="0.2">
      <c r="A31" s="47"/>
      <c r="B31" s="48"/>
      <c r="C31" s="49"/>
      <c r="D31" s="55"/>
      <c r="E31" s="49"/>
      <c r="F31" s="49"/>
      <c r="G31" s="50"/>
      <c r="H31" s="51"/>
    </row>
    <row r="32" spans="1:8" ht="16.5" thickBot="1" x14ac:dyDescent="0.3">
      <c r="A32" s="4" t="s">
        <v>98</v>
      </c>
      <c r="B32" s="5"/>
      <c r="C32" s="5"/>
      <c r="D32" s="5"/>
      <c r="E32" s="5"/>
      <c r="F32" s="5"/>
      <c r="G32" s="5"/>
      <c r="H32" s="6"/>
    </row>
    <row r="33" spans="1:8" x14ac:dyDescent="0.2">
      <c r="A33" s="7"/>
      <c r="B33" s="8"/>
      <c r="C33" s="211" t="s">
        <v>16</v>
      </c>
      <c r="D33" s="205"/>
      <c r="E33" s="205"/>
      <c r="F33" s="212"/>
      <c r="G33" s="205" t="s">
        <v>1</v>
      </c>
      <c r="H33" s="206"/>
    </row>
    <row r="34" spans="1:8" x14ac:dyDescent="0.2">
      <c r="A34" s="12"/>
      <c r="B34" s="13"/>
      <c r="C34" s="14" t="s">
        <v>235</v>
      </c>
      <c r="D34" s="15" t="s">
        <v>236</v>
      </c>
      <c r="E34" s="15" t="s">
        <v>237</v>
      </c>
      <c r="F34" s="16"/>
      <c r="G34" s="17" t="s">
        <v>238</v>
      </c>
      <c r="H34" s="18" t="s">
        <v>239</v>
      </c>
    </row>
    <row r="35" spans="1:8" ht="12.75" customHeight="1" x14ac:dyDescent="0.2">
      <c r="A35" s="207" t="s">
        <v>45</v>
      </c>
      <c r="B35" s="19" t="s">
        <v>3</v>
      </c>
      <c r="C35" s="80">
        <v>879.94470515445778</v>
      </c>
      <c r="D35" s="80">
        <v>1025.3048651070956</v>
      </c>
      <c r="E35" s="83">
        <v>790.03043381082</v>
      </c>
      <c r="F35" s="22" t="s">
        <v>240</v>
      </c>
      <c r="G35" s="23">
        <v>-10.218172893926905</v>
      </c>
      <c r="H35" s="24">
        <v>-22.946778007505173</v>
      </c>
    </row>
    <row r="36" spans="1:8" ht="12.75" customHeight="1" x14ac:dyDescent="0.2">
      <c r="A36" s="208"/>
      <c r="B36" s="25" t="s">
        <v>241</v>
      </c>
      <c r="C36" s="82">
        <v>188.01162458784114</v>
      </c>
      <c r="D36" s="82">
        <v>323.01415185402277</v>
      </c>
      <c r="E36" s="82">
        <v>214.90358172041331</v>
      </c>
      <c r="F36" s="27"/>
      <c r="G36" s="28">
        <v>14.303348099631961</v>
      </c>
      <c r="H36" s="29">
        <v>-33.469298330454265</v>
      </c>
    </row>
    <row r="37" spans="1:8" x14ac:dyDescent="0.2">
      <c r="A37" s="30" t="s">
        <v>18</v>
      </c>
      <c r="B37" s="31" t="s">
        <v>3</v>
      </c>
      <c r="C37" s="80">
        <v>307.31515572809349</v>
      </c>
      <c r="D37" s="80">
        <v>352.08131989731567</v>
      </c>
      <c r="E37" s="83">
        <v>246.63191413752384</v>
      </c>
      <c r="F37" s="22" t="s">
        <v>240</v>
      </c>
      <c r="G37" s="32">
        <v>-19.746257371133694</v>
      </c>
      <c r="H37" s="33">
        <v>-29.950298354523923</v>
      </c>
    </row>
    <row r="38" spans="1:8" x14ac:dyDescent="0.2">
      <c r="A38" s="34"/>
      <c r="B38" s="25" t="s">
        <v>241</v>
      </c>
      <c r="C38" s="82">
        <v>68.450265703629043</v>
      </c>
      <c r="D38" s="82">
        <v>88.237440975303045</v>
      </c>
      <c r="E38" s="82">
        <v>59.334403437206333</v>
      </c>
      <c r="F38" s="27"/>
      <c r="G38" s="35">
        <v>-13.317497270049913</v>
      </c>
      <c r="H38" s="29">
        <v>-32.755978889036967</v>
      </c>
    </row>
    <row r="39" spans="1:8" x14ac:dyDescent="0.2">
      <c r="A39" s="30" t="s">
        <v>19</v>
      </c>
      <c r="B39" s="31" t="s">
        <v>3</v>
      </c>
      <c r="C39" s="80">
        <v>251.5509322107302</v>
      </c>
      <c r="D39" s="80">
        <v>385.89841356658553</v>
      </c>
      <c r="E39" s="83">
        <v>276.19451453650254</v>
      </c>
      <c r="F39" s="22" t="s">
        <v>240</v>
      </c>
      <c r="G39" s="37">
        <v>9.7966571259325832</v>
      </c>
      <c r="H39" s="33">
        <v>-28.428180882156937</v>
      </c>
    </row>
    <row r="40" spans="1:8" x14ac:dyDescent="0.2">
      <c r="A40" s="34"/>
      <c r="B40" s="25" t="s">
        <v>241</v>
      </c>
      <c r="C40" s="82">
        <v>57.624640075962105</v>
      </c>
      <c r="D40" s="82">
        <v>151.1685035968332</v>
      </c>
      <c r="E40" s="82">
        <v>87.487527788327895</v>
      </c>
      <c r="F40" s="27"/>
      <c r="G40" s="28">
        <v>51.823122318855013</v>
      </c>
      <c r="H40" s="29">
        <v>-42.125822703347417</v>
      </c>
    </row>
    <row r="41" spans="1:8" x14ac:dyDescent="0.2">
      <c r="A41" s="30" t="s">
        <v>20</v>
      </c>
      <c r="B41" s="31" t="s">
        <v>3</v>
      </c>
      <c r="C41" s="80">
        <v>31.901874908978677</v>
      </c>
      <c r="D41" s="80">
        <v>25.875430763534148</v>
      </c>
      <c r="E41" s="83">
        <v>23.721371662705327</v>
      </c>
      <c r="F41" s="22" t="s">
        <v>240</v>
      </c>
      <c r="G41" s="23">
        <v>-25.642703664325921</v>
      </c>
      <c r="H41" s="24">
        <v>-8.3247275012113136</v>
      </c>
    </row>
    <row r="42" spans="1:8" x14ac:dyDescent="0.2">
      <c r="A42" s="34"/>
      <c r="B42" s="25" t="s">
        <v>241</v>
      </c>
      <c r="C42" s="82">
        <v>7.4700137684978234</v>
      </c>
      <c r="D42" s="82">
        <v>7.5018666208325824</v>
      </c>
      <c r="E42" s="82">
        <v>6.3715424477888787</v>
      </c>
      <c r="F42" s="27"/>
      <c r="G42" s="38">
        <v>-14.705077590905717</v>
      </c>
      <c r="H42" s="24">
        <v>-15.067238997622383</v>
      </c>
    </row>
    <row r="43" spans="1:8" x14ac:dyDescent="0.2">
      <c r="A43" s="30" t="s">
        <v>21</v>
      </c>
      <c r="B43" s="31" t="s">
        <v>3</v>
      </c>
      <c r="C43" s="80">
        <v>10.766231630682435</v>
      </c>
      <c r="D43" s="80">
        <v>10.001865350056427</v>
      </c>
      <c r="E43" s="83">
        <v>9.1295314717785168</v>
      </c>
      <c r="F43" s="22" t="s">
        <v>240</v>
      </c>
      <c r="G43" s="37">
        <v>-15.202163719379072</v>
      </c>
      <c r="H43" s="33">
        <v>-8.7217118782046867</v>
      </c>
    </row>
    <row r="44" spans="1:8" x14ac:dyDescent="0.2">
      <c r="A44" s="34"/>
      <c r="B44" s="25" t="s">
        <v>241</v>
      </c>
      <c r="C44" s="82">
        <v>1.756994175525191</v>
      </c>
      <c r="D44" s="82">
        <v>2.6231515251540145</v>
      </c>
      <c r="E44" s="82">
        <v>1.9913936280445972</v>
      </c>
      <c r="F44" s="27"/>
      <c r="G44" s="28">
        <v>13.340935091565726</v>
      </c>
      <c r="H44" s="29">
        <v>-24.083926950133943</v>
      </c>
    </row>
    <row r="45" spans="1:8" x14ac:dyDescent="0.2">
      <c r="A45" s="30" t="s">
        <v>22</v>
      </c>
      <c r="B45" s="31" t="s">
        <v>3</v>
      </c>
      <c r="C45" s="80">
        <v>2.2689798245442843</v>
      </c>
      <c r="D45" s="80">
        <v>2.2821018177074861</v>
      </c>
      <c r="E45" s="83">
        <v>2.3627991661827141</v>
      </c>
      <c r="F45" s="22" t="s">
        <v>240</v>
      </c>
      <c r="G45" s="37">
        <v>4.134868923185465</v>
      </c>
      <c r="H45" s="33">
        <v>3.5360976381103626</v>
      </c>
    </row>
    <row r="46" spans="1:8" x14ac:dyDescent="0.2">
      <c r="A46" s="34"/>
      <c r="B46" s="25" t="s">
        <v>241</v>
      </c>
      <c r="C46" s="82">
        <v>0.56676190326793219</v>
      </c>
      <c r="D46" s="82">
        <v>0.49604290557541775</v>
      </c>
      <c r="E46" s="82">
        <v>0.53681124598597851</v>
      </c>
      <c r="F46" s="27"/>
      <c r="G46" s="28">
        <v>-5.284521967559769</v>
      </c>
      <c r="H46" s="29">
        <v>8.2187125251330428</v>
      </c>
    </row>
    <row r="47" spans="1:8" x14ac:dyDescent="0.2">
      <c r="A47" s="30" t="s">
        <v>189</v>
      </c>
      <c r="B47" s="31" t="s">
        <v>3</v>
      </c>
      <c r="C47" s="80">
        <v>141.95657027599358</v>
      </c>
      <c r="D47" s="80">
        <v>113.70571797914417</v>
      </c>
      <c r="E47" s="83">
        <v>105.55823124639359</v>
      </c>
      <c r="F47" s="22" t="s">
        <v>240</v>
      </c>
      <c r="G47" s="23">
        <v>-25.640475082508644</v>
      </c>
      <c r="H47" s="24">
        <v>-7.1654151414311258</v>
      </c>
    </row>
    <row r="48" spans="1:8" x14ac:dyDescent="0.2">
      <c r="A48" s="30"/>
      <c r="B48" s="25" t="s">
        <v>241</v>
      </c>
      <c r="C48" s="82">
        <v>23.488864972203348</v>
      </c>
      <c r="D48" s="82">
        <v>33.177373025319504</v>
      </c>
      <c r="E48" s="82">
        <v>24.552266073150793</v>
      </c>
      <c r="F48" s="27"/>
      <c r="G48" s="38">
        <v>4.5272562220689281</v>
      </c>
      <c r="H48" s="24">
        <v>-25.996955652837286</v>
      </c>
    </row>
    <row r="49" spans="1:8" x14ac:dyDescent="0.2">
      <c r="A49" s="39" t="s">
        <v>12</v>
      </c>
      <c r="B49" s="31" t="s">
        <v>3</v>
      </c>
      <c r="C49" s="80">
        <v>0.65521820632039296</v>
      </c>
      <c r="D49" s="80">
        <v>0.71547073751679258</v>
      </c>
      <c r="E49" s="83">
        <v>0.48231340612455531</v>
      </c>
      <c r="F49" s="22" t="s">
        <v>240</v>
      </c>
      <c r="G49" s="37">
        <v>-26.38888824027724</v>
      </c>
      <c r="H49" s="33">
        <v>-32.58796190623589</v>
      </c>
    </row>
    <row r="50" spans="1:8" x14ac:dyDescent="0.2">
      <c r="A50" s="34"/>
      <c r="B50" s="25" t="s">
        <v>241</v>
      </c>
      <c r="C50" s="82">
        <v>0.23917038278342892</v>
      </c>
      <c r="D50" s="82">
        <v>0.30014388003872289</v>
      </c>
      <c r="E50" s="82">
        <v>0.19274381917935315</v>
      </c>
      <c r="F50" s="27"/>
      <c r="G50" s="28">
        <v>-19.411501986061324</v>
      </c>
      <c r="H50" s="29">
        <v>-35.782858822746462</v>
      </c>
    </row>
    <row r="51" spans="1:8" x14ac:dyDescent="0.2">
      <c r="A51" s="39" t="s">
        <v>23</v>
      </c>
      <c r="B51" s="31" t="s">
        <v>3</v>
      </c>
      <c r="C51" s="80">
        <v>50.875876129341314</v>
      </c>
      <c r="D51" s="80">
        <v>55.653365350551773</v>
      </c>
      <c r="E51" s="83">
        <v>65.494023170254238</v>
      </c>
      <c r="F51" s="22" t="s">
        <v>240</v>
      </c>
      <c r="G51" s="23">
        <v>28.732963740514919</v>
      </c>
      <c r="H51" s="24">
        <v>17.682053471012409</v>
      </c>
    </row>
    <row r="52" spans="1:8" x14ac:dyDescent="0.2">
      <c r="A52" s="34"/>
      <c r="B52" s="25" t="s">
        <v>241</v>
      </c>
      <c r="C52" s="82">
        <v>9.7211809602446309</v>
      </c>
      <c r="D52" s="82">
        <v>12.240760743340937</v>
      </c>
      <c r="E52" s="82">
        <v>13.714465490660309</v>
      </c>
      <c r="F52" s="27"/>
      <c r="G52" s="28">
        <v>41.078183265453674</v>
      </c>
      <c r="H52" s="29">
        <v>12.03932319419836</v>
      </c>
    </row>
    <row r="53" spans="1:8" x14ac:dyDescent="0.2">
      <c r="A53" s="30" t="s">
        <v>24</v>
      </c>
      <c r="B53" s="31" t="s">
        <v>3</v>
      </c>
      <c r="C53" s="80">
        <v>82.653866239773507</v>
      </c>
      <c r="D53" s="80">
        <v>79.09117964468345</v>
      </c>
      <c r="E53" s="83">
        <v>70.610396817967896</v>
      </c>
      <c r="F53" s="22" t="s">
        <v>240</v>
      </c>
      <c r="G53" s="23">
        <v>-14.570969235568825</v>
      </c>
      <c r="H53" s="24">
        <v>-10.722792180892242</v>
      </c>
    </row>
    <row r="54" spans="1:8" ht="13.5" thickBot="1" x14ac:dyDescent="0.25">
      <c r="A54" s="41"/>
      <c r="B54" s="42" t="s">
        <v>241</v>
      </c>
      <c r="C54" s="86">
        <v>18.693732645727646</v>
      </c>
      <c r="D54" s="86">
        <v>27.26886858162533</v>
      </c>
      <c r="E54" s="86">
        <v>20.722427790069165</v>
      </c>
      <c r="F54" s="44"/>
      <c r="G54" s="45">
        <v>10.852274303843572</v>
      </c>
      <c r="H54" s="46">
        <v>-24.007012876094819</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H61" s="202">
        <v>16</v>
      </c>
    </row>
    <row r="62" spans="1:8" ht="12.75" customHeight="1" x14ac:dyDescent="0.2">
      <c r="A62" s="54" t="s">
        <v>243</v>
      </c>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163</v>
      </c>
      <c r="B4" s="5"/>
      <c r="C4" s="5"/>
      <c r="D4" s="5"/>
      <c r="E4" s="5"/>
      <c r="F4" s="5"/>
      <c r="G4" s="5"/>
      <c r="H4" s="6"/>
    </row>
    <row r="5" spans="1:8" x14ac:dyDescent="0.2">
      <c r="A5" s="7"/>
      <c r="B5" s="8"/>
      <c r="C5" s="9"/>
      <c r="D5" s="8"/>
      <c r="E5" s="10"/>
      <c r="F5" s="11"/>
      <c r="G5" s="205" t="s">
        <v>1</v>
      </c>
      <c r="H5" s="206"/>
    </row>
    <row r="6" spans="1:8" x14ac:dyDescent="0.2">
      <c r="A6" s="12"/>
      <c r="B6" s="13"/>
      <c r="C6" s="14" t="s">
        <v>235</v>
      </c>
      <c r="D6" s="15" t="s">
        <v>236</v>
      </c>
      <c r="E6" s="15" t="s">
        <v>237</v>
      </c>
      <c r="F6" s="16"/>
      <c r="G6" s="17" t="s">
        <v>238</v>
      </c>
      <c r="H6" s="18" t="s">
        <v>239</v>
      </c>
    </row>
    <row r="7" spans="1:8" x14ac:dyDescent="0.2">
      <c r="A7" s="207" t="s">
        <v>165</v>
      </c>
      <c r="B7" s="19" t="s">
        <v>3</v>
      </c>
      <c r="C7" s="20">
        <v>45810.752901417422</v>
      </c>
      <c r="D7" s="20">
        <v>47091.596212135686</v>
      </c>
      <c r="E7" s="79">
        <v>41595.376182217158</v>
      </c>
      <c r="F7" s="22" t="s">
        <v>240</v>
      </c>
      <c r="G7" s="23">
        <v>-9.2017189245318747</v>
      </c>
      <c r="H7" s="24">
        <v>-11.671339415125047</v>
      </c>
    </row>
    <row r="8" spans="1:8" x14ac:dyDescent="0.2">
      <c r="A8" s="208"/>
      <c r="B8" s="25" t="s">
        <v>241</v>
      </c>
      <c r="C8" s="26">
        <v>11707.421245421245</v>
      </c>
      <c r="D8" s="26">
        <v>14184.867654085047</v>
      </c>
      <c r="E8" s="26">
        <v>11825.08552317248</v>
      </c>
      <c r="F8" s="27"/>
      <c r="G8" s="28">
        <v>1.0050400962317241</v>
      </c>
      <c r="H8" s="29">
        <v>-16.635912216163547</v>
      </c>
    </row>
    <row r="9" spans="1:8" x14ac:dyDescent="0.2">
      <c r="A9" s="30" t="s">
        <v>18</v>
      </c>
      <c r="B9" s="31" t="s">
        <v>3</v>
      </c>
      <c r="C9" s="20">
        <v>4788.3979602971012</v>
      </c>
      <c r="D9" s="20">
        <v>4601.1492898695651</v>
      </c>
      <c r="E9" s="36">
        <v>4087.804020413646</v>
      </c>
      <c r="F9" s="22" t="s">
        <v>240</v>
      </c>
      <c r="G9" s="32">
        <v>-14.631071721532223</v>
      </c>
      <c r="H9" s="33">
        <v>-11.156892270071765</v>
      </c>
    </row>
    <row r="10" spans="1:8" x14ac:dyDescent="0.2">
      <c r="A10" s="34"/>
      <c r="B10" s="25" t="s">
        <v>241</v>
      </c>
      <c r="C10" s="26">
        <v>1235.2379166666667</v>
      </c>
      <c r="D10" s="26">
        <v>1228.705054347826</v>
      </c>
      <c r="E10" s="26">
        <v>1078.9627717391304</v>
      </c>
      <c r="F10" s="27"/>
      <c r="G10" s="35">
        <v>-12.651420654998219</v>
      </c>
      <c r="H10" s="29">
        <v>-12.186999807547465</v>
      </c>
    </row>
    <row r="11" spans="1:8" x14ac:dyDescent="0.2">
      <c r="A11" s="30" t="s">
        <v>19</v>
      </c>
      <c r="B11" s="31" t="s">
        <v>3</v>
      </c>
      <c r="C11" s="20">
        <v>20821.120597335968</v>
      </c>
      <c r="D11" s="20">
        <v>25129.852221391302</v>
      </c>
      <c r="E11" s="36">
        <v>22157.677957953721</v>
      </c>
      <c r="F11" s="22" t="s">
        <v>240</v>
      </c>
      <c r="G11" s="37">
        <v>6.4192383612088832</v>
      </c>
      <c r="H11" s="33">
        <v>-11.827265187447352</v>
      </c>
    </row>
    <row r="12" spans="1:8" x14ac:dyDescent="0.2">
      <c r="A12" s="34"/>
      <c r="B12" s="25" t="s">
        <v>241</v>
      </c>
      <c r="C12" s="26">
        <v>5237.1422727272729</v>
      </c>
      <c r="D12" s="26">
        <v>7623.4892687747033</v>
      </c>
      <c r="E12" s="26">
        <v>6289.7872529644264</v>
      </c>
      <c r="F12" s="27"/>
      <c r="G12" s="28">
        <v>20.099606339107197</v>
      </c>
      <c r="H12" s="29">
        <v>-17.494640167895696</v>
      </c>
    </row>
    <row r="13" spans="1:8" x14ac:dyDescent="0.2">
      <c r="A13" s="30" t="s">
        <v>20</v>
      </c>
      <c r="B13" s="31" t="s">
        <v>3</v>
      </c>
      <c r="C13" s="20">
        <v>2858.2387761782611</v>
      </c>
      <c r="D13" s="20">
        <v>2303.2895739217392</v>
      </c>
      <c r="E13" s="36">
        <v>2331.3336187556438</v>
      </c>
      <c r="F13" s="22" t="s">
        <v>240</v>
      </c>
      <c r="G13" s="23">
        <v>-18.434609515974032</v>
      </c>
      <c r="H13" s="24">
        <v>1.2175648755338671</v>
      </c>
    </row>
    <row r="14" spans="1:8" x14ac:dyDescent="0.2">
      <c r="A14" s="34"/>
      <c r="B14" s="25" t="s">
        <v>241</v>
      </c>
      <c r="C14" s="26">
        <v>825.14274999999998</v>
      </c>
      <c r="D14" s="26">
        <v>553.22303260869569</v>
      </c>
      <c r="E14" s="26">
        <v>593.17766304347833</v>
      </c>
      <c r="F14" s="27"/>
      <c r="G14" s="38">
        <v>-28.112115989205705</v>
      </c>
      <c r="H14" s="24">
        <v>7.2221559985271426</v>
      </c>
    </row>
    <row r="15" spans="1:8" x14ac:dyDescent="0.2">
      <c r="A15" s="30" t="s">
        <v>21</v>
      </c>
      <c r="B15" s="31" t="s">
        <v>3</v>
      </c>
      <c r="C15" s="20">
        <v>1237.2387761782609</v>
      </c>
      <c r="D15" s="20">
        <v>1395.2895739217392</v>
      </c>
      <c r="E15" s="36">
        <v>1508.7527554922167</v>
      </c>
      <c r="F15" s="22" t="s">
        <v>240</v>
      </c>
      <c r="G15" s="37">
        <v>21.945155982957672</v>
      </c>
      <c r="H15" s="33">
        <v>8.1318733896625304</v>
      </c>
    </row>
    <row r="16" spans="1:8" x14ac:dyDescent="0.2">
      <c r="A16" s="34"/>
      <c r="B16" s="25" t="s">
        <v>241</v>
      </c>
      <c r="C16" s="26">
        <v>274.14274999999998</v>
      </c>
      <c r="D16" s="26">
        <v>306.22303260869563</v>
      </c>
      <c r="E16" s="26">
        <v>332.17766304347828</v>
      </c>
      <c r="F16" s="27"/>
      <c r="G16" s="28">
        <v>21.16959614780194</v>
      </c>
      <c r="H16" s="29">
        <v>8.4757277118173278</v>
      </c>
    </row>
    <row r="17" spans="1:8" x14ac:dyDescent="0.2">
      <c r="A17" s="30" t="s">
        <v>189</v>
      </c>
      <c r="B17" s="31" t="s">
        <v>3</v>
      </c>
      <c r="C17" s="20">
        <v>8556.3979602971012</v>
      </c>
      <c r="D17" s="20">
        <v>8451.1492898695651</v>
      </c>
      <c r="E17" s="36">
        <v>7542.1069949644516</v>
      </c>
      <c r="F17" s="22" t="s">
        <v>240</v>
      </c>
      <c r="G17" s="37">
        <v>-11.854181748430861</v>
      </c>
      <c r="H17" s="33">
        <v>-10.75643399170319</v>
      </c>
    </row>
    <row r="18" spans="1:8" x14ac:dyDescent="0.2">
      <c r="A18" s="34"/>
      <c r="B18" s="25" t="s">
        <v>241</v>
      </c>
      <c r="C18" s="26">
        <v>2199.2379166666669</v>
      </c>
      <c r="D18" s="26">
        <v>2420.7050543478263</v>
      </c>
      <c r="E18" s="26">
        <v>2080.9627717391304</v>
      </c>
      <c r="F18" s="27"/>
      <c r="G18" s="28">
        <v>-5.3780059006441405</v>
      </c>
      <c r="H18" s="29">
        <v>-14.034848318199082</v>
      </c>
    </row>
    <row r="19" spans="1:8" x14ac:dyDescent="0.2">
      <c r="A19" s="39" t="s">
        <v>12</v>
      </c>
      <c r="B19" s="31" t="s">
        <v>3</v>
      </c>
      <c r="C19" s="20">
        <v>306.23877617826088</v>
      </c>
      <c r="D19" s="20">
        <v>335.28957392173913</v>
      </c>
      <c r="E19" s="36">
        <v>645.93223334218158</v>
      </c>
      <c r="F19" s="22" t="s">
        <v>240</v>
      </c>
      <c r="G19" s="37">
        <v>110.92437783456458</v>
      </c>
      <c r="H19" s="33">
        <v>92.649066234594699</v>
      </c>
    </row>
    <row r="20" spans="1:8" x14ac:dyDescent="0.2">
      <c r="A20" s="34"/>
      <c r="B20" s="25" t="s">
        <v>241</v>
      </c>
      <c r="C20" s="26">
        <v>77.142750000000007</v>
      </c>
      <c r="D20" s="26">
        <v>80.223032608695661</v>
      </c>
      <c r="E20" s="26">
        <v>157.17766304347828</v>
      </c>
      <c r="F20" s="27"/>
      <c r="G20" s="28">
        <v>103.74910544863681</v>
      </c>
      <c r="H20" s="29">
        <v>95.925855620722587</v>
      </c>
    </row>
    <row r="21" spans="1:8" x14ac:dyDescent="0.2">
      <c r="A21" s="39" t="s">
        <v>23</v>
      </c>
      <c r="B21" s="31" t="s">
        <v>3</v>
      </c>
      <c r="C21" s="20">
        <v>800.15918411884059</v>
      </c>
      <c r="D21" s="20">
        <v>695.85971594782609</v>
      </c>
      <c r="E21" s="36">
        <v>679.24114531024691</v>
      </c>
      <c r="F21" s="22" t="s">
        <v>240</v>
      </c>
      <c r="G21" s="23">
        <v>-15.111747913229578</v>
      </c>
      <c r="H21" s="24">
        <v>-2.3882070274671889</v>
      </c>
    </row>
    <row r="22" spans="1:8" x14ac:dyDescent="0.2">
      <c r="A22" s="34"/>
      <c r="B22" s="25" t="s">
        <v>241</v>
      </c>
      <c r="C22" s="26">
        <v>183.09516666666667</v>
      </c>
      <c r="D22" s="26">
        <v>187.48202173913043</v>
      </c>
      <c r="E22" s="26">
        <v>172.78510869565218</v>
      </c>
      <c r="F22" s="27"/>
      <c r="G22" s="38">
        <v>-5.6309831432002966</v>
      </c>
      <c r="H22" s="24">
        <v>-7.8391052684123963</v>
      </c>
    </row>
    <row r="23" spans="1:8" x14ac:dyDescent="0.2">
      <c r="A23" s="30" t="s">
        <v>24</v>
      </c>
      <c r="B23" s="31" t="s">
        <v>3</v>
      </c>
      <c r="C23" s="20">
        <v>7531.5716328534781</v>
      </c>
      <c r="D23" s="20">
        <v>5346.8868721765211</v>
      </c>
      <c r="E23" s="36">
        <v>4096.5170295067301</v>
      </c>
      <c r="F23" s="22" t="s">
        <v>240</v>
      </c>
      <c r="G23" s="37">
        <v>-45.608735743316728</v>
      </c>
      <c r="H23" s="33">
        <v>-23.385006501190688</v>
      </c>
    </row>
    <row r="24" spans="1:8" ht="13.5" thickBot="1" x14ac:dyDescent="0.25">
      <c r="A24" s="41"/>
      <c r="B24" s="42" t="s">
        <v>241</v>
      </c>
      <c r="C24" s="43">
        <v>1896.9428250000001</v>
      </c>
      <c r="D24" s="43">
        <v>2111.5669097826085</v>
      </c>
      <c r="E24" s="43">
        <v>1360.2532989130434</v>
      </c>
      <c r="F24" s="44"/>
      <c r="G24" s="45">
        <v>-28.292340655388841</v>
      </c>
      <c r="H24" s="46">
        <v>-35.580857390255034</v>
      </c>
    </row>
    <row r="29" spans="1:8" x14ac:dyDescent="0.2">
      <c r="A29" s="58"/>
      <c r="B29" s="58"/>
      <c r="C29" s="21"/>
      <c r="D29" s="21"/>
      <c r="E29" s="21"/>
      <c r="F29" s="59"/>
      <c r="G29" s="38"/>
      <c r="H29" s="60"/>
    </row>
    <row r="30" spans="1:8" x14ac:dyDescent="0.2">
      <c r="A30" s="58"/>
      <c r="B30" s="62"/>
      <c r="C30" s="21"/>
      <c r="D30" s="21"/>
      <c r="E30" s="21"/>
      <c r="F30" s="63"/>
      <c r="G30" s="38"/>
      <c r="H30" s="60"/>
    </row>
    <row r="31" spans="1:8" x14ac:dyDescent="0.2">
      <c r="A31" s="47"/>
      <c r="B31" s="48"/>
      <c r="C31" s="49"/>
      <c r="D31" s="55"/>
      <c r="E31" s="49"/>
      <c r="F31" s="49"/>
      <c r="G31" s="50"/>
      <c r="H31" s="51"/>
    </row>
    <row r="32" spans="1:8" ht="16.5" thickBot="1" x14ac:dyDescent="0.3">
      <c r="A32" s="4" t="s">
        <v>164</v>
      </c>
      <c r="B32" s="5"/>
      <c r="C32" s="5"/>
      <c r="D32" s="5"/>
      <c r="E32" s="5"/>
      <c r="F32" s="5"/>
      <c r="G32" s="5"/>
      <c r="H32" s="6"/>
    </row>
    <row r="33" spans="1:8" x14ac:dyDescent="0.2">
      <c r="A33" s="7"/>
      <c r="B33" s="8"/>
      <c r="C33" s="211" t="s">
        <v>16</v>
      </c>
      <c r="D33" s="205"/>
      <c r="E33" s="205"/>
      <c r="F33" s="212"/>
      <c r="G33" s="205" t="s">
        <v>1</v>
      </c>
      <c r="H33" s="206"/>
    </row>
    <row r="34" spans="1:8" x14ac:dyDescent="0.2">
      <c r="A34" s="12"/>
      <c r="B34" s="13"/>
      <c r="C34" s="14" t="s">
        <v>235</v>
      </c>
      <c r="D34" s="15" t="s">
        <v>236</v>
      </c>
      <c r="E34" s="15" t="s">
        <v>237</v>
      </c>
      <c r="F34" s="16"/>
      <c r="G34" s="17" t="s">
        <v>238</v>
      </c>
      <c r="H34" s="18" t="s">
        <v>239</v>
      </c>
    </row>
    <row r="35" spans="1:8" ht="12.75" customHeight="1" x14ac:dyDescent="0.2">
      <c r="A35" s="207" t="s">
        <v>165</v>
      </c>
      <c r="B35" s="19" t="s">
        <v>3</v>
      </c>
      <c r="C35" s="80">
        <v>5870.5359812985043</v>
      </c>
      <c r="D35" s="80">
        <v>6062.0590272136797</v>
      </c>
      <c r="E35" s="81">
        <v>5995.5045487302395</v>
      </c>
      <c r="F35" s="22" t="s">
        <v>240</v>
      </c>
      <c r="G35" s="23">
        <v>2.128742040417464</v>
      </c>
      <c r="H35" s="24">
        <v>-1.0978856884214565</v>
      </c>
    </row>
    <row r="36" spans="1:8" ht="12.75" customHeight="1" x14ac:dyDescent="0.2">
      <c r="A36" s="208"/>
      <c r="B36" s="25" t="s">
        <v>241</v>
      </c>
      <c r="C36" s="82">
        <v>1959.3996641893939</v>
      </c>
      <c r="D36" s="82">
        <v>1585.4037215067142</v>
      </c>
      <c r="E36" s="82">
        <v>1689.9175000707489</v>
      </c>
      <c r="F36" s="27"/>
      <c r="G36" s="28">
        <v>-13.75330255709369</v>
      </c>
      <c r="H36" s="29">
        <v>6.5922501093102142</v>
      </c>
    </row>
    <row r="37" spans="1:8" x14ac:dyDescent="0.2">
      <c r="A37" s="30" t="s">
        <v>18</v>
      </c>
      <c r="B37" s="31" t="s">
        <v>3</v>
      </c>
      <c r="C37" s="80">
        <v>2669.1624952873349</v>
      </c>
      <c r="D37" s="80">
        <v>2762.2181366845816</v>
      </c>
      <c r="E37" s="83">
        <v>3179.0252713902241</v>
      </c>
      <c r="F37" s="22" t="s">
        <v>240</v>
      </c>
      <c r="G37" s="32">
        <v>19.101975882064195</v>
      </c>
      <c r="H37" s="33">
        <v>15.089580694952829</v>
      </c>
    </row>
    <row r="38" spans="1:8" x14ac:dyDescent="0.2">
      <c r="A38" s="34"/>
      <c r="B38" s="25" t="s">
        <v>241</v>
      </c>
      <c r="C38" s="82">
        <v>1066.3570494387848</v>
      </c>
      <c r="D38" s="82">
        <v>579.73865103339756</v>
      </c>
      <c r="E38" s="82">
        <v>792.62610958501364</v>
      </c>
      <c r="F38" s="27"/>
      <c r="G38" s="35">
        <v>-25.669726664050614</v>
      </c>
      <c r="H38" s="29">
        <v>36.721280903410388</v>
      </c>
    </row>
    <row r="39" spans="1:8" x14ac:dyDescent="0.2">
      <c r="A39" s="30" t="s">
        <v>19</v>
      </c>
      <c r="B39" s="31" t="s">
        <v>3</v>
      </c>
      <c r="C39" s="80">
        <v>1638.2983003385852</v>
      </c>
      <c r="D39" s="80">
        <v>1948.5093091017907</v>
      </c>
      <c r="E39" s="83">
        <v>1668.8164863962056</v>
      </c>
      <c r="F39" s="22" t="s">
        <v>240</v>
      </c>
      <c r="G39" s="37">
        <v>1.8627978831030418</v>
      </c>
      <c r="H39" s="33">
        <v>-14.354194840080893</v>
      </c>
    </row>
    <row r="40" spans="1:8" x14ac:dyDescent="0.2">
      <c r="A40" s="34"/>
      <c r="B40" s="25" t="s">
        <v>241</v>
      </c>
      <c r="C40" s="82">
        <v>414.47950358841041</v>
      </c>
      <c r="D40" s="82">
        <v>632.90946569222479</v>
      </c>
      <c r="E40" s="82">
        <v>495.19912366351838</v>
      </c>
      <c r="F40" s="27"/>
      <c r="G40" s="28">
        <v>19.474936486911247</v>
      </c>
      <c r="H40" s="29">
        <v>-21.758300277290061</v>
      </c>
    </row>
    <row r="41" spans="1:8" x14ac:dyDescent="0.2">
      <c r="A41" s="30" t="s">
        <v>20</v>
      </c>
      <c r="B41" s="31" t="s">
        <v>3</v>
      </c>
      <c r="C41" s="80">
        <v>140.39008832816529</v>
      </c>
      <c r="D41" s="80">
        <v>123.73318596840178</v>
      </c>
      <c r="E41" s="83">
        <v>119.43746808428318</v>
      </c>
      <c r="F41" s="22" t="s">
        <v>240</v>
      </c>
      <c r="G41" s="23">
        <v>-14.924572306632385</v>
      </c>
      <c r="H41" s="24">
        <v>-3.471758890307413</v>
      </c>
    </row>
    <row r="42" spans="1:8" x14ac:dyDescent="0.2">
      <c r="A42" s="34"/>
      <c r="B42" s="25" t="s">
        <v>241</v>
      </c>
      <c r="C42" s="82">
        <v>55.03636226003988</v>
      </c>
      <c r="D42" s="82">
        <v>35.265568847048783</v>
      </c>
      <c r="E42" s="82">
        <v>37.448710446537966</v>
      </c>
      <c r="F42" s="27"/>
      <c r="G42" s="38">
        <v>-31.956421339045761</v>
      </c>
      <c r="H42" s="24">
        <v>6.1905753142895321</v>
      </c>
    </row>
    <row r="43" spans="1:8" x14ac:dyDescent="0.2">
      <c r="A43" s="30" t="s">
        <v>21</v>
      </c>
      <c r="B43" s="31" t="s">
        <v>3</v>
      </c>
      <c r="C43" s="80">
        <v>20.722429564660558</v>
      </c>
      <c r="D43" s="80">
        <v>24.81829396988827</v>
      </c>
      <c r="E43" s="83">
        <v>28.048615170288237</v>
      </c>
      <c r="F43" s="22" t="s">
        <v>240</v>
      </c>
      <c r="G43" s="37">
        <v>35.353893146397979</v>
      </c>
      <c r="H43" s="33">
        <v>13.01588741079172</v>
      </c>
    </row>
    <row r="44" spans="1:8" x14ac:dyDescent="0.2">
      <c r="A44" s="34"/>
      <c r="B44" s="25" t="s">
        <v>241</v>
      </c>
      <c r="C44" s="82">
        <v>5.1006664197878644</v>
      </c>
      <c r="D44" s="82">
        <v>5.4503141100964134</v>
      </c>
      <c r="E44" s="82">
        <v>6.389304897370172</v>
      </c>
      <c r="F44" s="27"/>
      <c r="G44" s="28">
        <v>25.264119852713335</v>
      </c>
      <c r="H44" s="29">
        <v>17.228195812317111</v>
      </c>
    </row>
    <row r="45" spans="1:8" x14ac:dyDescent="0.2">
      <c r="A45" s="30" t="s">
        <v>189</v>
      </c>
      <c r="B45" s="31" t="s">
        <v>3</v>
      </c>
      <c r="C45" s="80">
        <v>726.58150310037558</v>
      </c>
      <c r="D45" s="80">
        <v>679.71148863471342</v>
      </c>
      <c r="E45" s="83">
        <v>700.85798008769689</v>
      </c>
      <c r="F45" s="22" t="s">
        <v>240</v>
      </c>
      <c r="G45" s="37">
        <v>-3.5403492798694316</v>
      </c>
      <c r="H45" s="33">
        <v>3.1110981359839798</v>
      </c>
    </row>
    <row r="46" spans="1:8" x14ac:dyDescent="0.2">
      <c r="A46" s="34"/>
      <c r="B46" s="25" t="s">
        <v>241</v>
      </c>
      <c r="C46" s="82">
        <v>204.6941752424911</v>
      </c>
      <c r="D46" s="82">
        <v>175.95730150711239</v>
      </c>
      <c r="E46" s="82">
        <v>186.47338630302286</v>
      </c>
      <c r="F46" s="27"/>
      <c r="G46" s="28">
        <v>-8.9014691883063932</v>
      </c>
      <c r="H46" s="29">
        <v>5.9764981082557824</v>
      </c>
    </row>
    <row r="47" spans="1:8" x14ac:dyDescent="0.2">
      <c r="A47" s="39" t="s">
        <v>12</v>
      </c>
      <c r="B47" s="31" t="s">
        <v>3</v>
      </c>
      <c r="C47" s="80">
        <v>13.774586753330446</v>
      </c>
      <c r="D47" s="80">
        <v>20.478960578864299</v>
      </c>
      <c r="E47" s="83">
        <v>60.076549145996573</v>
      </c>
      <c r="F47" s="22" t="s">
        <v>240</v>
      </c>
      <c r="G47" s="37">
        <v>336.14048262806244</v>
      </c>
      <c r="H47" s="33">
        <v>193.3574138914048</v>
      </c>
    </row>
    <row r="48" spans="1:8" x14ac:dyDescent="0.2">
      <c r="A48" s="34"/>
      <c r="B48" s="25" t="s">
        <v>241</v>
      </c>
      <c r="C48" s="82">
        <v>3.2435030534443707</v>
      </c>
      <c r="D48" s="82">
        <v>4.0234702998814544</v>
      </c>
      <c r="E48" s="82">
        <v>12.492893242694791</v>
      </c>
      <c r="F48" s="27"/>
      <c r="G48" s="28">
        <v>285.16668666083797</v>
      </c>
      <c r="H48" s="29">
        <v>210.50044641967099</v>
      </c>
    </row>
    <row r="49" spans="1:8" x14ac:dyDescent="0.2">
      <c r="A49" s="39" t="s">
        <v>23</v>
      </c>
      <c r="B49" s="31" t="s">
        <v>3</v>
      </c>
      <c r="C49" s="80">
        <v>38.14258987904995</v>
      </c>
      <c r="D49" s="80">
        <v>31.288874071004166</v>
      </c>
      <c r="E49" s="83">
        <v>33.549419836464402</v>
      </c>
      <c r="F49" s="22" t="s">
        <v>240</v>
      </c>
      <c r="G49" s="23">
        <v>-12.042103216248506</v>
      </c>
      <c r="H49" s="24">
        <v>7.2247590639738348</v>
      </c>
    </row>
    <row r="50" spans="1:8" x14ac:dyDescent="0.2">
      <c r="A50" s="34"/>
      <c r="B50" s="25" t="s">
        <v>241</v>
      </c>
      <c r="C50" s="82">
        <v>7.7307999960451195</v>
      </c>
      <c r="D50" s="82">
        <v>9.3575640323635625</v>
      </c>
      <c r="E50" s="82">
        <v>8.6607123142224722</v>
      </c>
      <c r="F50" s="27"/>
      <c r="G50" s="38">
        <v>12.028668684393224</v>
      </c>
      <c r="H50" s="24">
        <v>-7.4469350755281738</v>
      </c>
    </row>
    <row r="51" spans="1:8" x14ac:dyDescent="0.2">
      <c r="A51" s="30" t="s">
        <v>24</v>
      </c>
      <c r="B51" s="31" t="s">
        <v>3</v>
      </c>
      <c r="C51" s="80">
        <v>623.4639880470022</v>
      </c>
      <c r="D51" s="80">
        <v>471.30077820443415</v>
      </c>
      <c r="E51" s="83">
        <v>486.04080805192785</v>
      </c>
      <c r="F51" s="22" t="s">
        <v>240</v>
      </c>
      <c r="G51" s="37">
        <v>-22.041879343432768</v>
      </c>
      <c r="H51" s="33">
        <v>3.12752079545686</v>
      </c>
    </row>
    <row r="52" spans="1:8" ht="13.5" thickBot="1" x14ac:dyDescent="0.25">
      <c r="A52" s="41"/>
      <c r="B52" s="42" t="s">
        <v>241</v>
      </c>
      <c r="C52" s="86">
        <v>202.75760419039023</v>
      </c>
      <c r="D52" s="86">
        <v>142.70138598458948</v>
      </c>
      <c r="E52" s="86">
        <v>150.62725961836875</v>
      </c>
      <c r="F52" s="44"/>
      <c r="G52" s="45">
        <v>-25.710672988161207</v>
      </c>
      <c r="H52" s="46">
        <v>5.5541672416799202</v>
      </c>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10">
        <v>17</v>
      </c>
    </row>
    <row r="62" spans="1:8" ht="12.75" customHeight="1" x14ac:dyDescent="0.2">
      <c r="A62" s="54" t="s">
        <v>243</v>
      </c>
      <c r="G62" s="53"/>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5">
      <c r="A3" s="3"/>
      <c r="B3" s="2"/>
      <c r="C3" s="2"/>
      <c r="D3" s="2"/>
      <c r="E3" s="2"/>
      <c r="F3" s="2"/>
      <c r="G3" s="2"/>
    </row>
    <row r="4" spans="1:9" ht="16.5" thickBot="1" x14ac:dyDescent="0.3">
      <c r="A4" s="4" t="s">
        <v>151</v>
      </c>
      <c r="B4" s="5"/>
      <c r="C4" s="5"/>
      <c r="D4" s="5"/>
      <c r="E4" s="5"/>
      <c r="F4" s="5"/>
      <c r="G4" s="5"/>
      <c r="H4" s="6"/>
    </row>
    <row r="5" spans="1:9" x14ac:dyDescent="0.2">
      <c r="A5" s="7"/>
      <c r="B5" s="8"/>
      <c r="C5" s="9"/>
      <c r="D5" s="8"/>
      <c r="E5" s="10"/>
      <c r="F5" s="11"/>
      <c r="G5" s="205" t="s">
        <v>1</v>
      </c>
      <c r="H5" s="206"/>
    </row>
    <row r="6" spans="1:9" x14ac:dyDescent="0.2">
      <c r="A6" s="12"/>
      <c r="B6" s="13"/>
      <c r="C6" s="14" t="s">
        <v>235</v>
      </c>
      <c r="D6" s="15" t="s">
        <v>236</v>
      </c>
      <c r="E6" s="15" t="s">
        <v>237</v>
      </c>
      <c r="F6" s="16"/>
      <c r="G6" s="17" t="s">
        <v>238</v>
      </c>
      <c r="H6" s="18" t="s">
        <v>239</v>
      </c>
    </row>
    <row r="7" spans="1:9" x14ac:dyDescent="0.2">
      <c r="A7" s="207" t="s">
        <v>58</v>
      </c>
      <c r="B7" s="19" t="s">
        <v>3</v>
      </c>
      <c r="C7" s="20">
        <v>8509.779069387756</v>
      </c>
      <c r="D7" s="20">
        <v>8798.6610285714287</v>
      </c>
      <c r="E7" s="79">
        <v>8664.9384332464942</v>
      </c>
      <c r="F7" s="22" t="s">
        <v>240</v>
      </c>
      <c r="G7" s="23">
        <v>1.8233066051842997</v>
      </c>
      <c r="H7" s="24">
        <v>-1.5198061942686962</v>
      </c>
    </row>
    <row r="8" spans="1:9" x14ac:dyDescent="0.2">
      <c r="A8" s="208"/>
      <c r="B8" s="25" t="s">
        <v>241</v>
      </c>
      <c r="C8" s="26">
        <v>2497.8568816326533</v>
      </c>
      <c r="D8" s="26">
        <v>2405.7066122448978</v>
      </c>
      <c r="E8" s="26">
        <v>2424.5147755102043</v>
      </c>
      <c r="F8" s="27"/>
      <c r="G8" s="28">
        <v>-2.9362012956687522</v>
      </c>
      <c r="H8" s="29">
        <v>0.78181450595738511</v>
      </c>
    </row>
    <row r="9" spans="1:9" x14ac:dyDescent="0.2">
      <c r="A9" s="30" t="s">
        <v>9</v>
      </c>
      <c r="B9" s="31" t="s">
        <v>3</v>
      </c>
      <c r="C9" s="20">
        <v>8061.5764571428572</v>
      </c>
      <c r="D9" s="20">
        <v>8180.3375999999998</v>
      </c>
      <c r="E9" s="21">
        <v>7930.1632343260553</v>
      </c>
      <c r="F9" s="22" t="s">
        <v>240</v>
      </c>
      <c r="G9" s="32">
        <v>-1.6301181724867888</v>
      </c>
      <c r="H9" s="33">
        <v>-3.058240110700865</v>
      </c>
    </row>
    <row r="10" spans="1:9" x14ac:dyDescent="0.2">
      <c r="A10" s="34"/>
      <c r="B10" s="25" t="s">
        <v>241</v>
      </c>
      <c r="C10" s="26">
        <v>2408.6025142857143</v>
      </c>
      <c r="D10" s="26">
        <v>2242.1988571428569</v>
      </c>
      <c r="E10" s="26">
        <v>2235.1702857142855</v>
      </c>
      <c r="F10" s="27"/>
      <c r="G10" s="35">
        <v>-7.2005334023684355</v>
      </c>
      <c r="H10" s="29">
        <v>-0.31346779997593899</v>
      </c>
    </row>
    <row r="11" spans="1:9" x14ac:dyDescent="0.2">
      <c r="A11" s="30" t="s">
        <v>46</v>
      </c>
      <c r="B11" s="31" t="s">
        <v>3</v>
      </c>
      <c r="C11" s="20">
        <v>449.20261224489798</v>
      </c>
      <c r="D11" s="20">
        <v>618.32342857142862</v>
      </c>
      <c r="E11" s="21">
        <v>799.19730388003393</v>
      </c>
      <c r="F11" s="22" t="s">
        <v>240</v>
      </c>
      <c r="G11" s="37">
        <v>77.914660799952031</v>
      </c>
      <c r="H11" s="33">
        <v>29.252308250149184</v>
      </c>
    </row>
    <row r="12" spans="1:9" ht="13.5" thickBot="1" x14ac:dyDescent="0.25">
      <c r="A12" s="56"/>
      <c r="B12" s="42" t="s">
        <v>241</v>
      </c>
      <c r="C12" s="43">
        <v>89.254367346938778</v>
      </c>
      <c r="D12" s="43">
        <v>163.50775510204082</v>
      </c>
      <c r="E12" s="43">
        <v>190.34448979591838</v>
      </c>
      <c r="F12" s="44"/>
      <c r="G12" s="57">
        <v>113.26070135709361</v>
      </c>
      <c r="H12" s="46">
        <v>16.413126507136909</v>
      </c>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59</v>
      </c>
      <c r="B32" s="5"/>
      <c r="C32" s="5"/>
      <c r="D32" s="5"/>
      <c r="E32" s="5"/>
      <c r="F32" s="5"/>
      <c r="G32" s="5"/>
      <c r="H32" s="6"/>
    </row>
    <row r="33" spans="1:9" x14ac:dyDescent="0.2">
      <c r="A33" s="7"/>
      <c r="B33" s="8"/>
      <c r="C33" s="211" t="s">
        <v>16</v>
      </c>
      <c r="D33" s="205"/>
      <c r="E33" s="205"/>
      <c r="F33" s="212"/>
      <c r="G33" s="205" t="s">
        <v>1</v>
      </c>
      <c r="H33" s="206"/>
    </row>
    <row r="34" spans="1:9" x14ac:dyDescent="0.2">
      <c r="A34" s="12"/>
      <c r="B34" s="13"/>
      <c r="C34" s="14" t="s">
        <v>235</v>
      </c>
      <c r="D34" s="15" t="s">
        <v>236</v>
      </c>
      <c r="E34" s="15" t="s">
        <v>237</v>
      </c>
      <c r="F34" s="16"/>
      <c r="G34" s="17" t="s">
        <v>238</v>
      </c>
      <c r="H34" s="18" t="s">
        <v>239</v>
      </c>
    </row>
    <row r="35" spans="1:9" ht="12.75" customHeight="1" x14ac:dyDescent="0.2">
      <c r="A35" s="207" t="s">
        <v>58</v>
      </c>
      <c r="B35" s="19" t="s">
        <v>3</v>
      </c>
      <c r="C35" s="80">
        <v>1776.8332046777336</v>
      </c>
      <c r="D35" s="80">
        <v>1811.9238978132253</v>
      </c>
      <c r="E35" s="81">
        <v>1693.101229731629</v>
      </c>
      <c r="F35" s="22" t="s">
        <v>240</v>
      </c>
      <c r="G35" s="23">
        <v>-4.7124274088119193</v>
      </c>
      <c r="H35" s="24">
        <v>-6.5578178103948517</v>
      </c>
    </row>
    <row r="36" spans="1:9" ht="12.75" customHeight="1" x14ac:dyDescent="0.2">
      <c r="A36" s="208"/>
      <c r="B36" s="25" t="s">
        <v>241</v>
      </c>
      <c r="C36" s="82">
        <v>488.66730835198445</v>
      </c>
      <c r="D36" s="82">
        <v>482.14262646559501</v>
      </c>
      <c r="E36" s="82">
        <v>455.45258046041744</v>
      </c>
      <c r="F36" s="27"/>
      <c r="G36" s="28">
        <v>-6.7970022393318459</v>
      </c>
      <c r="H36" s="29">
        <v>-5.5357158940358033</v>
      </c>
    </row>
    <row r="37" spans="1:9" x14ac:dyDescent="0.2">
      <c r="A37" s="30" t="s">
        <v>9</v>
      </c>
      <c r="B37" s="31" t="s">
        <v>3</v>
      </c>
      <c r="C37" s="80">
        <v>1313.0264236824207</v>
      </c>
      <c r="D37" s="80">
        <v>1308.5133755640504</v>
      </c>
      <c r="E37" s="83">
        <v>1219.2105617510708</v>
      </c>
      <c r="F37" s="22" t="s">
        <v>240</v>
      </c>
      <c r="G37" s="32">
        <v>-7.1450094407270655</v>
      </c>
      <c r="H37" s="33">
        <v>-6.8247536082299973</v>
      </c>
    </row>
    <row r="38" spans="1:9" x14ac:dyDescent="0.2">
      <c r="A38" s="34"/>
      <c r="B38" s="25" t="s">
        <v>241</v>
      </c>
      <c r="C38" s="82">
        <v>350.77813238914297</v>
      </c>
      <c r="D38" s="82">
        <v>351.22747529705845</v>
      </c>
      <c r="E38" s="82">
        <v>326.7414244099059</v>
      </c>
      <c r="F38" s="27"/>
      <c r="G38" s="35">
        <v>-6.8523963610626168</v>
      </c>
      <c r="H38" s="29">
        <v>-6.971564757695262</v>
      </c>
    </row>
    <row r="39" spans="1:9" x14ac:dyDescent="0.2">
      <c r="A39" s="30" t="s">
        <v>46</v>
      </c>
      <c r="B39" s="31" t="s">
        <v>3</v>
      </c>
      <c r="C39" s="80">
        <v>463.80678099531292</v>
      </c>
      <c r="D39" s="80">
        <v>503.41052224917496</v>
      </c>
      <c r="E39" s="83">
        <v>474.26877533844834</v>
      </c>
      <c r="F39" s="22" t="s">
        <v>240</v>
      </c>
      <c r="G39" s="37">
        <v>2.2556794708098948</v>
      </c>
      <c r="H39" s="33">
        <v>-5.7888632880625863</v>
      </c>
    </row>
    <row r="40" spans="1:9" ht="13.5" thickBot="1" x14ac:dyDescent="0.25">
      <c r="A40" s="56"/>
      <c r="B40" s="42" t="s">
        <v>241</v>
      </c>
      <c r="C40" s="86">
        <v>137.88917596284145</v>
      </c>
      <c r="D40" s="86">
        <v>130.91515116853665</v>
      </c>
      <c r="E40" s="86">
        <v>128.71115605051156</v>
      </c>
      <c r="F40" s="44"/>
      <c r="G40" s="57">
        <v>-6.6560843867855084</v>
      </c>
      <c r="H40" s="46">
        <v>-1.6835294451042842</v>
      </c>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H61" s="202">
        <v>18</v>
      </c>
    </row>
    <row r="62" spans="1:9" ht="12.75" customHeight="1" x14ac:dyDescent="0.2">
      <c r="A62" s="54" t="s">
        <v>243</v>
      </c>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5">
      <c r="A3" s="3"/>
      <c r="B3" s="2"/>
      <c r="C3" s="2"/>
      <c r="D3" s="2"/>
      <c r="E3" s="2"/>
      <c r="F3" s="2"/>
      <c r="G3" s="2"/>
    </row>
    <row r="4" spans="1:9" ht="16.5" thickBot="1" x14ac:dyDescent="0.3">
      <c r="A4" s="4" t="s">
        <v>152</v>
      </c>
      <c r="B4" s="5"/>
      <c r="C4" s="5"/>
      <c r="D4" s="5"/>
      <c r="E4" s="5"/>
      <c r="F4" s="5"/>
      <c r="G4" s="5"/>
      <c r="H4" s="6"/>
    </row>
    <row r="5" spans="1:9" x14ac:dyDescent="0.2">
      <c r="A5" s="7"/>
      <c r="B5" s="8"/>
      <c r="C5" s="9"/>
      <c r="D5" s="8"/>
      <c r="E5" s="10"/>
      <c r="F5" s="11"/>
      <c r="G5" s="205" t="s">
        <v>1</v>
      </c>
      <c r="H5" s="206"/>
    </row>
    <row r="6" spans="1:9" x14ac:dyDescent="0.2">
      <c r="A6" s="12"/>
      <c r="B6" s="13"/>
      <c r="C6" s="14" t="s">
        <v>235</v>
      </c>
      <c r="D6" s="15" t="s">
        <v>236</v>
      </c>
      <c r="E6" s="15" t="s">
        <v>237</v>
      </c>
      <c r="F6" s="16"/>
      <c r="G6" s="17" t="s">
        <v>238</v>
      </c>
      <c r="H6" s="18" t="s">
        <v>239</v>
      </c>
    </row>
    <row r="7" spans="1:9" x14ac:dyDescent="0.2">
      <c r="A7" s="207" t="s">
        <v>57</v>
      </c>
      <c r="B7" s="19" t="s">
        <v>3</v>
      </c>
      <c r="C7" s="20">
        <v>5522</v>
      </c>
      <c r="D7" s="20">
        <v>5593</v>
      </c>
      <c r="E7" s="79">
        <v>5824.6176320564364</v>
      </c>
      <c r="F7" s="22" t="s">
        <v>240</v>
      </c>
      <c r="G7" s="23">
        <v>5.4802178930901277</v>
      </c>
      <c r="H7" s="24">
        <v>4.1412056509285975</v>
      </c>
    </row>
    <row r="8" spans="1:9" x14ac:dyDescent="0.2">
      <c r="A8" s="208"/>
      <c r="B8" s="25" t="s">
        <v>241</v>
      </c>
      <c r="C8" s="26">
        <v>1362</v>
      </c>
      <c r="D8" s="26">
        <v>1483.3984</v>
      </c>
      <c r="E8" s="26">
        <v>1507</v>
      </c>
      <c r="F8" s="27"/>
      <c r="G8" s="28">
        <v>10.646108663729819</v>
      </c>
      <c r="H8" s="29">
        <v>1.5910493094774836</v>
      </c>
    </row>
    <row r="9" spans="1:9" x14ac:dyDescent="0.2">
      <c r="A9" s="30" t="s">
        <v>9</v>
      </c>
      <c r="B9" s="31" t="s">
        <v>3</v>
      </c>
      <c r="C9" s="20">
        <v>1891</v>
      </c>
      <c r="D9" s="20">
        <v>1642</v>
      </c>
      <c r="E9" s="21">
        <v>1597.0056836258279</v>
      </c>
      <c r="F9" s="22" t="s">
        <v>240</v>
      </c>
      <c r="G9" s="32">
        <v>-15.547028893398846</v>
      </c>
      <c r="H9" s="33">
        <v>-2.740214151898428</v>
      </c>
    </row>
    <row r="10" spans="1:9" x14ac:dyDescent="0.2">
      <c r="A10" s="34"/>
      <c r="B10" s="25" t="s">
        <v>241</v>
      </c>
      <c r="C10" s="26">
        <v>412</v>
      </c>
      <c r="D10" s="26">
        <v>513.26559999999995</v>
      </c>
      <c r="E10" s="26">
        <v>436.02057613168722</v>
      </c>
      <c r="F10" s="27"/>
      <c r="G10" s="35">
        <v>5.8302369251668011</v>
      </c>
      <c r="H10" s="29">
        <v>-15.049717703331908</v>
      </c>
    </row>
    <row r="11" spans="1:9" x14ac:dyDescent="0.2">
      <c r="A11" s="30" t="s">
        <v>46</v>
      </c>
      <c r="B11" s="31" t="s">
        <v>3</v>
      </c>
      <c r="C11" s="20">
        <v>2194</v>
      </c>
      <c r="D11" s="20">
        <v>2574</v>
      </c>
      <c r="E11" s="21">
        <v>2934.6198737393406</v>
      </c>
      <c r="F11" s="22" t="s">
        <v>240</v>
      </c>
      <c r="G11" s="37">
        <v>33.75660317863904</v>
      </c>
      <c r="H11" s="33">
        <v>14.01009610486949</v>
      </c>
    </row>
    <row r="12" spans="1:9" x14ac:dyDescent="0.2">
      <c r="A12" s="34"/>
      <c r="B12" s="25" t="s">
        <v>241</v>
      </c>
      <c r="C12" s="26">
        <v>651</v>
      </c>
      <c r="D12" s="26">
        <v>607.13279999999997</v>
      </c>
      <c r="E12" s="26">
        <v>742.97942386831278</v>
      </c>
      <c r="F12" s="27"/>
      <c r="G12" s="28">
        <v>14.128943758573385</v>
      </c>
      <c r="H12" s="29">
        <v>22.375108685993041</v>
      </c>
    </row>
    <row r="13" spans="1:9" x14ac:dyDescent="0.2">
      <c r="A13" s="30" t="s">
        <v>24</v>
      </c>
      <c r="B13" s="31" t="s">
        <v>3</v>
      </c>
      <c r="C13" s="20">
        <v>1442</v>
      </c>
      <c r="D13" s="20">
        <v>1383</v>
      </c>
      <c r="E13" s="21">
        <v>1610.840584226107</v>
      </c>
      <c r="F13" s="22" t="s">
        <v>240</v>
      </c>
      <c r="G13" s="23">
        <v>11.708778379064285</v>
      </c>
      <c r="H13" s="24">
        <v>16.474373407527622</v>
      </c>
    </row>
    <row r="14" spans="1:9" ht="13.5" thickBot="1" x14ac:dyDescent="0.25">
      <c r="A14" s="56"/>
      <c r="B14" s="42" t="s">
        <v>241</v>
      </c>
      <c r="C14" s="43">
        <v>320</v>
      </c>
      <c r="D14" s="43">
        <v>368.06639999999999</v>
      </c>
      <c r="E14" s="43">
        <v>402</v>
      </c>
      <c r="F14" s="44"/>
      <c r="G14" s="57">
        <v>25.625000000000014</v>
      </c>
      <c r="H14" s="46">
        <v>9.2194234518554197</v>
      </c>
    </row>
    <row r="15" spans="1:9" x14ac:dyDescent="0.2">
      <c r="A15" s="58"/>
      <c r="B15" s="62"/>
      <c r="C15" s="21"/>
      <c r="D15" s="21"/>
      <c r="E15" s="21"/>
      <c r="F15" s="63"/>
      <c r="G15" s="38"/>
      <c r="H15" s="60"/>
      <c r="I15" s="61"/>
    </row>
    <row r="16" spans="1:9" x14ac:dyDescent="0.2">
      <c r="A16" s="58"/>
      <c r="B16" s="62"/>
      <c r="C16" s="21"/>
      <c r="D16" s="21"/>
      <c r="E16" s="21"/>
      <c r="F16" s="63"/>
      <c r="G16" s="38"/>
      <c r="H16" s="60"/>
      <c r="I16" s="61"/>
    </row>
    <row r="17" spans="1:9" x14ac:dyDescent="0.2">
      <c r="A17" s="58"/>
      <c r="B17" s="62"/>
      <c r="C17" s="21"/>
      <c r="D17" s="21"/>
      <c r="E17" s="21"/>
      <c r="F17" s="63"/>
      <c r="G17" s="38"/>
      <c r="H17" s="60"/>
      <c r="I17" s="61"/>
    </row>
    <row r="18" spans="1:9" x14ac:dyDescent="0.2">
      <c r="A18" s="58"/>
      <c r="B18" s="62"/>
      <c r="C18" s="21"/>
      <c r="D18" s="21"/>
      <c r="E18" s="21"/>
      <c r="F18" s="63"/>
      <c r="G18" s="38"/>
      <c r="H18" s="60"/>
      <c r="I18" s="61"/>
    </row>
    <row r="19" spans="1:9" x14ac:dyDescent="0.2">
      <c r="A19" s="58"/>
      <c r="B19" s="62"/>
      <c r="C19" s="21"/>
      <c r="D19" s="21"/>
      <c r="E19" s="21"/>
      <c r="F19" s="63"/>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66" t="s">
        <v>73</v>
      </c>
      <c r="B32" s="5"/>
      <c r="C32" s="5"/>
      <c r="D32" s="5"/>
      <c r="E32" s="5"/>
      <c r="F32" s="5"/>
      <c r="G32" s="5"/>
      <c r="H32" s="6"/>
    </row>
    <row r="33" spans="1:9" x14ac:dyDescent="0.2">
      <c r="A33" s="7"/>
      <c r="B33" s="8"/>
      <c r="C33" s="211" t="s">
        <v>16</v>
      </c>
      <c r="D33" s="205"/>
      <c r="E33" s="205"/>
      <c r="F33" s="212"/>
      <c r="G33" s="205" t="s">
        <v>1</v>
      </c>
      <c r="H33" s="206"/>
    </row>
    <row r="34" spans="1:9" x14ac:dyDescent="0.2">
      <c r="A34" s="12"/>
      <c r="B34" s="13"/>
      <c r="C34" s="14" t="s">
        <v>235</v>
      </c>
      <c r="D34" s="15" t="s">
        <v>236</v>
      </c>
      <c r="E34" s="15" t="s">
        <v>237</v>
      </c>
      <c r="F34" s="16"/>
      <c r="G34" s="17" t="s">
        <v>238</v>
      </c>
      <c r="H34" s="18" t="s">
        <v>239</v>
      </c>
    </row>
    <row r="35" spans="1:9" ht="12.75" customHeight="1" x14ac:dyDescent="0.2">
      <c r="A35" s="207" t="s">
        <v>57</v>
      </c>
      <c r="B35" s="19" t="s">
        <v>3</v>
      </c>
      <c r="C35" s="80">
        <v>2036.0218121420889</v>
      </c>
      <c r="D35" s="80">
        <v>2387.3848808729372</v>
      </c>
      <c r="E35" s="81">
        <v>3009.5312060026772</v>
      </c>
      <c r="F35" s="22" t="s">
        <v>240</v>
      </c>
      <c r="G35" s="23">
        <v>47.814290989169905</v>
      </c>
      <c r="H35" s="24">
        <v>26.059741356083933</v>
      </c>
    </row>
    <row r="36" spans="1:9" ht="12.75" customHeight="1" x14ac:dyDescent="0.2">
      <c r="A36" s="208"/>
      <c r="B36" s="25" t="s">
        <v>241</v>
      </c>
      <c r="C36" s="82">
        <v>502.10305881512238</v>
      </c>
      <c r="D36" s="82">
        <v>609.6751307627203</v>
      </c>
      <c r="E36" s="82">
        <v>759.55744125825504</v>
      </c>
      <c r="F36" s="27"/>
      <c r="G36" s="28">
        <v>51.275206936735486</v>
      </c>
      <c r="H36" s="29">
        <v>24.58396331633665</v>
      </c>
    </row>
    <row r="37" spans="1:9" x14ac:dyDescent="0.2">
      <c r="A37" s="30" t="s">
        <v>9</v>
      </c>
      <c r="B37" s="31" t="s">
        <v>3</v>
      </c>
      <c r="C37" s="80">
        <v>357.14071684871595</v>
      </c>
      <c r="D37" s="80">
        <v>384.77035960993021</v>
      </c>
      <c r="E37" s="83">
        <v>408.60264456368367</v>
      </c>
      <c r="F37" s="22" t="s">
        <v>240</v>
      </c>
      <c r="G37" s="32">
        <v>14.409426113339777</v>
      </c>
      <c r="H37" s="33">
        <v>6.1938983496322209</v>
      </c>
    </row>
    <row r="38" spans="1:9" x14ac:dyDescent="0.2">
      <c r="A38" s="34"/>
      <c r="B38" s="25" t="s">
        <v>241</v>
      </c>
      <c r="C38" s="82">
        <v>88.228218811789475</v>
      </c>
      <c r="D38" s="82">
        <v>105.78230400508764</v>
      </c>
      <c r="E38" s="82">
        <v>108.26130907445361</v>
      </c>
      <c r="F38" s="27"/>
      <c r="G38" s="35">
        <v>22.705989684999977</v>
      </c>
      <c r="H38" s="29">
        <v>2.3434969512922805</v>
      </c>
    </row>
    <row r="39" spans="1:9" x14ac:dyDescent="0.2">
      <c r="A39" s="30" t="s">
        <v>46</v>
      </c>
      <c r="B39" s="31" t="s">
        <v>3</v>
      </c>
      <c r="C39" s="80">
        <v>1188.182864513248</v>
      </c>
      <c r="D39" s="80">
        <v>1414.7660732440925</v>
      </c>
      <c r="E39" s="83">
        <v>1800.0535396916343</v>
      </c>
      <c r="F39" s="22" t="s">
        <v>240</v>
      </c>
      <c r="G39" s="37">
        <v>51.496338943504782</v>
      </c>
      <c r="H39" s="33">
        <v>27.233298404171407</v>
      </c>
    </row>
    <row r="40" spans="1:9" x14ac:dyDescent="0.2">
      <c r="A40" s="34"/>
      <c r="B40" s="25" t="s">
        <v>241</v>
      </c>
      <c r="C40" s="82">
        <v>303.27812661688091</v>
      </c>
      <c r="D40" s="82">
        <v>366.59168229170882</v>
      </c>
      <c r="E40" s="82">
        <v>464.07949070428793</v>
      </c>
      <c r="F40" s="27"/>
      <c r="G40" s="28">
        <v>53.021088556953856</v>
      </c>
      <c r="H40" s="29">
        <v>26.593022461160174</v>
      </c>
    </row>
    <row r="41" spans="1:9" x14ac:dyDescent="0.2">
      <c r="A41" s="30" t="s">
        <v>24</v>
      </c>
      <c r="B41" s="31" t="s">
        <v>3</v>
      </c>
      <c r="C41" s="80">
        <v>490.69823078012502</v>
      </c>
      <c r="D41" s="80">
        <v>587.84844801891461</v>
      </c>
      <c r="E41" s="83">
        <v>811.25588640982801</v>
      </c>
      <c r="F41" s="22" t="s">
        <v>240</v>
      </c>
      <c r="G41" s="23">
        <v>65.326841533557598</v>
      </c>
      <c r="H41" s="24">
        <v>38.004257584384249</v>
      </c>
    </row>
    <row r="42" spans="1:9" ht="13.5" thickBot="1" x14ac:dyDescent="0.25">
      <c r="A42" s="56"/>
      <c r="B42" s="42" t="s">
        <v>241</v>
      </c>
      <c r="C42" s="86">
        <v>110.59671338645207</v>
      </c>
      <c r="D42" s="86">
        <v>137.30114446592393</v>
      </c>
      <c r="E42" s="86">
        <v>187.21676426100493</v>
      </c>
      <c r="F42" s="44"/>
      <c r="G42" s="57">
        <v>69.278777396235625</v>
      </c>
      <c r="H42" s="46">
        <v>36.354846122545837</v>
      </c>
    </row>
    <row r="43" spans="1:9" x14ac:dyDescent="0.2">
      <c r="A43" s="58"/>
      <c r="B43" s="62"/>
      <c r="C43" s="21"/>
      <c r="D43" s="21"/>
      <c r="E43" s="21"/>
      <c r="F43" s="63"/>
      <c r="G43" s="38"/>
      <c r="H43" s="60"/>
    </row>
    <row r="44" spans="1:9" x14ac:dyDescent="0.2">
      <c r="A44" s="58"/>
      <c r="B44" s="62"/>
      <c r="C44" s="21"/>
      <c r="D44" s="21"/>
      <c r="E44" s="21"/>
      <c r="F44" s="63"/>
      <c r="G44" s="38"/>
      <c r="H44" s="60"/>
    </row>
    <row r="45" spans="1:9" x14ac:dyDescent="0.2">
      <c r="A45" s="58"/>
      <c r="B45" s="62"/>
      <c r="C45" s="21"/>
      <c r="D45" s="21"/>
      <c r="E45" s="21"/>
      <c r="F45" s="63"/>
      <c r="G45" s="38"/>
      <c r="H45" s="60"/>
    </row>
    <row r="46" spans="1:9" x14ac:dyDescent="0.2">
      <c r="A46" s="58"/>
      <c r="B46" s="62"/>
      <c r="C46" s="21"/>
      <c r="D46" s="21"/>
      <c r="E46" s="21"/>
      <c r="F46" s="63"/>
      <c r="G46" s="38"/>
      <c r="H46" s="60"/>
    </row>
    <row r="47" spans="1:9" x14ac:dyDescent="0.2">
      <c r="A47" s="58"/>
      <c r="B47" s="62"/>
      <c r="C47" s="21"/>
      <c r="D47" s="21"/>
      <c r="E47" s="21"/>
      <c r="F47" s="63"/>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G61" s="53"/>
      <c r="H61" s="210">
        <v>19</v>
      </c>
    </row>
    <row r="62" spans="1:9" ht="12.75" customHeight="1" x14ac:dyDescent="0.2">
      <c r="A62" s="54" t="s">
        <v>243</v>
      </c>
      <c r="G62" s="53"/>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5">
      <c r="A3" s="3"/>
      <c r="B3" s="2"/>
      <c r="C3" s="2"/>
      <c r="D3" s="2"/>
      <c r="E3" s="2"/>
      <c r="F3" s="2"/>
      <c r="G3" s="2"/>
    </row>
    <row r="4" spans="1:9" ht="16.5" thickBot="1" x14ac:dyDescent="0.3">
      <c r="A4" s="4" t="s">
        <v>153</v>
      </c>
      <c r="B4" s="5"/>
      <c r="C4" s="5"/>
      <c r="D4" s="5"/>
      <c r="E4" s="5"/>
      <c r="F4" s="5"/>
      <c r="G4" s="5"/>
      <c r="H4" s="6"/>
    </row>
    <row r="5" spans="1:9" x14ac:dyDescent="0.2">
      <c r="A5" s="7"/>
      <c r="B5" s="8"/>
      <c r="C5" s="9"/>
      <c r="D5" s="8"/>
      <c r="E5" s="10"/>
      <c r="F5" s="11"/>
      <c r="G5" s="205" t="s">
        <v>1</v>
      </c>
      <c r="H5" s="206"/>
    </row>
    <row r="6" spans="1:9" x14ac:dyDescent="0.2">
      <c r="A6" s="12"/>
      <c r="B6" s="13"/>
      <c r="C6" s="14" t="s">
        <v>235</v>
      </c>
      <c r="D6" s="15" t="s">
        <v>236</v>
      </c>
      <c r="E6" s="15" t="s">
        <v>237</v>
      </c>
      <c r="F6" s="16"/>
      <c r="G6" s="17" t="s">
        <v>238</v>
      </c>
      <c r="H6" s="18" t="s">
        <v>239</v>
      </c>
    </row>
    <row r="7" spans="1:9" ht="12.75" customHeight="1" x14ac:dyDescent="0.2">
      <c r="A7" s="207" t="s">
        <v>60</v>
      </c>
      <c r="B7" s="19" t="s">
        <v>3</v>
      </c>
      <c r="C7" s="20">
        <v>27600.996666666666</v>
      </c>
      <c r="D7" s="20">
        <v>31589.073333333334</v>
      </c>
      <c r="E7" s="79">
        <v>42063.502640179177</v>
      </c>
      <c r="F7" s="22" t="s">
        <v>240</v>
      </c>
      <c r="G7" s="23">
        <v>52.398491794242602</v>
      </c>
      <c r="H7" s="24">
        <v>33.158393715187088</v>
      </c>
    </row>
    <row r="8" spans="1:9" ht="13.7" customHeight="1" thickBot="1" x14ac:dyDescent="0.25">
      <c r="A8" s="213"/>
      <c r="B8" s="42" t="s">
        <v>241</v>
      </c>
      <c r="C8" s="43">
        <v>7537.45</v>
      </c>
      <c r="D8" s="43">
        <v>7214.3441666666668</v>
      </c>
      <c r="E8" s="43">
        <v>10160.966666666667</v>
      </c>
      <c r="F8" s="44"/>
      <c r="G8" s="57">
        <v>34.806422154265249</v>
      </c>
      <c r="H8" s="46">
        <v>40.843941346943865</v>
      </c>
    </row>
    <row r="9" spans="1:9" x14ac:dyDescent="0.2">
      <c r="A9" s="58"/>
      <c r="B9" s="58"/>
      <c r="C9" s="21"/>
      <c r="D9" s="21"/>
      <c r="E9" s="21"/>
      <c r="F9" s="59"/>
      <c r="G9" s="38"/>
      <c r="H9" s="60"/>
      <c r="I9" s="61"/>
    </row>
    <row r="10" spans="1:9" x14ac:dyDescent="0.2">
      <c r="A10" s="58"/>
      <c r="B10" s="58"/>
      <c r="C10" s="21"/>
      <c r="D10" s="21"/>
      <c r="E10" s="21"/>
      <c r="F10" s="59"/>
      <c r="G10" s="38"/>
      <c r="H10" s="60"/>
      <c r="I10" s="61"/>
    </row>
    <row r="11" spans="1:9" x14ac:dyDescent="0.2">
      <c r="A11" s="58"/>
      <c r="B11" s="58"/>
      <c r="C11" s="21"/>
      <c r="D11" s="21"/>
      <c r="E11" s="21"/>
      <c r="F11" s="59"/>
      <c r="G11" s="38"/>
      <c r="H11" s="60"/>
      <c r="I11" s="61"/>
    </row>
    <row r="12" spans="1:9" x14ac:dyDescent="0.2">
      <c r="A12" s="58"/>
      <c r="B12" s="58"/>
      <c r="C12" s="21"/>
      <c r="D12" s="21"/>
      <c r="E12" s="21"/>
      <c r="F12" s="59"/>
      <c r="G12" s="38"/>
      <c r="H12" s="60"/>
      <c r="I12" s="61"/>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72</v>
      </c>
      <c r="B32" s="5"/>
      <c r="C32" s="5"/>
      <c r="D32" s="5"/>
      <c r="E32" s="5"/>
      <c r="F32" s="5"/>
      <c r="G32" s="5"/>
      <c r="H32" s="6"/>
    </row>
    <row r="33" spans="1:9" x14ac:dyDescent="0.2">
      <c r="A33" s="7"/>
      <c r="B33" s="8"/>
      <c r="C33" s="211" t="s">
        <v>16</v>
      </c>
      <c r="D33" s="205"/>
      <c r="E33" s="205"/>
      <c r="F33" s="212"/>
      <c r="G33" s="205" t="s">
        <v>1</v>
      </c>
      <c r="H33" s="206"/>
    </row>
    <row r="34" spans="1:9" x14ac:dyDescent="0.2">
      <c r="A34" s="12"/>
      <c r="B34" s="13"/>
      <c r="C34" s="14" t="s">
        <v>235</v>
      </c>
      <c r="D34" s="15" t="s">
        <v>236</v>
      </c>
      <c r="E34" s="15" t="s">
        <v>237</v>
      </c>
      <c r="F34" s="16"/>
      <c r="G34" s="17" t="s">
        <v>238</v>
      </c>
      <c r="H34" s="18" t="s">
        <v>239</v>
      </c>
    </row>
    <row r="35" spans="1:9" ht="12.75" customHeight="1" x14ac:dyDescent="0.2">
      <c r="A35" s="207" t="s">
        <v>60</v>
      </c>
      <c r="B35" s="19" t="s">
        <v>3</v>
      </c>
      <c r="C35" s="80">
        <v>790.99551165503715</v>
      </c>
      <c r="D35" s="80">
        <v>1120.2980383203794</v>
      </c>
      <c r="E35" s="81">
        <v>1174.482255442239</v>
      </c>
      <c r="F35" s="22" t="s">
        <v>240</v>
      </c>
      <c r="G35" s="23">
        <v>48.481532213098717</v>
      </c>
      <c r="H35" s="24">
        <v>4.8365894849816868</v>
      </c>
    </row>
    <row r="36" spans="1:9" ht="12.75" customHeight="1" thickBot="1" x14ac:dyDescent="0.25">
      <c r="A36" s="213"/>
      <c r="B36" s="42" t="s">
        <v>241</v>
      </c>
      <c r="C36" s="86">
        <v>218.00562808048576</v>
      </c>
      <c r="D36" s="86">
        <v>254.93649516953667</v>
      </c>
      <c r="E36" s="86">
        <v>283.756110257974</v>
      </c>
      <c r="F36" s="44"/>
      <c r="G36" s="57">
        <v>30.159993004040132</v>
      </c>
      <c r="H36" s="46">
        <v>11.304625126062035</v>
      </c>
    </row>
    <row r="37" spans="1:9" x14ac:dyDescent="0.2">
      <c r="A37" s="58"/>
      <c r="B37" s="58"/>
      <c r="C37" s="21"/>
      <c r="D37" s="21"/>
      <c r="E37" s="21"/>
      <c r="F37" s="59"/>
      <c r="G37" s="38"/>
      <c r="H37" s="60"/>
      <c r="I37" s="61"/>
    </row>
    <row r="38" spans="1:9" x14ac:dyDescent="0.2">
      <c r="A38" s="58"/>
      <c r="B38" s="62"/>
      <c r="C38" s="21"/>
      <c r="D38" s="21"/>
      <c r="E38" s="21"/>
      <c r="F38" s="63"/>
      <c r="G38" s="38"/>
      <c r="H38" s="60"/>
      <c r="I38" s="61"/>
    </row>
    <row r="39" spans="1:9" x14ac:dyDescent="0.2">
      <c r="A39" s="58"/>
      <c r="B39" s="58"/>
      <c r="C39" s="21"/>
      <c r="D39" s="21"/>
      <c r="E39" s="21"/>
      <c r="F39" s="59"/>
      <c r="G39" s="38"/>
      <c r="H39" s="60"/>
      <c r="I39" s="61"/>
    </row>
    <row r="40" spans="1:9" x14ac:dyDescent="0.2">
      <c r="A40" s="58"/>
      <c r="B40" s="62"/>
      <c r="C40" s="21"/>
      <c r="D40" s="21"/>
      <c r="E40" s="21"/>
      <c r="F40" s="63"/>
      <c r="G40" s="38"/>
      <c r="H40" s="60"/>
      <c r="I40" s="61"/>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H61" s="202">
        <v>20</v>
      </c>
    </row>
    <row r="62" spans="1:9" ht="12.75" customHeight="1" x14ac:dyDescent="0.2">
      <c r="A62" s="54" t="s">
        <v>243</v>
      </c>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5">
      <c r="A3" s="3"/>
      <c r="B3" s="99"/>
      <c r="C3" s="99"/>
      <c r="D3" s="99"/>
      <c r="E3" s="99"/>
      <c r="F3" s="99"/>
      <c r="G3" s="99"/>
    </row>
    <row r="4" spans="1:8" ht="16.5" thickBot="1" x14ac:dyDescent="0.3">
      <c r="A4" s="100" t="s">
        <v>212</v>
      </c>
      <c r="B4" s="101"/>
      <c r="C4" s="101"/>
      <c r="D4" s="101"/>
      <c r="E4" s="101"/>
      <c r="F4" s="101"/>
      <c r="G4" s="101"/>
      <c r="H4" s="102"/>
    </row>
    <row r="5" spans="1:8" x14ac:dyDescent="0.2">
      <c r="A5" s="103"/>
      <c r="B5" s="104"/>
      <c r="C5" s="105"/>
      <c r="D5" s="104"/>
      <c r="E5" s="106"/>
      <c r="F5" s="107"/>
      <c r="G5" s="216" t="s">
        <v>1</v>
      </c>
      <c r="H5" s="217"/>
    </row>
    <row r="6" spans="1:8" x14ac:dyDescent="0.2">
      <c r="A6" s="108"/>
      <c r="B6" s="109"/>
      <c r="C6" s="110" t="s">
        <v>235</v>
      </c>
      <c r="D6" s="111" t="s">
        <v>236</v>
      </c>
      <c r="E6" s="111" t="s">
        <v>237</v>
      </c>
      <c r="F6" s="112"/>
      <c r="G6" s="113" t="s">
        <v>238</v>
      </c>
      <c r="H6" s="114" t="s">
        <v>239</v>
      </c>
    </row>
    <row r="7" spans="1:8" ht="12.75" customHeight="1" x14ac:dyDescent="0.2">
      <c r="A7" s="218" t="s">
        <v>193</v>
      </c>
      <c r="B7" s="115" t="s">
        <v>3</v>
      </c>
      <c r="C7" s="20">
        <v>6379</v>
      </c>
      <c r="D7" s="20">
        <v>7894</v>
      </c>
      <c r="E7" s="79">
        <v>10030.913872246601</v>
      </c>
      <c r="F7" s="22" t="s">
        <v>240</v>
      </c>
      <c r="G7" s="116">
        <v>57.249002543448853</v>
      </c>
      <c r="H7" s="117">
        <v>27.070102258001043</v>
      </c>
    </row>
    <row r="8" spans="1:8" ht="12.75" customHeight="1" x14ac:dyDescent="0.2">
      <c r="A8" s="219"/>
      <c r="B8" s="118" t="s">
        <v>241</v>
      </c>
      <c r="C8" s="26">
        <v>1924</v>
      </c>
      <c r="D8" s="26">
        <v>1660.7930817610063</v>
      </c>
      <c r="E8" s="26">
        <v>2347</v>
      </c>
      <c r="F8" s="27"/>
      <c r="G8" s="119">
        <v>21.98544698544697</v>
      </c>
      <c r="H8" s="120">
        <v>41.318026054840061</v>
      </c>
    </row>
    <row r="9" spans="1:8" x14ac:dyDescent="0.2">
      <c r="A9" s="121" t="s">
        <v>194</v>
      </c>
      <c r="B9" s="122" t="s">
        <v>3</v>
      </c>
      <c r="C9" s="20">
        <v>2198</v>
      </c>
      <c r="D9" s="20">
        <v>2696</v>
      </c>
      <c r="E9" s="20">
        <v>3163.9818645974315</v>
      </c>
      <c r="F9" s="22" t="s">
        <v>240</v>
      </c>
      <c r="G9" s="123">
        <v>43.948219499428177</v>
      </c>
      <c r="H9" s="124">
        <v>17.358377766967052</v>
      </c>
    </row>
    <row r="10" spans="1:8" x14ac:dyDescent="0.2">
      <c r="A10" s="125"/>
      <c r="B10" s="118" t="s">
        <v>241</v>
      </c>
      <c r="C10" s="26">
        <v>689</v>
      </c>
      <c r="D10" s="26">
        <v>556.50532799999996</v>
      </c>
      <c r="E10" s="26">
        <v>737</v>
      </c>
      <c r="F10" s="27"/>
      <c r="G10" s="126">
        <v>6.9666182873729952</v>
      </c>
      <c r="H10" s="120">
        <v>32.433592801109711</v>
      </c>
    </row>
    <row r="11" spans="1:8" x14ac:dyDescent="0.2">
      <c r="A11" s="121" t="s">
        <v>195</v>
      </c>
      <c r="B11" s="122" t="s">
        <v>3</v>
      </c>
      <c r="C11" s="20">
        <v>616</v>
      </c>
      <c r="D11" s="20">
        <v>770</v>
      </c>
      <c r="E11" s="20">
        <v>1149.5361060797502</v>
      </c>
      <c r="F11" s="22" t="s">
        <v>240</v>
      </c>
      <c r="G11" s="127">
        <v>86.61300423372569</v>
      </c>
      <c r="H11" s="124">
        <v>49.290403386980529</v>
      </c>
    </row>
    <row r="12" spans="1:8" x14ac:dyDescent="0.2">
      <c r="A12" s="125"/>
      <c r="B12" s="118" t="s">
        <v>241</v>
      </c>
      <c r="C12" s="26">
        <v>195</v>
      </c>
      <c r="D12" s="26">
        <v>107.34211999999999</v>
      </c>
      <c r="E12" s="26">
        <v>197</v>
      </c>
      <c r="F12" s="27"/>
      <c r="G12" s="119">
        <v>1.025641025641022</v>
      </c>
      <c r="H12" s="120">
        <v>83.52534867021447</v>
      </c>
    </row>
    <row r="13" spans="1:8" x14ac:dyDescent="0.2">
      <c r="A13" s="121" t="s">
        <v>228</v>
      </c>
      <c r="B13" s="122" t="s">
        <v>3</v>
      </c>
      <c r="C13" s="20">
        <v>153</v>
      </c>
      <c r="D13" s="20">
        <v>287</v>
      </c>
      <c r="E13" s="20">
        <v>879.34344985590246</v>
      </c>
      <c r="F13" s="22" t="s">
        <v>240</v>
      </c>
      <c r="G13" s="116">
        <v>474.73428095157021</v>
      </c>
      <c r="H13" s="117">
        <v>206.39144594282317</v>
      </c>
    </row>
    <row r="14" spans="1:8" x14ac:dyDescent="0.2">
      <c r="A14" s="125"/>
      <c r="B14" s="118" t="s">
        <v>241</v>
      </c>
      <c r="C14" s="26">
        <v>69</v>
      </c>
      <c r="D14" s="26">
        <v>77.091231999999991</v>
      </c>
      <c r="E14" s="26">
        <v>273</v>
      </c>
      <c r="F14" s="27"/>
      <c r="G14" s="128">
        <v>295.65217391304344</v>
      </c>
      <c r="H14" s="117">
        <v>254.12587517086251</v>
      </c>
    </row>
    <row r="15" spans="1:8" x14ac:dyDescent="0.2">
      <c r="A15" s="121" t="s">
        <v>196</v>
      </c>
      <c r="B15" s="122" t="s">
        <v>3</v>
      </c>
      <c r="C15" s="20">
        <v>2248</v>
      </c>
      <c r="D15" s="20">
        <v>3006</v>
      </c>
      <c r="E15" s="20">
        <v>3709.5136002178801</v>
      </c>
      <c r="F15" s="22" t="s">
        <v>240</v>
      </c>
      <c r="G15" s="127">
        <v>65.013950187628126</v>
      </c>
      <c r="H15" s="124">
        <v>23.403646048498999</v>
      </c>
    </row>
    <row r="16" spans="1:8" x14ac:dyDescent="0.2">
      <c r="A16" s="125"/>
      <c r="B16" s="118" t="s">
        <v>241</v>
      </c>
      <c r="C16" s="26">
        <v>638</v>
      </c>
      <c r="D16" s="26">
        <v>621.22807999999998</v>
      </c>
      <c r="E16" s="26">
        <v>843</v>
      </c>
      <c r="F16" s="27"/>
      <c r="G16" s="119">
        <v>32.131661442006276</v>
      </c>
      <c r="H16" s="120">
        <v>35.698952951386218</v>
      </c>
    </row>
    <row r="17" spans="1:9" x14ac:dyDescent="0.2">
      <c r="A17" s="121" t="s">
        <v>197</v>
      </c>
      <c r="B17" s="122" t="s">
        <v>3</v>
      </c>
      <c r="C17" s="20">
        <v>489</v>
      </c>
      <c r="D17" s="20">
        <v>635</v>
      </c>
      <c r="E17" s="20">
        <v>897.85889601551946</v>
      </c>
      <c r="F17" s="22" t="s">
        <v>240</v>
      </c>
      <c r="G17" s="127">
        <v>83.611226179042831</v>
      </c>
      <c r="H17" s="124">
        <v>41.395101734727461</v>
      </c>
    </row>
    <row r="18" spans="1:9" x14ac:dyDescent="0.2">
      <c r="A18" s="121"/>
      <c r="B18" s="118" t="s">
        <v>241</v>
      </c>
      <c r="C18" s="26">
        <v>146</v>
      </c>
      <c r="D18" s="26">
        <v>86.228080000000006</v>
      </c>
      <c r="E18" s="26">
        <v>149</v>
      </c>
      <c r="F18" s="27"/>
      <c r="G18" s="119">
        <v>2.0547945205479579</v>
      </c>
      <c r="H18" s="120">
        <v>72.797538806384182</v>
      </c>
    </row>
    <row r="19" spans="1:9" x14ac:dyDescent="0.2">
      <c r="A19" s="129" t="s">
        <v>198</v>
      </c>
      <c r="B19" s="122" t="s">
        <v>3</v>
      </c>
      <c r="C19" s="20">
        <v>20</v>
      </c>
      <c r="D19" s="20">
        <v>30</v>
      </c>
      <c r="E19" s="20">
        <v>29.959039023794524</v>
      </c>
      <c r="F19" s="22" t="s">
        <v>240</v>
      </c>
      <c r="G19" s="116">
        <v>49.7951951189726</v>
      </c>
      <c r="H19" s="117">
        <v>-0.13653658735158558</v>
      </c>
    </row>
    <row r="20" spans="1:9" x14ac:dyDescent="0.2">
      <c r="A20" s="125"/>
      <c r="B20" s="118" t="s">
        <v>241</v>
      </c>
      <c r="C20" s="26">
        <v>5</v>
      </c>
      <c r="D20" s="26">
        <v>10.022808000000001</v>
      </c>
      <c r="E20" s="26">
        <v>9</v>
      </c>
      <c r="F20" s="27"/>
      <c r="G20" s="128">
        <v>80</v>
      </c>
      <c r="H20" s="117">
        <v>-10.204804881027357</v>
      </c>
    </row>
    <row r="21" spans="1:9" x14ac:dyDescent="0.2">
      <c r="A21" s="129" t="s">
        <v>199</v>
      </c>
      <c r="B21" s="122" t="s">
        <v>3</v>
      </c>
      <c r="C21" s="20">
        <v>13</v>
      </c>
      <c r="D21" s="20">
        <v>22</v>
      </c>
      <c r="E21" s="20">
        <v>18.432070592625372</v>
      </c>
      <c r="F21" s="22" t="s">
        <v>240</v>
      </c>
      <c r="G21" s="127">
        <v>41.785158404810574</v>
      </c>
      <c r="H21" s="124">
        <v>-16.217860942611935</v>
      </c>
    </row>
    <row r="22" spans="1:9" x14ac:dyDescent="0.2">
      <c r="A22" s="125"/>
      <c r="B22" s="118" t="s">
        <v>241</v>
      </c>
      <c r="C22" s="26">
        <v>2</v>
      </c>
      <c r="D22" s="26">
        <v>6.0076026666666671</v>
      </c>
      <c r="E22" s="26">
        <v>4</v>
      </c>
      <c r="F22" s="27"/>
      <c r="G22" s="119">
        <v>100</v>
      </c>
      <c r="H22" s="120">
        <v>-33.417700504826996</v>
      </c>
    </row>
    <row r="23" spans="1:9" x14ac:dyDescent="0.2">
      <c r="A23" s="129" t="s">
        <v>200</v>
      </c>
      <c r="B23" s="122" t="s">
        <v>3</v>
      </c>
      <c r="C23" s="20">
        <v>454</v>
      </c>
      <c r="D23" s="20">
        <v>535</v>
      </c>
      <c r="E23" s="20">
        <v>615.58423847626034</v>
      </c>
      <c r="F23" s="22" t="s">
        <v>240</v>
      </c>
      <c r="G23" s="127">
        <v>35.591241955123422</v>
      </c>
      <c r="H23" s="124">
        <v>15.062474481543987</v>
      </c>
    </row>
    <row r="24" spans="1:9" x14ac:dyDescent="0.2">
      <c r="A24" s="125"/>
      <c r="B24" s="118" t="s">
        <v>241</v>
      </c>
      <c r="C24" s="26">
        <v>118</v>
      </c>
      <c r="D24" s="26">
        <v>100.05701999999999</v>
      </c>
      <c r="E24" s="26">
        <v>127</v>
      </c>
      <c r="F24" s="27"/>
      <c r="G24" s="119">
        <v>7.6271186440677923</v>
      </c>
      <c r="H24" s="120">
        <v>26.927625867730228</v>
      </c>
    </row>
    <row r="25" spans="1:9" x14ac:dyDescent="0.2">
      <c r="A25" s="121" t="s">
        <v>24</v>
      </c>
      <c r="B25" s="122" t="s">
        <v>3</v>
      </c>
      <c r="C25" s="20">
        <v>1553</v>
      </c>
      <c r="D25" s="20">
        <v>2497</v>
      </c>
      <c r="E25" s="20">
        <v>2758.6779103425165</v>
      </c>
      <c r="F25" s="22" t="s">
        <v>240</v>
      </c>
      <c r="G25" s="116">
        <v>77.635409551997185</v>
      </c>
      <c r="H25" s="117">
        <v>10.479692044153637</v>
      </c>
      <c r="I25" s="130"/>
    </row>
    <row r="26" spans="1:9" ht="13.5" thickBot="1" x14ac:dyDescent="0.25">
      <c r="A26" s="131"/>
      <c r="B26" s="132" t="s">
        <v>241</v>
      </c>
      <c r="C26" s="43">
        <v>478</v>
      </c>
      <c r="D26" s="43">
        <v>532.05701999999997</v>
      </c>
      <c r="E26" s="43">
        <v>655</v>
      </c>
      <c r="F26" s="44"/>
      <c r="G26" s="133">
        <v>37.029288702928881</v>
      </c>
      <c r="H26" s="134">
        <v>23.107106076713364</v>
      </c>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213</v>
      </c>
      <c r="B32" s="101"/>
      <c r="C32" s="101"/>
      <c r="D32" s="101"/>
      <c r="E32" s="101"/>
      <c r="F32" s="101"/>
      <c r="G32" s="101"/>
      <c r="H32" s="102"/>
    </row>
    <row r="33" spans="1:8" x14ac:dyDescent="0.2">
      <c r="A33" s="103"/>
      <c r="B33" s="104"/>
      <c r="C33" s="220" t="s">
        <v>16</v>
      </c>
      <c r="D33" s="216"/>
      <c r="E33" s="216"/>
      <c r="F33" s="221"/>
      <c r="G33" s="216" t="s">
        <v>1</v>
      </c>
      <c r="H33" s="217"/>
    </row>
    <row r="34" spans="1:8" x14ac:dyDescent="0.2">
      <c r="A34" s="108"/>
      <c r="B34" s="109"/>
      <c r="C34" s="110" t="s">
        <v>235</v>
      </c>
      <c r="D34" s="111" t="s">
        <v>236</v>
      </c>
      <c r="E34" s="111" t="s">
        <v>237</v>
      </c>
      <c r="F34" s="112"/>
      <c r="G34" s="113" t="s">
        <v>238</v>
      </c>
      <c r="H34" s="114" t="s">
        <v>239</v>
      </c>
    </row>
    <row r="35" spans="1:8" ht="12.75" customHeight="1" x14ac:dyDescent="0.2">
      <c r="A35" s="218" t="s">
        <v>193</v>
      </c>
      <c r="B35" s="115" t="s">
        <v>3</v>
      </c>
      <c r="C35" s="80">
        <v>1443.9436886190492</v>
      </c>
      <c r="D35" s="80">
        <v>1934.5070014632759</v>
      </c>
      <c r="E35" s="81">
        <v>2121.163498382919</v>
      </c>
      <c r="F35" s="22" t="s">
        <v>240</v>
      </c>
      <c r="G35" s="116">
        <v>46.900707770089383</v>
      </c>
      <c r="H35" s="117">
        <v>9.6487889047935482</v>
      </c>
    </row>
    <row r="36" spans="1:8" ht="12.75" customHeight="1" x14ac:dyDescent="0.2">
      <c r="A36" s="219"/>
      <c r="B36" s="118" t="s">
        <v>241</v>
      </c>
      <c r="C36" s="82">
        <v>371.52526909084611</v>
      </c>
      <c r="D36" s="82">
        <v>436.23363324952504</v>
      </c>
      <c r="E36" s="82">
        <v>498.87576821145711</v>
      </c>
      <c r="F36" s="27"/>
      <c r="G36" s="119">
        <v>34.277748975796044</v>
      </c>
      <c r="H36" s="120">
        <v>14.359767378619523</v>
      </c>
    </row>
    <row r="37" spans="1:8" x14ac:dyDescent="0.2">
      <c r="A37" s="121" t="s">
        <v>194</v>
      </c>
      <c r="B37" s="122" t="s">
        <v>3</v>
      </c>
      <c r="C37" s="80">
        <v>688.24224737866768</v>
      </c>
      <c r="D37" s="80">
        <v>863.05560912347437</v>
      </c>
      <c r="E37" s="80">
        <v>969.3597007618805</v>
      </c>
      <c r="F37" s="22" t="s">
        <v>240</v>
      </c>
      <c r="G37" s="123">
        <v>40.845713039836568</v>
      </c>
      <c r="H37" s="124">
        <v>12.317177539274596</v>
      </c>
    </row>
    <row r="38" spans="1:8" x14ac:dyDescent="0.2">
      <c r="A38" s="125"/>
      <c r="B38" s="118" t="s">
        <v>241</v>
      </c>
      <c r="C38" s="82">
        <v>196.37369406527381</v>
      </c>
      <c r="D38" s="82">
        <v>223.076949054934</v>
      </c>
      <c r="E38" s="82">
        <v>258.66843708757608</v>
      </c>
      <c r="F38" s="27"/>
      <c r="G38" s="126">
        <v>31.722549865358133</v>
      </c>
      <c r="H38" s="120">
        <v>15.954803122162772</v>
      </c>
    </row>
    <row r="39" spans="1:8" x14ac:dyDescent="0.2">
      <c r="A39" s="121" t="s">
        <v>195</v>
      </c>
      <c r="B39" s="122" t="s">
        <v>3</v>
      </c>
      <c r="C39" s="80">
        <v>109.81435476733348</v>
      </c>
      <c r="D39" s="80">
        <v>121.56621175543431</v>
      </c>
      <c r="E39" s="80">
        <v>135.42994773341553</v>
      </c>
      <c r="F39" s="22" t="s">
        <v>240</v>
      </c>
      <c r="G39" s="127">
        <v>23.326270067655969</v>
      </c>
      <c r="H39" s="124">
        <v>11.404267499814964</v>
      </c>
    </row>
    <row r="40" spans="1:8" x14ac:dyDescent="0.2">
      <c r="A40" s="125"/>
      <c r="B40" s="118" t="s">
        <v>241</v>
      </c>
      <c r="C40" s="82">
        <v>29.629155883159232</v>
      </c>
      <c r="D40" s="82">
        <v>28.133579644366748</v>
      </c>
      <c r="E40" s="82">
        <v>32.902316705947001</v>
      </c>
      <c r="F40" s="27"/>
      <c r="G40" s="119">
        <v>11.047094408275697</v>
      </c>
      <c r="H40" s="120">
        <v>16.95033878326646</v>
      </c>
    </row>
    <row r="41" spans="1:8" x14ac:dyDescent="0.2">
      <c r="A41" s="121" t="s">
        <v>228</v>
      </c>
      <c r="B41" s="122" t="s">
        <v>3</v>
      </c>
      <c r="C41" s="80">
        <v>139.54863849828595</v>
      </c>
      <c r="D41" s="80">
        <v>259.88181809067311</v>
      </c>
      <c r="E41" s="80">
        <v>326.14841279607361</v>
      </c>
      <c r="F41" s="22" t="s">
        <v>240</v>
      </c>
      <c r="G41" s="116">
        <v>133.71665700635239</v>
      </c>
      <c r="H41" s="117">
        <v>25.498742156051875</v>
      </c>
    </row>
    <row r="42" spans="1:8" x14ac:dyDescent="0.2">
      <c r="A42" s="125"/>
      <c r="B42" s="118" t="s">
        <v>241</v>
      </c>
      <c r="C42" s="82">
        <v>36.982735279701537</v>
      </c>
      <c r="D42" s="82">
        <v>48.650227510343008</v>
      </c>
      <c r="E42" s="82">
        <v>67.67955106669487</v>
      </c>
      <c r="F42" s="27"/>
      <c r="G42" s="128">
        <v>83.00309740432229</v>
      </c>
      <c r="H42" s="117">
        <v>39.114562315882779</v>
      </c>
    </row>
    <row r="43" spans="1:8" x14ac:dyDescent="0.2">
      <c r="A43" s="121" t="s">
        <v>196</v>
      </c>
      <c r="B43" s="122" t="s">
        <v>3</v>
      </c>
      <c r="C43" s="80">
        <v>54.389097560952472</v>
      </c>
      <c r="D43" s="80">
        <v>71.71085837673877</v>
      </c>
      <c r="E43" s="80">
        <v>87.131314419092888</v>
      </c>
      <c r="F43" s="22" t="s">
        <v>240</v>
      </c>
      <c r="G43" s="127">
        <v>60.199963460410515</v>
      </c>
      <c r="H43" s="124">
        <v>21.503655640742039</v>
      </c>
    </row>
    <row r="44" spans="1:8" x14ac:dyDescent="0.2">
      <c r="A44" s="125"/>
      <c r="B44" s="118" t="s">
        <v>241</v>
      </c>
      <c r="C44" s="82">
        <v>15.011897716542308</v>
      </c>
      <c r="D44" s="82">
        <v>18.997125545976253</v>
      </c>
      <c r="E44" s="82">
        <v>23.39573095424786</v>
      </c>
      <c r="F44" s="27"/>
      <c r="G44" s="119">
        <v>55.847924066702234</v>
      </c>
      <c r="H44" s="120">
        <v>23.154057689550129</v>
      </c>
    </row>
    <row r="45" spans="1:8" x14ac:dyDescent="0.2">
      <c r="A45" s="121" t="s">
        <v>197</v>
      </c>
      <c r="B45" s="122" t="s">
        <v>3</v>
      </c>
      <c r="C45" s="80">
        <v>22.229165078190494</v>
      </c>
      <c r="D45" s="80">
        <v>27.703010589347752</v>
      </c>
      <c r="E45" s="80">
        <v>34.565122690021084</v>
      </c>
      <c r="F45" s="22" t="s">
        <v>240</v>
      </c>
      <c r="G45" s="127">
        <v>55.494471197812373</v>
      </c>
      <c r="H45" s="124">
        <v>24.770275701774906</v>
      </c>
    </row>
    <row r="46" spans="1:8" x14ac:dyDescent="0.2">
      <c r="A46" s="121"/>
      <c r="B46" s="118" t="s">
        <v>241</v>
      </c>
      <c r="C46" s="82">
        <v>5.0803251533084612</v>
      </c>
      <c r="D46" s="82">
        <v>4.4329550391952504</v>
      </c>
      <c r="E46" s="82">
        <v>6.1452001708495718</v>
      </c>
      <c r="F46" s="27"/>
      <c r="G46" s="119">
        <v>20.960765018113676</v>
      </c>
      <c r="H46" s="120">
        <v>38.625366522218542</v>
      </c>
    </row>
    <row r="47" spans="1:8" x14ac:dyDescent="0.2">
      <c r="A47" s="129" t="s">
        <v>198</v>
      </c>
      <c r="B47" s="122" t="s">
        <v>3</v>
      </c>
      <c r="C47" s="80">
        <v>10.160402538190496</v>
      </c>
      <c r="D47" s="80">
        <v>13.782414659347754</v>
      </c>
      <c r="E47" s="80">
        <v>15.994741016085403</v>
      </c>
      <c r="F47" s="22" t="s">
        <v>240</v>
      </c>
      <c r="G47" s="116">
        <v>57.422316251398883</v>
      </c>
      <c r="H47" s="117">
        <v>16.051805227302211</v>
      </c>
    </row>
    <row r="48" spans="1:8" x14ac:dyDescent="0.2">
      <c r="A48" s="125"/>
      <c r="B48" s="118" t="s">
        <v>241</v>
      </c>
      <c r="C48" s="82">
        <v>2.6103439833084616</v>
      </c>
      <c r="D48" s="82">
        <v>4.1059937491952496</v>
      </c>
      <c r="E48" s="82">
        <v>4.5243905908495723</v>
      </c>
      <c r="F48" s="27"/>
      <c r="G48" s="128">
        <v>73.325455180629717</v>
      </c>
      <c r="H48" s="117">
        <v>10.189904495990177</v>
      </c>
    </row>
    <row r="49" spans="1:9" x14ac:dyDescent="0.2">
      <c r="A49" s="129" t="s">
        <v>199</v>
      </c>
      <c r="B49" s="122" t="s">
        <v>3</v>
      </c>
      <c r="C49" s="80">
        <v>9.1592425381904974</v>
      </c>
      <c r="D49" s="80">
        <v>13.016409659347755</v>
      </c>
      <c r="E49" s="80">
        <v>15.281660148427171</v>
      </c>
      <c r="F49" s="22" t="s">
        <v>240</v>
      </c>
      <c r="G49" s="127">
        <v>66.844147697897085</v>
      </c>
      <c r="H49" s="124">
        <v>17.403036231674093</v>
      </c>
    </row>
    <row r="50" spans="1:9" x14ac:dyDescent="0.2">
      <c r="A50" s="125"/>
      <c r="B50" s="118" t="s">
        <v>241</v>
      </c>
      <c r="C50" s="82">
        <v>2.2907699833084614</v>
      </c>
      <c r="D50" s="82">
        <v>3.2995897491952499</v>
      </c>
      <c r="E50" s="82">
        <v>3.856395590849572</v>
      </c>
      <c r="F50" s="27"/>
      <c r="G50" s="119">
        <v>68.344950341978205</v>
      </c>
      <c r="H50" s="120">
        <v>16.8750021662579</v>
      </c>
    </row>
    <row r="51" spans="1:9" x14ac:dyDescent="0.2">
      <c r="A51" s="129" t="s">
        <v>200</v>
      </c>
      <c r="B51" s="122" t="s">
        <v>3</v>
      </c>
      <c r="C51" s="80">
        <v>158.7355576909525</v>
      </c>
      <c r="D51" s="80">
        <v>171.73617129673877</v>
      </c>
      <c r="E51" s="80">
        <v>218.24798028709111</v>
      </c>
      <c r="F51" s="22" t="s">
        <v>240</v>
      </c>
      <c r="G51" s="127">
        <v>37.491551018458836</v>
      </c>
      <c r="H51" s="124">
        <v>27.083292144661655</v>
      </c>
    </row>
    <row r="52" spans="1:9" x14ac:dyDescent="0.2">
      <c r="A52" s="125"/>
      <c r="B52" s="118" t="s">
        <v>241</v>
      </c>
      <c r="C52" s="82">
        <v>30.182340916542305</v>
      </c>
      <c r="D52" s="82">
        <v>31.838517745976247</v>
      </c>
      <c r="E52" s="82">
        <v>40.801209954247867</v>
      </c>
      <c r="F52" s="27"/>
      <c r="G52" s="119">
        <v>35.182390481467195</v>
      </c>
      <c r="H52" s="120">
        <v>28.150469440130678</v>
      </c>
    </row>
    <row r="53" spans="1:9" x14ac:dyDescent="0.2">
      <c r="A53" s="121" t="s">
        <v>24</v>
      </c>
      <c r="B53" s="122" t="s">
        <v>3</v>
      </c>
      <c r="C53" s="80">
        <v>251.66498256828595</v>
      </c>
      <c r="D53" s="80">
        <v>392.05449791217313</v>
      </c>
      <c r="E53" s="80">
        <v>311.72747787761523</v>
      </c>
      <c r="F53" s="22" t="s">
        <v>240</v>
      </c>
      <c r="G53" s="116">
        <v>23.866051882300354</v>
      </c>
      <c r="H53" s="117">
        <v>-20.488738290805813</v>
      </c>
      <c r="I53" s="130"/>
    </row>
    <row r="54" spans="1:9" ht="13.5" thickBot="1" x14ac:dyDescent="0.25">
      <c r="A54" s="131"/>
      <c r="B54" s="132" t="s">
        <v>241</v>
      </c>
      <c r="C54" s="86">
        <v>53.364006109701535</v>
      </c>
      <c r="D54" s="86">
        <v>73.698695210343004</v>
      </c>
      <c r="E54" s="86">
        <v>60.902536090194872</v>
      </c>
      <c r="F54" s="44"/>
      <c r="G54" s="133">
        <v>14.12661928903205</v>
      </c>
      <c r="H54" s="134">
        <v>-17.362802806246009</v>
      </c>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242</v>
      </c>
      <c r="G61" s="145"/>
      <c r="H61" s="214">
        <v>21</v>
      </c>
    </row>
    <row r="62" spans="1:9" ht="12.75" customHeight="1" x14ac:dyDescent="0.2">
      <c r="A62" s="144" t="s">
        <v>243</v>
      </c>
      <c r="G62" s="145"/>
      <c r="H62" s="215"/>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5">
      <c r="A3" s="3"/>
      <c r="B3" s="99"/>
      <c r="C3" s="99"/>
      <c r="D3" s="99"/>
      <c r="E3" s="99"/>
      <c r="F3" s="99"/>
      <c r="G3" s="99"/>
    </row>
    <row r="4" spans="1:8" ht="16.5" thickBot="1" x14ac:dyDescent="0.3">
      <c r="A4" s="100" t="s">
        <v>214</v>
      </c>
      <c r="B4" s="101"/>
      <c r="C4" s="101"/>
      <c r="D4" s="101"/>
      <c r="E4" s="101"/>
      <c r="F4" s="101"/>
      <c r="G4" s="101"/>
      <c r="H4" s="102"/>
    </row>
    <row r="5" spans="1:8" x14ac:dyDescent="0.2">
      <c r="A5" s="103"/>
      <c r="B5" s="104"/>
      <c r="C5" s="105"/>
      <c r="D5" s="104"/>
      <c r="E5" s="106"/>
      <c r="F5" s="107"/>
      <c r="G5" s="216" t="s">
        <v>1</v>
      </c>
      <c r="H5" s="217"/>
    </row>
    <row r="6" spans="1:8" x14ac:dyDescent="0.2">
      <c r="A6" s="108"/>
      <c r="B6" s="109"/>
      <c r="C6" s="110" t="s">
        <v>235</v>
      </c>
      <c r="D6" s="111" t="s">
        <v>236</v>
      </c>
      <c r="E6" s="111" t="s">
        <v>237</v>
      </c>
      <c r="F6" s="112"/>
      <c r="G6" s="113" t="s">
        <v>238</v>
      </c>
      <c r="H6" s="114" t="s">
        <v>239</v>
      </c>
    </row>
    <row r="7" spans="1:8" ht="12.75" customHeight="1" x14ac:dyDescent="0.2">
      <c r="A7" s="218" t="s">
        <v>201</v>
      </c>
      <c r="B7" s="115" t="s">
        <v>3</v>
      </c>
      <c r="C7" s="20">
        <v>1472</v>
      </c>
      <c r="D7" s="20">
        <v>1922</v>
      </c>
      <c r="E7" s="79">
        <v>2276.8616091728722</v>
      </c>
      <c r="F7" s="22" t="s">
        <v>240</v>
      </c>
      <c r="G7" s="116">
        <v>54.678098449244033</v>
      </c>
      <c r="H7" s="117">
        <v>18.463143037090134</v>
      </c>
    </row>
    <row r="8" spans="1:8" ht="12.75" customHeight="1" x14ac:dyDescent="0.2">
      <c r="A8" s="219"/>
      <c r="B8" s="118" t="s">
        <v>241</v>
      </c>
      <c r="C8" s="26">
        <v>433</v>
      </c>
      <c r="D8" s="26">
        <v>435.8397727272727</v>
      </c>
      <c r="E8" s="26">
        <v>559</v>
      </c>
      <c r="F8" s="27"/>
      <c r="G8" s="119">
        <v>29.099307159353344</v>
      </c>
      <c r="H8" s="120">
        <v>28.258143239670545</v>
      </c>
    </row>
    <row r="9" spans="1:8" x14ac:dyDescent="0.2">
      <c r="A9" s="121" t="s">
        <v>202</v>
      </c>
      <c r="B9" s="122" t="s">
        <v>3</v>
      </c>
      <c r="C9" s="20">
        <v>477</v>
      </c>
      <c r="D9" s="20">
        <v>584</v>
      </c>
      <c r="E9" s="20">
        <v>650.54470539262888</v>
      </c>
      <c r="F9" s="22" t="s">
        <v>240</v>
      </c>
      <c r="G9" s="123">
        <v>36.382537818161182</v>
      </c>
      <c r="H9" s="124">
        <v>11.394641334354262</v>
      </c>
    </row>
    <row r="10" spans="1:8" x14ac:dyDescent="0.2">
      <c r="A10" s="125"/>
      <c r="B10" s="118" t="s">
        <v>241</v>
      </c>
      <c r="C10" s="26">
        <v>163</v>
      </c>
      <c r="D10" s="26">
        <v>133.33255</v>
      </c>
      <c r="E10" s="26">
        <v>167</v>
      </c>
      <c r="F10" s="27"/>
      <c r="G10" s="126">
        <v>2.4539877300613568</v>
      </c>
      <c r="H10" s="120">
        <v>25.25073584807312</v>
      </c>
    </row>
    <row r="11" spans="1:8" x14ac:dyDescent="0.2">
      <c r="A11" s="121" t="s">
        <v>203</v>
      </c>
      <c r="B11" s="122" t="s">
        <v>3</v>
      </c>
      <c r="C11" s="20">
        <v>121</v>
      </c>
      <c r="D11" s="20">
        <v>174</v>
      </c>
      <c r="E11" s="20">
        <v>208.45659438925105</v>
      </c>
      <c r="F11" s="22" t="s">
        <v>240</v>
      </c>
      <c r="G11" s="127">
        <v>72.278177181199226</v>
      </c>
      <c r="H11" s="124">
        <v>19.802640453592574</v>
      </c>
    </row>
    <row r="12" spans="1:8" x14ac:dyDescent="0.2">
      <c r="A12" s="125"/>
      <c r="B12" s="118" t="s">
        <v>241</v>
      </c>
      <c r="C12" s="26">
        <v>30</v>
      </c>
      <c r="D12" s="26">
        <v>33.110849999999999</v>
      </c>
      <c r="E12" s="26">
        <v>43</v>
      </c>
      <c r="F12" s="27"/>
      <c r="G12" s="119">
        <v>43.333333333333343</v>
      </c>
      <c r="H12" s="120">
        <v>29.866795929430992</v>
      </c>
    </row>
    <row r="13" spans="1:8" x14ac:dyDescent="0.2">
      <c r="A13" s="121" t="s">
        <v>204</v>
      </c>
      <c r="B13" s="122" t="s">
        <v>3</v>
      </c>
      <c r="C13" s="20">
        <v>66</v>
      </c>
      <c r="D13" s="20">
        <v>91</v>
      </c>
      <c r="E13" s="20">
        <v>130.59486385839338</v>
      </c>
      <c r="F13" s="22" t="s">
        <v>240</v>
      </c>
      <c r="G13" s="116">
        <v>97.871005846050565</v>
      </c>
      <c r="H13" s="117">
        <v>43.510839404827891</v>
      </c>
    </row>
    <row r="14" spans="1:8" x14ac:dyDescent="0.2">
      <c r="A14" s="125"/>
      <c r="B14" s="118" t="s">
        <v>241</v>
      </c>
      <c r="C14" s="26">
        <v>22</v>
      </c>
      <c r="D14" s="26">
        <v>18.092375000000001</v>
      </c>
      <c r="E14" s="26">
        <v>30</v>
      </c>
      <c r="F14" s="27"/>
      <c r="G14" s="128">
        <v>36.363636363636346</v>
      </c>
      <c r="H14" s="117">
        <v>65.815709656692377</v>
      </c>
    </row>
    <row r="15" spans="1:8" x14ac:dyDescent="0.2">
      <c r="A15" s="121" t="s">
        <v>205</v>
      </c>
      <c r="B15" s="122" t="s">
        <v>3</v>
      </c>
      <c r="C15" s="20">
        <v>7</v>
      </c>
      <c r="D15" s="20">
        <v>9</v>
      </c>
      <c r="E15" s="20">
        <v>19.977857878475795</v>
      </c>
      <c r="F15" s="22" t="s">
        <v>240</v>
      </c>
      <c r="G15" s="127">
        <v>185.39796969251137</v>
      </c>
      <c r="H15" s="124">
        <v>121.97619864973106</v>
      </c>
    </row>
    <row r="16" spans="1:8" x14ac:dyDescent="0.2">
      <c r="A16" s="125"/>
      <c r="B16" s="118" t="s">
        <v>241</v>
      </c>
      <c r="C16" s="26">
        <v>2</v>
      </c>
      <c r="D16" s="26">
        <v>1.0923750000000001</v>
      </c>
      <c r="E16" s="26">
        <v>3</v>
      </c>
      <c r="F16" s="27"/>
      <c r="G16" s="119">
        <v>50</v>
      </c>
      <c r="H16" s="120">
        <v>174.63096464126329</v>
      </c>
    </row>
    <row r="17" spans="1:9" x14ac:dyDescent="0.2">
      <c r="A17" s="121" t="s">
        <v>206</v>
      </c>
      <c r="B17" s="122" t="s">
        <v>3</v>
      </c>
      <c r="C17" s="20">
        <v>68</v>
      </c>
      <c r="D17" s="20">
        <v>86</v>
      </c>
      <c r="E17" s="20">
        <v>109.27584464485309</v>
      </c>
      <c r="F17" s="22" t="s">
        <v>240</v>
      </c>
      <c r="G17" s="127">
        <v>60.699771536548667</v>
      </c>
      <c r="H17" s="124">
        <v>27.064935633550107</v>
      </c>
    </row>
    <row r="18" spans="1:9" x14ac:dyDescent="0.2">
      <c r="A18" s="125"/>
      <c r="B18" s="118" t="s">
        <v>241</v>
      </c>
      <c r="C18" s="26">
        <v>27</v>
      </c>
      <c r="D18" s="26">
        <v>17.046187500000002</v>
      </c>
      <c r="E18" s="26">
        <v>26</v>
      </c>
      <c r="F18" s="27"/>
      <c r="G18" s="119">
        <v>-3.7037037037037095</v>
      </c>
      <c r="H18" s="120">
        <v>52.526774682021994</v>
      </c>
    </row>
    <row r="19" spans="1:9" x14ac:dyDescent="0.2">
      <c r="A19" s="121" t="s">
        <v>207</v>
      </c>
      <c r="B19" s="122" t="s">
        <v>3</v>
      </c>
      <c r="C19" s="20">
        <v>775</v>
      </c>
      <c r="D19" s="20">
        <v>985</v>
      </c>
      <c r="E19" s="20">
        <v>1209.4153120445339</v>
      </c>
      <c r="F19" s="22" t="s">
        <v>240</v>
      </c>
      <c r="G19" s="116">
        <v>56.053588650907614</v>
      </c>
      <c r="H19" s="117">
        <v>22.783280410612591</v>
      </c>
    </row>
    <row r="20" spans="1:9" ht="13.5" thickBot="1" x14ac:dyDescent="0.25">
      <c r="A20" s="131"/>
      <c r="B20" s="132" t="s">
        <v>241</v>
      </c>
      <c r="C20" s="43">
        <v>190</v>
      </c>
      <c r="D20" s="43">
        <v>237.23093749999998</v>
      </c>
      <c r="E20" s="43">
        <v>293</v>
      </c>
      <c r="F20" s="44"/>
      <c r="G20" s="133">
        <v>54.210526315789451</v>
      </c>
      <c r="H20" s="134">
        <v>23.508343004377338</v>
      </c>
    </row>
    <row r="25" spans="1:9" x14ac:dyDescent="0.2">
      <c r="I25" s="130"/>
    </row>
    <row r="26" spans="1:9" x14ac:dyDescent="0.2">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215</v>
      </c>
      <c r="B32" s="101"/>
      <c r="C32" s="101"/>
      <c r="D32" s="101"/>
      <c r="E32" s="101"/>
      <c r="F32" s="101"/>
      <c r="G32" s="101"/>
      <c r="H32" s="102"/>
    </row>
    <row r="33" spans="1:8" x14ac:dyDescent="0.2">
      <c r="A33" s="103"/>
      <c r="B33" s="104"/>
      <c r="C33" s="220" t="s">
        <v>16</v>
      </c>
      <c r="D33" s="216"/>
      <c r="E33" s="216"/>
      <c r="F33" s="221"/>
      <c r="G33" s="216" t="s">
        <v>1</v>
      </c>
      <c r="H33" s="217"/>
    </row>
    <row r="34" spans="1:8" x14ac:dyDescent="0.2">
      <c r="A34" s="108"/>
      <c r="B34" s="109"/>
      <c r="C34" s="110" t="s">
        <v>235</v>
      </c>
      <c r="D34" s="111" t="s">
        <v>236</v>
      </c>
      <c r="E34" s="111" t="s">
        <v>237</v>
      </c>
      <c r="F34" s="112"/>
      <c r="G34" s="113" t="s">
        <v>238</v>
      </c>
      <c r="H34" s="114" t="s">
        <v>239</v>
      </c>
    </row>
    <row r="35" spans="1:8" ht="12.75" customHeight="1" x14ac:dyDescent="0.2">
      <c r="A35" s="218" t="s">
        <v>201</v>
      </c>
      <c r="B35" s="115" t="s">
        <v>3</v>
      </c>
      <c r="C35" s="80">
        <v>590.1806121196131</v>
      </c>
      <c r="D35" s="80">
        <v>604.64367061974201</v>
      </c>
      <c r="E35" s="81">
        <v>659.89898236679039</v>
      </c>
      <c r="F35" s="22" t="s">
        <v>240</v>
      </c>
      <c r="G35" s="116">
        <v>11.813056683916841</v>
      </c>
      <c r="H35" s="117">
        <v>9.1384917153624343</v>
      </c>
    </row>
    <row r="36" spans="1:8" ht="12.75" customHeight="1" x14ac:dyDescent="0.2">
      <c r="A36" s="219"/>
      <c r="B36" s="118" t="s">
        <v>241</v>
      </c>
      <c r="C36" s="82">
        <v>198.64649855446478</v>
      </c>
      <c r="D36" s="82">
        <v>165.20781349782064</v>
      </c>
      <c r="E36" s="82">
        <v>192.37533394794892</v>
      </c>
      <c r="F36" s="27"/>
      <c r="G36" s="119">
        <v>-3.1569469646586441</v>
      </c>
      <c r="H36" s="120">
        <v>16.444452520090195</v>
      </c>
    </row>
    <row r="37" spans="1:8" x14ac:dyDescent="0.2">
      <c r="A37" s="121" t="s">
        <v>202</v>
      </c>
      <c r="B37" s="122" t="s">
        <v>3</v>
      </c>
      <c r="C37" s="80">
        <v>292.01322818698327</v>
      </c>
      <c r="D37" s="80">
        <v>308.46656184659793</v>
      </c>
      <c r="E37" s="80">
        <v>334.00113223701902</v>
      </c>
      <c r="F37" s="22" t="s">
        <v>240</v>
      </c>
      <c r="G37" s="123">
        <v>14.37876780813157</v>
      </c>
      <c r="H37" s="124">
        <v>8.2779054681199256</v>
      </c>
    </row>
    <row r="38" spans="1:8" x14ac:dyDescent="0.2">
      <c r="A38" s="125"/>
      <c r="B38" s="118" t="s">
        <v>241</v>
      </c>
      <c r="C38" s="82">
        <v>101.02500083050029</v>
      </c>
      <c r="D38" s="82">
        <v>86.972065538779532</v>
      </c>
      <c r="E38" s="82">
        <v>100.36124357781446</v>
      </c>
      <c r="F38" s="27"/>
      <c r="G38" s="126">
        <v>-0.65702276389927761</v>
      </c>
      <c r="H38" s="120">
        <v>15.394802866979049</v>
      </c>
    </row>
    <row r="39" spans="1:8" x14ac:dyDescent="0.2">
      <c r="A39" s="121" t="s">
        <v>203</v>
      </c>
      <c r="B39" s="122" t="s">
        <v>3</v>
      </c>
      <c r="C39" s="80">
        <v>76.889624110334239</v>
      </c>
      <c r="D39" s="80">
        <v>88.260294782787156</v>
      </c>
      <c r="E39" s="80">
        <v>77.773101532415254</v>
      </c>
      <c r="F39" s="22" t="s">
        <v>240</v>
      </c>
      <c r="G39" s="127">
        <v>1.1490203422158203</v>
      </c>
      <c r="H39" s="124">
        <v>-11.882118993802806</v>
      </c>
    </row>
    <row r="40" spans="1:8" x14ac:dyDescent="0.2">
      <c r="A40" s="125"/>
      <c r="B40" s="118" t="s">
        <v>241</v>
      </c>
      <c r="C40" s="82">
        <v>24.406503984259018</v>
      </c>
      <c r="D40" s="82">
        <v>28.621653404629505</v>
      </c>
      <c r="E40" s="82">
        <v>25.040295778720001</v>
      </c>
      <c r="F40" s="27"/>
      <c r="G40" s="119">
        <v>2.5968151557869419</v>
      </c>
      <c r="H40" s="120">
        <v>-12.512755902949422</v>
      </c>
    </row>
    <row r="41" spans="1:8" x14ac:dyDescent="0.2">
      <c r="A41" s="121" t="s">
        <v>204</v>
      </c>
      <c r="B41" s="122" t="s">
        <v>3</v>
      </c>
      <c r="C41" s="80">
        <v>39.094210398372923</v>
      </c>
      <c r="D41" s="80">
        <v>37.832628796081949</v>
      </c>
      <c r="E41" s="80">
        <v>54.242837227758045</v>
      </c>
      <c r="F41" s="22" t="s">
        <v>240</v>
      </c>
      <c r="G41" s="116">
        <v>38.749028756482062</v>
      </c>
      <c r="H41" s="117">
        <v>43.375808009872117</v>
      </c>
    </row>
    <row r="42" spans="1:8" x14ac:dyDescent="0.2">
      <c r="A42" s="125"/>
      <c r="B42" s="118" t="s">
        <v>241</v>
      </c>
      <c r="C42" s="82">
        <v>16.874680228812537</v>
      </c>
      <c r="D42" s="82">
        <v>9.1453957548474403</v>
      </c>
      <c r="E42" s="82">
        <v>15.365766706956427</v>
      </c>
      <c r="F42" s="27"/>
      <c r="G42" s="128">
        <v>-8.9418792024261791</v>
      </c>
      <c r="H42" s="117">
        <v>68.016421802325311</v>
      </c>
    </row>
    <row r="43" spans="1:8" x14ac:dyDescent="0.2">
      <c r="A43" s="121" t="s">
        <v>205</v>
      </c>
      <c r="B43" s="122" t="s">
        <v>3</v>
      </c>
      <c r="C43" s="80">
        <v>4.1513737711961305</v>
      </c>
      <c r="D43" s="80">
        <v>5.5139225422974212</v>
      </c>
      <c r="E43" s="80">
        <v>6.8539194600729507</v>
      </c>
      <c r="F43" s="22" t="s">
        <v>240</v>
      </c>
      <c r="G43" s="127">
        <v>65.100032852453523</v>
      </c>
      <c r="H43" s="124">
        <v>24.302062778292296</v>
      </c>
    </row>
    <row r="44" spans="1:8" x14ac:dyDescent="0.2">
      <c r="A44" s="125"/>
      <c r="B44" s="118" t="s">
        <v>241</v>
      </c>
      <c r="C44" s="82">
        <v>1.797576175544648</v>
      </c>
      <c r="D44" s="82">
        <v>1.6355879649782059</v>
      </c>
      <c r="E44" s="82">
        <v>2.2715498152794895</v>
      </c>
      <c r="F44" s="27"/>
      <c r="G44" s="119">
        <v>26.367374366832166</v>
      </c>
      <c r="H44" s="120">
        <v>38.88276655971589</v>
      </c>
    </row>
    <row r="45" spans="1:8" x14ac:dyDescent="0.2">
      <c r="A45" s="121" t="s">
        <v>206</v>
      </c>
      <c r="B45" s="122" t="s">
        <v>3</v>
      </c>
      <c r="C45" s="80">
        <v>31.627181855980652</v>
      </c>
      <c r="D45" s="80">
        <v>37.334640711487104</v>
      </c>
      <c r="E45" s="80">
        <v>70.864628784134183</v>
      </c>
      <c r="F45" s="22" t="s">
        <v>240</v>
      </c>
      <c r="G45" s="127">
        <v>124.06241917736276</v>
      </c>
      <c r="H45" s="124">
        <v>89.809323013869516</v>
      </c>
    </row>
    <row r="46" spans="1:8" x14ac:dyDescent="0.2">
      <c r="A46" s="125"/>
      <c r="B46" s="118" t="s">
        <v>241</v>
      </c>
      <c r="C46" s="82">
        <v>11.705670877723238</v>
      </c>
      <c r="D46" s="82">
        <v>7.3160168248910304</v>
      </c>
      <c r="E46" s="82">
        <v>16.469749076397449</v>
      </c>
      <c r="F46" s="27"/>
      <c r="G46" s="119">
        <v>40.69889072091209</v>
      </c>
      <c r="H46" s="120">
        <v>125.11907053525343</v>
      </c>
    </row>
    <row r="47" spans="1:8" x14ac:dyDescent="0.2">
      <c r="A47" s="121" t="s">
        <v>207</v>
      </c>
      <c r="B47" s="122" t="s">
        <v>3</v>
      </c>
      <c r="C47" s="80">
        <v>146.40499379674583</v>
      </c>
      <c r="D47" s="80">
        <v>127.23562194049052</v>
      </c>
      <c r="E47" s="80">
        <v>125.89916285431033</v>
      </c>
      <c r="F47" s="22" t="s">
        <v>240</v>
      </c>
      <c r="G47" s="116">
        <v>-14.006237362984876</v>
      </c>
      <c r="H47" s="117">
        <v>-1.0503812264188639</v>
      </c>
    </row>
    <row r="48" spans="1:8" ht="13.5" thickBot="1" x14ac:dyDescent="0.25">
      <c r="A48" s="131"/>
      <c r="B48" s="132" t="s">
        <v>241</v>
      </c>
      <c r="C48" s="86">
        <v>42.837066457625085</v>
      </c>
      <c r="D48" s="86">
        <v>31.517094009694883</v>
      </c>
      <c r="E48" s="86">
        <v>32.866728992781127</v>
      </c>
      <c r="F48" s="44"/>
      <c r="G48" s="133">
        <v>-23.275023920479541</v>
      </c>
      <c r="H48" s="134">
        <v>4.2822316761535433</v>
      </c>
    </row>
    <row r="53" spans="1:9" x14ac:dyDescent="0.2">
      <c r="I53" s="130"/>
    </row>
    <row r="54" spans="1:9" x14ac:dyDescent="0.2">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242</v>
      </c>
      <c r="G61" s="145"/>
      <c r="H61" s="214">
        <v>22</v>
      </c>
    </row>
    <row r="62" spans="1:9" ht="12.75" customHeight="1" x14ac:dyDescent="0.2">
      <c r="A62" s="144" t="s">
        <v>243</v>
      </c>
      <c r="G62" s="145"/>
      <c r="H62" s="215"/>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5">
      <c r="A3" s="3"/>
      <c r="B3" s="99"/>
      <c r="C3" s="99"/>
      <c r="D3" s="99"/>
      <c r="E3" s="99"/>
      <c r="F3" s="99"/>
      <c r="G3" s="99"/>
    </row>
    <row r="4" spans="1:8" ht="16.5" thickBot="1" x14ac:dyDescent="0.3">
      <c r="A4" s="100" t="s">
        <v>216</v>
      </c>
      <c r="B4" s="101"/>
      <c r="C4" s="101"/>
      <c r="D4" s="101"/>
      <c r="E4" s="101"/>
      <c r="F4" s="101"/>
      <c r="G4" s="101"/>
      <c r="H4" s="102"/>
    </row>
    <row r="5" spans="1:8" x14ac:dyDescent="0.2">
      <c r="A5" s="103"/>
      <c r="B5" s="104"/>
      <c r="C5" s="105"/>
      <c r="D5" s="104"/>
      <c r="E5" s="106"/>
      <c r="F5" s="107"/>
      <c r="G5" s="216" t="s">
        <v>1</v>
      </c>
      <c r="H5" s="217"/>
    </row>
    <row r="6" spans="1:8" x14ac:dyDescent="0.2">
      <c r="A6" s="108"/>
      <c r="B6" s="109"/>
      <c r="C6" s="110" t="s">
        <v>235</v>
      </c>
      <c r="D6" s="111" t="s">
        <v>236</v>
      </c>
      <c r="E6" s="111" t="s">
        <v>237</v>
      </c>
      <c r="F6" s="112"/>
      <c r="G6" s="113" t="s">
        <v>238</v>
      </c>
      <c r="H6" s="114" t="s">
        <v>239</v>
      </c>
    </row>
    <row r="7" spans="1:8" ht="12.75" customHeight="1" x14ac:dyDescent="0.2">
      <c r="A7" s="218" t="s">
        <v>208</v>
      </c>
      <c r="B7" s="115" t="s">
        <v>3</v>
      </c>
      <c r="C7" s="20">
        <v>343016</v>
      </c>
      <c r="D7" s="20">
        <v>430654</v>
      </c>
      <c r="E7" s="79">
        <v>511832.4143963845</v>
      </c>
      <c r="F7" s="22" t="s">
        <v>240</v>
      </c>
      <c r="G7" s="116">
        <v>49.215317768379464</v>
      </c>
      <c r="H7" s="117">
        <v>18.850031439713661</v>
      </c>
    </row>
    <row r="8" spans="1:8" ht="12.75" customHeight="1" x14ac:dyDescent="0.2">
      <c r="A8" s="219"/>
      <c r="B8" s="118" t="s">
        <v>241</v>
      </c>
      <c r="C8" s="26">
        <v>71543.779428571434</v>
      </c>
      <c r="D8" s="26">
        <v>85173.856</v>
      </c>
      <c r="E8" s="26">
        <v>103006.20114285714</v>
      </c>
      <c r="F8" s="27"/>
      <c r="G8" s="119">
        <v>43.976460239562073</v>
      </c>
      <c r="H8" s="120">
        <v>20.936406991902714</v>
      </c>
    </row>
    <row r="9" spans="1:8" x14ac:dyDescent="0.2">
      <c r="A9" s="121" t="s">
        <v>227</v>
      </c>
      <c r="B9" s="122" t="s">
        <v>3</v>
      </c>
      <c r="C9" s="20">
        <v>12932</v>
      </c>
      <c r="D9" s="20">
        <v>14329</v>
      </c>
      <c r="E9" s="20">
        <v>15973.394525272208</v>
      </c>
      <c r="F9" s="22" t="s">
        <v>240</v>
      </c>
      <c r="G9" s="123">
        <v>23.518361624437119</v>
      </c>
      <c r="H9" s="124">
        <v>11.475989428935776</v>
      </c>
    </row>
    <row r="10" spans="1:8" x14ac:dyDescent="0.2">
      <c r="A10" s="125"/>
      <c r="B10" s="118" t="s">
        <v>241</v>
      </c>
      <c r="C10" s="26">
        <v>3314.0540000000001</v>
      </c>
      <c r="D10" s="26">
        <v>3171.828</v>
      </c>
      <c r="E10" s="26">
        <v>3704.0219999999999</v>
      </c>
      <c r="F10" s="27"/>
      <c r="G10" s="126">
        <v>11.767098544562032</v>
      </c>
      <c r="H10" s="120">
        <v>16.778778672740131</v>
      </c>
    </row>
    <row r="11" spans="1:8" x14ac:dyDescent="0.2">
      <c r="A11" s="121" t="s">
        <v>230</v>
      </c>
      <c r="B11" s="122" t="s">
        <v>3</v>
      </c>
      <c r="C11" s="20">
        <v>166709</v>
      </c>
      <c r="D11" s="20">
        <v>242248</v>
      </c>
      <c r="E11" s="20">
        <v>338300.46566423116</v>
      </c>
      <c r="F11" s="22" t="s">
        <v>240</v>
      </c>
      <c r="G11" s="127">
        <v>102.92873549972174</v>
      </c>
      <c r="H11" s="124">
        <v>39.650467976714424</v>
      </c>
    </row>
    <row r="12" spans="1:8" x14ac:dyDescent="0.2">
      <c r="A12" s="125"/>
      <c r="B12" s="118" t="s">
        <v>241</v>
      </c>
      <c r="C12" s="26">
        <v>32222.859199999999</v>
      </c>
      <c r="D12" s="26">
        <v>38359.574399999998</v>
      </c>
      <c r="E12" s="26">
        <v>57004.105600000003</v>
      </c>
      <c r="F12" s="27"/>
      <c r="G12" s="119">
        <v>76.905796118800026</v>
      </c>
      <c r="H12" s="120">
        <v>48.604635196369657</v>
      </c>
    </row>
    <row r="13" spans="1:8" x14ac:dyDescent="0.2">
      <c r="A13" s="121" t="s">
        <v>209</v>
      </c>
      <c r="B13" s="122" t="s">
        <v>3</v>
      </c>
      <c r="C13" s="20">
        <v>135318</v>
      </c>
      <c r="D13" s="20">
        <v>135335</v>
      </c>
      <c r="E13" s="20">
        <v>130136.44782572069</v>
      </c>
      <c r="F13" s="22" t="s">
        <v>240</v>
      </c>
      <c r="G13" s="116">
        <v>-3.8291669802090667</v>
      </c>
      <c r="H13" s="117">
        <v>-3.8412474040560909</v>
      </c>
    </row>
    <row r="14" spans="1:8" x14ac:dyDescent="0.2">
      <c r="A14" s="125"/>
      <c r="B14" s="118" t="s">
        <v>241</v>
      </c>
      <c r="C14" s="26">
        <v>30283.859199999999</v>
      </c>
      <c r="D14" s="26">
        <v>34951.574399999998</v>
      </c>
      <c r="E14" s="26">
        <v>31968.105599999999</v>
      </c>
      <c r="F14" s="27"/>
      <c r="G14" s="128">
        <v>5.5615316029470989</v>
      </c>
      <c r="H14" s="117">
        <v>-8.5360068930113755</v>
      </c>
    </row>
    <row r="15" spans="1:8" x14ac:dyDescent="0.2">
      <c r="A15" s="121" t="s">
        <v>210</v>
      </c>
      <c r="B15" s="122" t="s">
        <v>3</v>
      </c>
      <c r="C15" s="20">
        <v>18521</v>
      </c>
      <c r="D15" s="20">
        <v>26769</v>
      </c>
      <c r="E15" s="20">
        <v>37974.111346540187</v>
      </c>
      <c r="F15" s="22" t="s">
        <v>240</v>
      </c>
      <c r="G15" s="127">
        <v>105.03272688591431</v>
      </c>
      <c r="H15" s="124">
        <v>41.858535419852018</v>
      </c>
    </row>
    <row r="16" spans="1:8" x14ac:dyDescent="0.2">
      <c r="A16" s="125"/>
      <c r="B16" s="118" t="s">
        <v>241</v>
      </c>
      <c r="C16" s="26">
        <v>3000.6432</v>
      </c>
      <c r="D16" s="26">
        <v>4966.2623999999996</v>
      </c>
      <c r="E16" s="26">
        <v>6720.0176000000001</v>
      </c>
      <c r="F16" s="27"/>
      <c r="G16" s="119">
        <v>123.9525712353938</v>
      </c>
      <c r="H16" s="120">
        <v>35.313381749623233</v>
      </c>
    </row>
    <row r="17" spans="1:9" x14ac:dyDescent="0.2">
      <c r="A17" s="121" t="s">
        <v>211</v>
      </c>
      <c r="B17" s="122" t="s">
        <v>3</v>
      </c>
      <c r="C17" s="20">
        <v>23038</v>
      </c>
      <c r="D17" s="20">
        <v>28312</v>
      </c>
      <c r="E17" s="20">
        <v>30249.526802079559</v>
      </c>
      <c r="F17" s="22" t="s">
        <v>240</v>
      </c>
      <c r="G17" s="116">
        <v>31.302746775239001</v>
      </c>
      <c r="H17" s="117">
        <v>6.8434826295548135</v>
      </c>
    </row>
    <row r="18" spans="1:9" ht="13.5" thickBot="1" x14ac:dyDescent="0.25">
      <c r="A18" s="131"/>
      <c r="B18" s="132" t="s">
        <v>241</v>
      </c>
      <c r="C18" s="43">
        <v>6621.2864</v>
      </c>
      <c r="D18" s="43">
        <v>6764.5248000000001</v>
      </c>
      <c r="E18" s="43">
        <v>7658.0352000000003</v>
      </c>
      <c r="F18" s="44"/>
      <c r="G18" s="133">
        <v>15.65781537557416</v>
      </c>
      <c r="H18" s="134">
        <v>13.208768190191279</v>
      </c>
    </row>
    <row r="25" spans="1:9" x14ac:dyDescent="0.2">
      <c r="I25" s="130"/>
    </row>
    <row r="26" spans="1:9" x14ac:dyDescent="0.2">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217</v>
      </c>
      <c r="B32" s="101"/>
      <c r="C32" s="101"/>
      <c r="D32" s="101"/>
      <c r="E32" s="101"/>
      <c r="F32" s="101"/>
      <c r="G32" s="101"/>
      <c r="H32" s="102"/>
    </row>
    <row r="33" spans="1:8" x14ac:dyDescent="0.2">
      <c r="A33" s="103"/>
      <c r="B33" s="104"/>
      <c r="C33" s="220" t="s">
        <v>16</v>
      </c>
      <c r="D33" s="216"/>
      <c r="E33" s="216"/>
      <c r="F33" s="221"/>
      <c r="G33" s="216" t="s">
        <v>1</v>
      </c>
      <c r="H33" s="217"/>
    </row>
    <row r="34" spans="1:8" x14ac:dyDescent="0.2">
      <c r="A34" s="108"/>
      <c r="B34" s="109"/>
      <c r="C34" s="110" t="s">
        <v>235</v>
      </c>
      <c r="D34" s="111" t="s">
        <v>236</v>
      </c>
      <c r="E34" s="111" t="s">
        <v>237</v>
      </c>
      <c r="F34" s="112"/>
      <c r="G34" s="113" t="s">
        <v>238</v>
      </c>
      <c r="H34" s="114" t="s">
        <v>239</v>
      </c>
    </row>
    <row r="35" spans="1:8" ht="12.75" customHeight="1" x14ac:dyDescent="0.2">
      <c r="A35" s="218" t="s">
        <v>208</v>
      </c>
      <c r="B35" s="115" t="s">
        <v>3</v>
      </c>
      <c r="C35" s="80">
        <v>1456.5722955892095</v>
      </c>
      <c r="D35" s="80">
        <v>1704.7751721129084</v>
      </c>
      <c r="E35" s="81">
        <v>1896.8965482905571</v>
      </c>
      <c r="F35" s="22" t="s">
        <v>240</v>
      </c>
      <c r="G35" s="116">
        <v>30.230168048282735</v>
      </c>
      <c r="H35" s="117">
        <v>11.269601958100566</v>
      </c>
    </row>
    <row r="36" spans="1:8" ht="12.75" customHeight="1" x14ac:dyDescent="0.2">
      <c r="A36" s="219"/>
      <c r="B36" s="118" t="s">
        <v>241</v>
      </c>
      <c r="C36" s="82">
        <v>369.5314769139809</v>
      </c>
      <c r="D36" s="82">
        <v>447.15987373804478</v>
      </c>
      <c r="E36" s="82">
        <v>491.99434026468953</v>
      </c>
      <c r="F36" s="27"/>
      <c r="G36" s="119">
        <v>33.140035694229994</v>
      </c>
      <c r="H36" s="120">
        <v>10.02649592680352</v>
      </c>
    </row>
    <row r="37" spans="1:8" x14ac:dyDescent="0.2">
      <c r="A37" s="121" t="s">
        <v>227</v>
      </c>
      <c r="B37" s="122" t="s">
        <v>3</v>
      </c>
      <c r="C37" s="80">
        <v>443.47556994912514</v>
      </c>
      <c r="D37" s="80">
        <v>526.161549591984</v>
      </c>
      <c r="E37" s="80">
        <v>574.67044696653409</v>
      </c>
      <c r="F37" s="22" t="s">
        <v>240</v>
      </c>
      <c r="G37" s="123">
        <v>29.583338047789056</v>
      </c>
      <c r="H37" s="124">
        <v>9.2193922973213631</v>
      </c>
    </row>
    <row r="38" spans="1:8" x14ac:dyDescent="0.2">
      <c r="A38" s="125"/>
      <c r="B38" s="118" t="s">
        <v>241</v>
      </c>
      <c r="C38" s="82">
        <v>107.07961500495371</v>
      </c>
      <c r="D38" s="82">
        <v>131.46420228653542</v>
      </c>
      <c r="E38" s="82">
        <v>141.93849326179435</v>
      </c>
      <c r="F38" s="27"/>
      <c r="G38" s="126">
        <v>32.554168461688988</v>
      </c>
      <c r="H38" s="120">
        <v>7.9674092209752132</v>
      </c>
    </row>
    <row r="39" spans="1:8" x14ac:dyDescent="0.2">
      <c r="A39" s="121" t="s">
        <v>230</v>
      </c>
      <c r="B39" s="122" t="s">
        <v>3</v>
      </c>
      <c r="C39" s="80">
        <v>269.37084535231764</v>
      </c>
      <c r="D39" s="80">
        <v>333.48805947324126</v>
      </c>
      <c r="E39" s="80">
        <v>412.87413118822775</v>
      </c>
      <c r="F39" s="22" t="s">
        <v>240</v>
      </c>
      <c r="G39" s="127">
        <v>53.273503169289967</v>
      </c>
      <c r="H39" s="124">
        <v>23.804771853115298</v>
      </c>
    </row>
    <row r="40" spans="1:8" x14ac:dyDescent="0.2">
      <c r="A40" s="125"/>
      <c r="B40" s="118" t="s">
        <v>241</v>
      </c>
      <c r="C40" s="82">
        <v>70.338346135994456</v>
      </c>
      <c r="D40" s="82">
        <v>83.409385439510444</v>
      </c>
      <c r="E40" s="82">
        <v>104.73669129367198</v>
      </c>
      <c r="F40" s="27"/>
      <c r="G40" s="119">
        <v>48.904114252516877</v>
      </c>
      <c r="H40" s="120">
        <v>25.569431715365383</v>
      </c>
    </row>
    <row r="41" spans="1:8" x14ac:dyDescent="0.2">
      <c r="A41" s="121" t="s">
        <v>209</v>
      </c>
      <c r="B41" s="122" t="s">
        <v>3</v>
      </c>
      <c r="C41" s="80">
        <v>501.75703808684722</v>
      </c>
      <c r="D41" s="80">
        <v>565.42085865239414</v>
      </c>
      <c r="E41" s="80">
        <v>597.55857493060921</v>
      </c>
      <c r="F41" s="22" t="s">
        <v>240</v>
      </c>
      <c r="G41" s="116">
        <v>19.093212366097404</v>
      </c>
      <c r="H41" s="117">
        <v>5.6838575702373504</v>
      </c>
    </row>
    <row r="42" spans="1:8" x14ac:dyDescent="0.2">
      <c r="A42" s="125"/>
      <c r="B42" s="118" t="s">
        <v>241</v>
      </c>
      <c r="C42" s="82">
        <v>130.11282495863449</v>
      </c>
      <c r="D42" s="82">
        <v>159.79400763419417</v>
      </c>
      <c r="E42" s="82">
        <v>163.9663244457542</v>
      </c>
      <c r="F42" s="27"/>
      <c r="G42" s="128">
        <v>26.01857234126031</v>
      </c>
      <c r="H42" s="117">
        <v>2.6110596219048716</v>
      </c>
    </row>
    <row r="43" spans="1:8" x14ac:dyDescent="0.2">
      <c r="A43" s="121" t="s">
        <v>210</v>
      </c>
      <c r="B43" s="122" t="s">
        <v>3</v>
      </c>
      <c r="C43" s="80">
        <v>98.631765388184178</v>
      </c>
      <c r="D43" s="80">
        <v>125.46354583305788</v>
      </c>
      <c r="E43" s="80">
        <v>151.50185145111595</v>
      </c>
      <c r="F43" s="22" t="s">
        <v>240</v>
      </c>
      <c r="G43" s="127">
        <v>53.603507809934712</v>
      </c>
      <c r="H43" s="124">
        <v>20.753682231095809</v>
      </c>
    </row>
    <row r="44" spans="1:8" x14ac:dyDescent="0.2">
      <c r="A44" s="125"/>
      <c r="B44" s="118" t="s">
        <v>241</v>
      </c>
      <c r="C44" s="82">
        <v>22.867826250879723</v>
      </c>
      <c r="D44" s="82">
        <v>32.527410061561028</v>
      </c>
      <c r="E44" s="82">
        <v>37.789016650693931</v>
      </c>
      <c r="F44" s="27"/>
      <c r="G44" s="119">
        <v>65.249710383995023</v>
      </c>
      <c r="H44" s="120">
        <v>16.175916186302075</v>
      </c>
    </row>
    <row r="45" spans="1:8" x14ac:dyDescent="0.2">
      <c r="A45" s="121" t="s">
        <v>211</v>
      </c>
      <c r="B45" s="122" t="s">
        <v>3</v>
      </c>
      <c r="C45" s="80">
        <v>143.33707681273535</v>
      </c>
      <c r="D45" s="80">
        <v>154.24115856223145</v>
      </c>
      <c r="E45" s="80">
        <v>165.27629898827925</v>
      </c>
      <c r="F45" s="22" t="s">
        <v>240</v>
      </c>
      <c r="G45" s="116">
        <v>15.306034323698881</v>
      </c>
      <c r="H45" s="117">
        <v>7.1544719508803922</v>
      </c>
    </row>
    <row r="46" spans="1:8" ht="13.5" thickBot="1" x14ac:dyDescent="0.25">
      <c r="A46" s="131"/>
      <c r="B46" s="132" t="s">
        <v>241</v>
      </c>
      <c r="C46" s="86">
        <v>39.132864563518538</v>
      </c>
      <c r="D46" s="86">
        <v>39.964868316243638</v>
      </c>
      <c r="E46" s="86">
        <v>43.563814612775133</v>
      </c>
      <c r="F46" s="44"/>
      <c r="G46" s="133">
        <v>11.322835930051838</v>
      </c>
      <c r="H46" s="134">
        <v>9.0052750031674975</v>
      </c>
    </row>
    <row r="53" spans="1:9" x14ac:dyDescent="0.2">
      <c r="I53" s="130"/>
    </row>
    <row r="54" spans="1:9" x14ac:dyDescent="0.2">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242</v>
      </c>
      <c r="G61" s="145"/>
      <c r="H61" s="214">
        <v>23</v>
      </c>
    </row>
    <row r="62" spans="1:9" ht="12.75" customHeight="1" x14ac:dyDescent="0.2">
      <c r="A62" s="144" t="s">
        <v>243</v>
      </c>
      <c r="G62" s="145"/>
      <c r="H62" s="215"/>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showRowColHeaders="0" zoomScaleNormal="100" workbookViewId="0"/>
  </sheetViews>
  <sheetFormatPr defaultColWidth="11.42578125" defaultRowHeight="12.75" customHeight="1" x14ac:dyDescent="0.2"/>
  <cols>
    <col min="1" max="1" width="11.42578125" style="89" customWidth="1"/>
    <col min="2" max="2" width="27.140625" style="1" customWidth="1"/>
    <col min="3" max="5" width="10.5703125" style="1" customWidth="1"/>
    <col min="6" max="8" width="7.5703125" style="1" customWidth="1"/>
    <col min="9" max="16384" width="11.42578125" style="1"/>
  </cols>
  <sheetData>
    <row r="2" spans="1:8" ht="12.75" customHeight="1" x14ac:dyDescent="0.2">
      <c r="B2" s="2"/>
      <c r="C2" s="2"/>
      <c r="D2" s="2"/>
      <c r="E2" s="2"/>
      <c r="F2" s="2"/>
      <c r="G2" s="2"/>
    </row>
    <row r="3" spans="1:8" ht="12.75" customHeight="1" x14ac:dyDescent="0.2">
      <c r="A3" s="90"/>
      <c r="B3" s="2"/>
      <c r="C3" s="2"/>
      <c r="D3" s="2"/>
      <c r="E3" s="2"/>
      <c r="F3" s="2"/>
      <c r="G3" s="2"/>
    </row>
    <row r="4" spans="1:8" ht="12.75" customHeight="1" x14ac:dyDescent="0.25">
      <c r="A4" s="90"/>
      <c r="C4" s="74"/>
      <c r="D4" s="74" t="s">
        <v>88</v>
      </c>
      <c r="E4" s="74"/>
      <c r="F4" s="74"/>
      <c r="G4" s="74"/>
      <c r="H4" s="74"/>
    </row>
    <row r="5" spans="1:8" ht="12.75" customHeight="1" x14ac:dyDescent="0.25">
      <c r="A5" s="90"/>
      <c r="B5" s="75"/>
      <c r="C5" s="74"/>
      <c r="D5" s="74"/>
      <c r="E5" s="74"/>
      <c r="F5" s="74"/>
      <c r="G5" s="74"/>
      <c r="H5" s="74"/>
    </row>
    <row r="6" spans="1:8" ht="12.75" customHeight="1" x14ac:dyDescent="0.25">
      <c r="A6" s="90"/>
      <c r="B6" s="73"/>
      <c r="C6" s="73"/>
      <c r="D6" s="73"/>
      <c r="E6" s="73"/>
      <c r="F6" s="73"/>
      <c r="G6" s="73"/>
      <c r="H6" s="73"/>
    </row>
    <row r="7" spans="1:8" ht="12.75" customHeight="1" x14ac:dyDescent="0.25">
      <c r="A7" s="90"/>
      <c r="B7" s="73"/>
      <c r="C7" s="73"/>
      <c r="D7" s="73"/>
      <c r="E7" s="73"/>
      <c r="F7" s="73"/>
      <c r="G7" s="73"/>
      <c r="H7" s="73"/>
    </row>
    <row r="8" spans="1:8" ht="12.75" customHeight="1" x14ac:dyDescent="0.25">
      <c r="A8" s="91" t="s">
        <v>114</v>
      </c>
      <c r="B8" s="73" t="s">
        <v>89</v>
      </c>
      <c r="C8" s="73"/>
      <c r="D8" s="73"/>
      <c r="E8" s="73"/>
      <c r="F8" s="73"/>
      <c r="G8" s="73"/>
      <c r="H8" s="76">
        <v>2</v>
      </c>
    </row>
    <row r="9" spans="1:8" ht="12.75" customHeight="1" x14ac:dyDescent="0.25">
      <c r="B9" s="73"/>
      <c r="C9" s="73"/>
      <c r="D9" s="73"/>
      <c r="E9" s="73"/>
      <c r="F9" s="73"/>
      <c r="G9" s="73"/>
      <c r="H9" s="76"/>
    </row>
    <row r="10" spans="1:8" ht="12.75" customHeight="1" x14ac:dyDescent="0.25">
      <c r="B10" s="73" t="s">
        <v>90</v>
      </c>
      <c r="C10" s="73"/>
      <c r="D10" s="73"/>
      <c r="E10" s="73"/>
      <c r="F10" s="73"/>
      <c r="G10" s="73"/>
      <c r="H10" s="76"/>
    </row>
    <row r="11" spans="1:8" ht="12.75" customHeight="1" x14ac:dyDescent="0.25">
      <c r="A11" s="91" t="s">
        <v>115</v>
      </c>
      <c r="B11" s="73" t="str">
        <f>+'Tab2'!A6&amp;" ……………………………………………"</f>
        <v>Figur 1. Antall meldte skader etter bransjer  ……………………………………………</v>
      </c>
      <c r="C11" s="73"/>
      <c r="D11" s="73"/>
      <c r="E11" s="73"/>
      <c r="F11" s="73"/>
      <c r="G11" s="73"/>
      <c r="H11" s="76">
        <v>4</v>
      </c>
    </row>
    <row r="12" spans="1:8" ht="12.75" customHeight="1" x14ac:dyDescent="0.25">
      <c r="B12" s="73" t="str">
        <f>+'Tab2'!A32&amp;" ……………………………"</f>
        <v>Figur 2. Antall meldte skader etter bransjer  ……………………………</v>
      </c>
      <c r="C12" s="73"/>
      <c r="D12" s="73"/>
      <c r="E12" s="73"/>
      <c r="F12" s="73"/>
      <c r="G12" s="73"/>
      <c r="H12" s="76">
        <v>4</v>
      </c>
    </row>
    <row r="13" spans="1:8" ht="12.75" customHeight="1" x14ac:dyDescent="0.25">
      <c r="B13" s="73" t="str">
        <f>+'Tab2'!I6&amp;"  ………………………………………………………………………………………………….."</f>
        <v>Figur 3. Anslått erstatning etter bransje, pr.   …………………………………………………………………………………………………..</v>
      </c>
      <c r="C13" s="73"/>
      <c r="D13" s="73"/>
      <c r="E13" s="73"/>
      <c r="F13" s="73"/>
      <c r="G13" s="73"/>
      <c r="H13" s="76">
        <v>5</v>
      </c>
    </row>
    <row r="14" spans="1:8" ht="12.75" customHeight="1" x14ac:dyDescent="0.25">
      <c r="B14" s="73" t="str">
        <f>+'Tab2'!I32&amp;"  ………………………………………………………………………………………………….."</f>
        <v>Figur 4. Vannskader pr. kvartal  …………………………………………………………………………………………………..</v>
      </c>
      <c r="C14" s="73"/>
      <c r="D14" s="73"/>
      <c r="E14" s="73"/>
      <c r="F14" s="73"/>
      <c r="G14" s="73"/>
      <c r="H14" s="76">
        <v>5</v>
      </c>
    </row>
    <row r="15" spans="1:8" ht="12.75" customHeight="1" x14ac:dyDescent="0.25">
      <c r="B15" s="73" t="str">
        <f>+'Tab2'!P6&amp;" ……………………………"</f>
        <v>Figur 5. Antall meldte skader i motorvogn kvartalsvis (i 1000) ……………………………</v>
      </c>
      <c r="C15" s="73"/>
      <c r="D15" s="73"/>
      <c r="E15" s="73"/>
      <c r="F15" s="73"/>
      <c r="G15" s="73"/>
      <c r="H15" s="76">
        <v>6</v>
      </c>
    </row>
    <row r="16" spans="1:8" ht="12.75" customHeight="1" x14ac:dyDescent="0.25">
      <c r="B16" s="73" t="str">
        <f>+'Tab2'!P32&amp;" ……………………………"</f>
        <v>Figur 6. Anslått erstatning etter skadetype, motorvogn  2022 ……………………………</v>
      </c>
      <c r="C16" s="73"/>
      <c r="D16" s="73"/>
      <c r="E16" s="73"/>
      <c r="F16" s="73"/>
      <c r="G16" s="73"/>
      <c r="H16" s="76">
        <v>6</v>
      </c>
    </row>
    <row r="17" spans="1:14" ht="12.75" customHeight="1" x14ac:dyDescent="0.25">
      <c r="B17" s="73" t="str">
        <f>+'Tab2'!W6&amp;" ……………………………………………………………"</f>
        <v>Figur 7. Antall meldte skader i de Brann-kombinerte bransjer etter skadetype  ……………………………………………………………</v>
      </c>
      <c r="C17" s="73"/>
      <c r="D17" s="73"/>
      <c r="E17" s="73"/>
      <c r="F17" s="73"/>
      <c r="G17" s="73"/>
      <c r="H17" s="76">
        <v>7</v>
      </c>
    </row>
    <row r="18" spans="1:14" ht="12.75" customHeight="1" x14ac:dyDescent="0.25">
      <c r="B18" s="73" t="str">
        <f>+'Tab2'!W32&amp;" ……………………………………………………………"</f>
        <v>Figur 8. Anslått erstatning i de Brann-kombinerte bransjer etter skadetype  ……………………………………………………………</v>
      </c>
      <c r="C18" s="73"/>
      <c r="D18" s="73"/>
      <c r="E18" s="73"/>
      <c r="F18" s="73"/>
      <c r="G18" s="73"/>
      <c r="H18" s="76">
        <v>7</v>
      </c>
    </row>
    <row r="19" spans="1:14" ht="12.75" customHeight="1" x14ac:dyDescent="0.25">
      <c r="B19" s="73" t="str">
        <f>+'Tab2'!AD6&amp;"  ………………………………………………………………………………………………….."</f>
        <v>Figur 9. Brannskader pr. kvartal  …………………………………………………………………………………………………..</v>
      </c>
      <c r="C19" s="73"/>
      <c r="D19" s="73"/>
      <c r="E19" s="73"/>
      <c r="F19" s="73"/>
      <c r="G19" s="73"/>
      <c r="H19" s="76">
        <v>8</v>
      </c>
    </row>
    <row r="20" spans="1:14" ht="12.75" customHeight="1" x14ac:dyDescent="0.25">
      <c r="B20" s="73" t="str">
        <f>+'Tab2'!AD32&amp;"  ………………………………………………………………………………………………….."</f>
        <v>Figur 10. Innbrudd, tyverier og ran pr. kvartal  …………………………………………………………………………………………………..</v>
      </c>
      <c r="C20" s="73"/>
      <c r="D20" s="73"/>
      <c r="E20" s="73"/>
      <c r="F20" s="73"/>
      <c r="G20" s="73"/>
      <c r="H20" s="76">
        <v>8</v>
      </c>
    </row>
    <row r="22" spans="1:14" ht="12.75" customHeight="1" x14ac:dyDescent="0.25">
      <c r="B22" s="73" t="s">
        <v>91</v>
      </c>
      <c r="C22" s="73"/>
      <c r="D22" s="73"/>
      <c r="E22" s="73"/>
      <c r="F22" s="73"/>
      <c r="G22" s="73"/>
      <c r="H22" s="76"/>
    </row>
    <row r="23" spans="1:14" ht="12.75" customHeight="1" x14ac:dyDescent="0.25">
      <c r="A23" s="91" t="s">
        <v>116</v>
      </c>
      <c r="B23" s="73" t="s">
        <v>131</v>
      </c>
      <c r="C23" s="73"/>
      <c r="D23" s="73"/>
      <c r="E23" s="73"/>
      <c r="F23" s="73"/>
      <c r="G23" s="73"/>
      <c r="H23" s="76">
        <v>9</v>
      </c>
    </row>
    <row r="24" spans="1:14" ht="12.75" customHeight="1" x14ac:dyDescent="0.25">
      <c r="A24" s="91" t="s">
        <v>117</v>
      </c>
      <c r="B24" s="73" t="s">
        <v>93</v>
      </c>
      <c r="C24" s="73"/>
      <c r="D24" s="73"/>
      <c r="E24" s="73"/>
      <c r="F24" s="73"/>
      <c r="G24" s="73"/>
      <c r="H24" s="76">
        <f>H23+1</f>
        <v>10</v>
      </c>
    </row>
    <row r="25" spans="1:14" ht="12.75" customHeight="1" x14ac:dyDescent="0.25">
      <c r="B25" s="73"/>
      <c r="C25" s="73"/>
      <c r="D25" s="73"/>
      <c r="E25" s="73"/>
      <c r="F25" s="73"/>
      <c r="G25" s="73"/>
      <c r="H25" s="76"/>
    </row>
    <row r="26" spans="1:14" ht="12.75" customHeight="1" x14ac:dyDescent="0.25">
      <c r="A26" s="91" t="s">
        <v>118</v>
      </c>
      <c r="B26" s="73" t="s">
        <v>132</v>
      </c>
      <c r="C26" s="73"/>
      <c r="D26" s="73"/>
      <c r="E26" s="73"/>
      <c r="F26" s="73"/>
      <c r="G26" s="73"/>
      <c r="H26" s="76">
        <f>+H24+1</f>
        <v>11</v>
      </c>
    </row>
    <row r="27" spans="1:14" ht="12.75" customHeight="1" x14ac:dyDescent="0.25">
      <c r="B27" s="73" t="s">
        <v>94</v>
      </c>
      <c r="C27" s="73"/>
      <c r="D27" s="73"/>
      <c r="E27" s="73"/>
      <c r="F27" s="73"/>
      <c r="G27" s="73"/>
      <c r="H27" s="76">
        <f>+H26</f>
        <v>11</v>
      </c>
      <c r="N27" s="77"/>
    </row>
    <row r="28" spans="1:14" ht="12.75" customHeight="1" x14ac:dyDescent="0.25">
      <c r="A28" s="91" t="s">
        <v>119</v>
      </c>
      <c r="B28" s="73" t="s">
        <v>133</v>
      </c>
      <c r="C28" s="73"/>
      <c r="D28" s="73"/>
      <c r="E28" s="73"/>
      <c r="F28" s="73"/>
      <c r="G28" s="73"/>
      <c r="H28" s="76">
        <f>+H26+1</f>
        <v>12</v>
      </c>
      <c r="N28" s="77"/>
    </row>
    <row r="29" spans="1:14" ht="12.75" customHeight="1" x14ac:dyDescent="0.25">
      <c r="B29" s="73" t="s">
        <v>95</v>
      </c>
      <c r="C29" s="73"/>
      <c r="D29" s="73"/>
      <c r="E29" s="73"/>
      <c r="F29" s="73"/>
      <c r="G29" s="73"/>
      <c r="H29" s="76">
        <f>+H28</f>
        <v>12</v>
      </c>
      <c r="N29" s="77"/>
    </row>
    <row r="30" spans="1:14" ht="12.75" customHeight="1" x14ac:dyDescent="0.25">
      <c r="B30" s="73"/>
      <c r="C30" s="73"/>
      <c r="D30" s="73"/>
      <c r="E30" s="73"/>
      <c r="F30" s="73"/>
      <c r="G30" s="73"/>
      <c r="H30" s="76"/>
      <c r="N30" s="77"/>
    </row>
    <row r="31" spans="1:14" ht="12.75" customHeight="1" x14ac:dyDescent="0.25">
      <c r="A31" s="91" t="s">
        <v>120</v>
      </c>
      <c r="B31" s="73" t="s">
        <v>134</v>
      </c>
      <c r="C31" s="73"/>
      <c r="D31" s="73"/>
      <c r="E31" s="73"/>
      <c r="F31" s="73"/>
      <c r="G31" s="73"/>
      <c r="H31" s="76">
        <f>+H29+1</f>
        <v>13</v>
      </c>
      <c r="N31" s="77"/>
    </row>
    <row r="32" spans="1:14" ht="12.75" customHeight="1" x14ac:dyDescent="0.25">
      <c r="B32" s="73" t="s">
        <v>96</v>
      </c>
      <c r="C32" s="73"/>
      <c r="D32" s="73"/>
      <c r="E32" s="73"/>
      <c r="F32" s="73"/>
      <c r="G32" s="73"/>
      <c r="H32" s="76">
        <f>+H31</f>
        <v>13</v>
      </c>
      <c r="N32" s="77"/>
    </row>
    <row r="33" spans="1:14" ht="12.75" customHeight="1" x14ac:dyDescent="0.25">
      <c r="A33" s="91" t="s">
        <v>121</v>
      </c>
      <c r="B33" s="73" t="s">
        <v>135</v>
      </c>
      <c r="C33" s="73"/>
      <c r="D33" s="73"/>
      <c r="E33" s="73"/>
      <c r="F33" s="73"/>
      <c r="G33" s="73"/>
      <c r="H33" s="76">
        <f>+H31+1</f>
        <v>14</v>
      </c>
      <c r="N33" s="77"/>
    </row>
    <row r="34" spans="1:14" ht="12.75" customHeight="1" x14ac:dyDescent="0.25">
      <c r="B34" s="73" t="s">
        <v>97</v>
      </c>
      <c r="C34" s="73"/>
      <c r="D34" s="73"/>
      <c r="E34" s="73"/>
      <c r="F34" s="73"/>
      <c r="G34" s="73"/>
      <c r="H34" s="76">
        <f>+H33</f>
        <v>14</v>
      </c>
      <c r="N34" s="77"/>
    </row>
    <row r="35" spans="1:14" ht="12.75" customHeight="1" x14ac:dyDescent="0.25">
      <c r="A35" s="91" t="s">
        <v>122</v>
      </c>
      <c r="B35" s="73" t="s">
        <v>136</v>
      </c>
      <c r="C35" s="73"/>
      <c r="D35" s="73"/>
      <c r="E35" s="73"/>
      <c r="F35" s="73"/>
      <c r="G35" s="73"/>
      <c r="H35" s="76">
        <f>+H34+1</f>
        <v>15</v>
      </c>
      <c r="N35" s="77"/>
    </row>
    <row r="36" spans="1:14" ht="12.75" customHeight="1" x14ac:dyDescent="0.25">
      <c r="B36" s="73" t="s">
        <v>100</v>
      </c>
      <c r="C36" s="73"/>
      <c r="D36" s="73"/>
      <c r="E36" s="73"/>
      <c r="F36" s="73"/>
      <c r="G36" s="73"/>
      <c r="H36" s="76">
        <f>+H35</f>
        <v>15</v>
      </c>
      <c r="N36" s="77"/>
    </row>
    <row r="37" spans="1:14" ht="12.75" customHeight="1" x14ac:dyDescent="0.25">
      <c r="A37" s="91" t="s">
        <v>123</v>
      </c>
      <c r="B37" s="73" t="s">
        <v>137</v>
      </c>
      <c r="C37" s="73"/>
      <c r="D37" s="73"/>
      <c r="E37" s="73"/>
      <c r="F37" s="73"/>
      <c r="G37" s="73"/>
      <c r="H37" s="76">
        <f>+H36+1</f>
        <v>16</v>
      </c>
      <c r="N37" s="77"/>
    </row>
    <row r="38" spans="1:14" ht="12.75" customHeight="1" x14ac:dyDescent="0.25">
      <c r="B38" s="73" t="s">
        <v>101</v>
      </c>
      <c r="C38" s="73"/>
      <c r="D38" s="73"/>
      <c r="E38" s="73"/>
      <c r="F38" s="73"/>
      <c r="G38" s="73"/>
      <c r="H38" s="76">
        <f>+H37</f>
        <v>16</v>
      </c>
      <c r="N38" s="77"/>
    </row>
    <row r="39" spans="1:14" ht="12.75" customHeight="1" x14ac:dyDescent="0.25">
      <c r="B39" s="73"/>
      <c r="C39" s="73"/>
      <c r="D39" s="73"/>
      <c r="E39" s="73"/>
      <c r="F39" s="73"/>
      <c r="G39" s="73"/>
      <c r="H39" s="76"/>
      <c r="N39" s="77"/>
    </row>
    <row r="40" spans="1:14" ht="12.75" customHeight="1" x14ac:dyDescent="0.25">
      <c r="A40" s="91" t="s">
        <v>124</v>
      </c>
      <c r="B40" s="73" t="s">
        <v>166</v>
      </c>
      <c r="C40" s="73"/>
      <c r="D40" s="73"/>
      <c r="E40" s="73"/>
      <c r="F40" s="73"/>
      <c r="G40" s="73"/>
      <c r="H40" s="76">
        <f>+H38+1</f>
        <v>17</v>
      </c>
      <c r="N40" s="77"/>
    </row>
    <row r="41" spans="1:14" ht="12.75" customHeight="1" x14ac:dyDescent="0.25">
      <c r="B41" s="73" t="s">
        <v>167</v>
      </c>
      <c r="C41" s="73"/>
      <c r="D41" s="73"/>
      <c r="E41" s="73"/>
      <c r="F41" s="73"/>
      <c r="G41" s="73"/>
      <c r="H41" s="76">
        <f>+H40</f>
        <v>17</v>
      </c>
      <c r="N41" s="77"/>
    </row>
    <row r="42" spans="1:14" ht="12.75" customHeight="1" x14ac:dyDescent="0.25">
      <c r="B42" s="73"/>
      <c r="C42" s="73"/>
      <c r="D42" s="73"/>
      <c r="E42" s="73"/>
      <c r="F42" s="73"/>
      <c r="G42" s="73"/>
      <c r="H42" s="76"/>
      <c r="N42" s="77"/>
    </row>
    <row r="43" spans="1:14" ht="12.75" customHeight="1" x14ac:dyDescent="0.25">
      <c r="A43" s="91" t="s">
        <v>172</v>
      </c>
      <c r="B43" s="73" t="s">
        <v>138</v>
      </c>
      <c r="H43" s="76">
        <f>+H40+1</f>
        <v>18</v>
      </c>
      <c r="N43" s="77"/>
    </row>
    <row r="44" spans="1:14" ht="12.75" customHeight="1" x14ac:dyDescent="0.25">
      <c r="B44" s="73" t="s">
        <v>104</v>
      </c>
      <c r="H44" s="76">
        <f>+H43</f>
        <v>18</v>
      </c>
      <c r="N44" s="77"/>
    </row>
    <row r="45" spans="1:14" ht="12.75" customHeight="1" x14ac:dyDescent="0.25">
      <c r="A45" s="91" t="s">
        <v>125</v>
      </c>
      <c r="B45" s="73" t="s">
        <v>139</v>
      </c>
      <c r="H45" s="76">
        <f>+H43+1</f>
        <v>19</v>
      </c>
      <c r="N45" s="77"/>
    </row>
    <row r="46" spans="1:14" ht="12.75" customHeight="1" x14ac:dyDescent="0.25">
      <c r="B46" s="73" t="s">
        <v>102</v>
      </c>
      <c r="H46" s="76">
        <f>+H45</f>
        <v>19</v>
      </c>
      <c r="N46" s="77"/>
    </row>
    <row r="47" spans="1:14" ht="12.75" customHeight="1" x14ac:dyDescent="0.25">
      <c r="A47" s="91" t="s">
        <v>126</v>
      </c>
      <c r="B47" s="73" t="s">
        <v>140</v>
      </c>
      <c r="H47" s="76">
        <f>+H46+1</f>
        <v>20</v>
      </c>
      <c r="N47" s="77"/>
    </row>
    <row r="48" spans="1:14" ht="12.75" customHeight="1" x14ac:dyDescent="0.25">
      <c r="B48" s="73" t="s">
        <v>103</v>
      </c>
      <c r="H48" s="76">
        <f>H47</f>
        <v>20</v>
      </c>
      <c r="N48" s="77"/>
    </row>
    <row r="49" spans="1:14" ht="12.75" customHeight="1" x14ac:dyDescent="0.25">
      <c r="A49" s="91"/>
      <c r="B49" s="73"/>
      <c r="C49" s="73"/>
      <c r="D49" s="73"/>
      <c r="E49" s="73"/>
      <c r="F49" s="73"/>
      <c r="G49" s="73"/>
      <c r="H49" s="76"/>
      <c r="N49" s="77"/>
    </row>
    <row r="50" spans="1:14" ht="12.75" customHeight="1" x14ac:dyDescent="0.25">
      <c r="A50" s="91"/>
      <c r="B50" s="73"/>
      <c r="C50" s="73"/>
      <c r="D50" s="73"/>
      <c r="E50" s="73"/>
      <c r="F50" s="73"/>
      <c r="G50" s="73"/>
      <c r="H50" s="76"/>
      <c r="N50" s="77"/>
    </row>
    <row r="51" spans="1:14" ht="12.75" customHeight="1" x14ac:dyDescent="0.25">
      <c r="A51" s="91"/>
      <c r="B51" s="73"/>
      <c r="C51" s="73"/>
      <c r="D51" s="73"/>
      <c r="E51" s="73"/>
      <c r="F51" s="73"/>
      <c r="G51" s="73"/>
      <c r="H51" s="76"/>
      <c r="N51" s="77"/>
    </row>
    <row r="52" spans="1:14" ht="12.75" customHeight="1" x14ac:dyDescent="0.25">
      <c r="A52" s="91"/>
      <c r="B52" s="73"/>
      <c r="C52" s="73"/>
      <c r="D52" s="73"/>
      <c r="E52" s="73"/>
      <c r="F52" s="73"/>
      <c r="G52" s="73"/>
      <c r="H52" s="76"/>
      <c r="N52" s="77"/>
    </row>
    <row r="53" spans="1:14" ht="12.75" customHeight="1" x14ac:dyDescent="0.25">
      <c r="A53" s="91"/>
      <c r="B53" s="73"/>
      <c r="C53" s="73"/>
      <c r="D53" s="73"/>
      <c r="E53" s="73"/>
      <c r="F53" s="73"/>
      <c r="G53" s="73"/>
      <c r="H53" s="76"/>
      <c r="N53" s="77"/>
    </row>
    <row r="54" spans="1:14" ht="12.75" customHeight="1" x14ac:dyDescent="0.25">
      <c r="A54" s="91"/>
      <c r="B54" s="73"/>
      <c r="C54" s="73"/>
      <c r="D54" s="73"/>
      <c r="E54" s="73"/>
      <c r="F54" s="73"/>
      <c r="G54" s="73"/>
      <c r="H54" s="76"/>
      <c r="N54" s="77"/>
    </row>
    <row r="55" spans="1:14" ht="12.75" customHeight="1" x14ac:dyDescent="0.25">
      <c r="A55" s="91"/>
      <c r="B55" s="73"/>
      <c r="C55" s="73"/>
      <c r="D55" s="73"/>
      <c r="E55" s="73"/>
      <c r="F55" s="73"/>
      <c r="G55" s="73"/>
      <c r="H55" s="76"/>
      <c r="N55" s="77"/>
    </row>
    <row r="56" spans="1:14" ht="12.75" customHeight="1" x14ac:dyDescent="0.25">
      <c r="A56" s="91"/>
      <c r="B56" s="73"/>
      <c r="C56" s="73"/>
      <c r="D56" s="73"/>
      <c r="E56" s="73"/>
      <c r="F56" s="73"/>
      <c r="G56" s="73"/>
      <c r="H56" s="76"/>
      <c r="N56" s="77"/>
    </row>
    <row r="57" spans="1:14" ht="12.75" customHeight="1" x14ac:dyDescent="0.25">
      <c r="A57" s="91"/>
      <c r="B57" s="73"/>
      <c r="C57" s="73"/>
      <c r="D57" s="73"/>
      <c r="E57" s="73"/>
      <c r="F57" s="73"/>
      <c r="G57" s="73"/>
      <c r="H57" s="76"/>
      <c r="N57" s="77"/>
    </row>
    <row r="58" spans="1:14" ht="12.75" customHeight="1" x14ac:dyDescent="0.25">
      <c r="B58" s="73"/>
      <c r="C58" s="73"/>
      <c r="D58" s="73"/>
      <c r="E58" s="73"/>
      <c r="F58" s="73"/>
      <c r="G58" s="73"/>
      <c r="H58" s="76"/>
      <c r="N58" s="77"/>
    </row>
    <row r="59" spans="1:14" ht="12.75" customHeight="1" x14ac:dyDescent="0.2">
      <c r="B59" s="48"/>
      <c r="C59" s="49"/>
      <c r="D59" s="49"/>
      <c r="E59" s="97"/>
      <c r="F59" s="49"/>
      <c r="G59" s="50"/>
      <c r="H59" s="51"/>
      <c r="N59" s="77"/>
    </row>
    <row r="60" spans="1:14" ht="12.75" customHeight="1" x14ac:dyDescent="0.2">
      <c r="B60" s="52"/>
      <c r="C60" s="52"/>
      <c r="D60" s="52"/>
      <c r="E60" s="52"/>
      <c r="F60" s="52"/>
      <c r="G60" s="52"/>
      <c r="H60" s="52"/>
      <c r="I60" s="77"/>
    </row>
    <row r="61" spans="1:14" ht="12.75" customHeight="1" x14ac:dyDescent="0.2">
      <c r="B61" s="54" t="str">
        <f>+B123</f>
        <v>Finans Norge / Skadeforsikringsstatistikk</v>
      </c>
      <c r="H61" s="202">
        <v>1</v>
      </c>
      <c r="I61" s="77"/>
    </row>
    <row r="62" spans="1:14" ht="12.75" customHeight="1" x14ac:dyDescent="0.2">
      <c r="B62" s="54" t="str">
        <f>+B124</f>
        <v>Skadestatistikk for landbasert forsikring 1. kvartal 2022</v>
      </c>
      <c r="H62" s="203"/>
      <c r="I62" s="77"/>
    </row>
    <row r="63" spans="1:14" ht="12.75" customHeight="1" x14ac:dyDescent="0.2">
      <c r="I63" s="77"/>
    </row>
    <row r="64" spans="1:14" ht="12.75" customHeight="1" x14ac:dyDescent="0.2">
      <c r="I64" s="77"/>
    </row>
    <row r="66" spans="1:13" ht="12.75" customHeight="1" x14ac:dyDescent="0.25">
      <c r="A66" s="91" t="s">
        <v>127</v>
      </c>
      <c r="B66" s="73" t="s">
        <v>218</v>
      </c>
      <c r="H66" s="76">
        <f>H48+1</f>
        <v>21</v>
      </c>
    </row>
    <row r="67" spans="1:13" ht="12.75" customHeight="1" x14ac:dyDescent="0.25">
      <c r="B67" s="73" t="s">
        <v>219</v>
      </c>
      <c r="H67" s="76">
        <f>H66</f>
        <v>21</v>
      </c>
    </row>
    <row r="68" spans="1:13" ht="12.75" customHeight="1" x14ac:dyDescent="0.25">
      <c r="A68" s="91" t="s">
        <v>128</v>
      </c>
      <c r="B68" s="73" t="s">
        <v>220</v>
      </c>
      <c r="H68" s="76">
        <f>H67+1</f>
        <v>22</v>
      </c>
    </row>
    <row r="69" spans="1:13" ht="12.75" customHeight="1" x14ac:dyDescent="0.25">
      <c r="B69" s="73" t="s">
        <v>221</v>
      </c>
      <c r="H69" s="76">
        <f>H68</f>
        <v>22</v>
      </c>
    </row>
    <row r="70" spans="1:13" ht="12.75" customHeight="1" x14ac:dyDescent="0.25">
      <c r="A70" s="91" t="s">
        <v>129</v>
      </c>
      <c r="B70" s="73" t="s">
        <v>222</v>
      </c>
      <c r="H70" s="76">
        <f>H69+1</f>
        <v>23</v>
      </c>
      <c r="J70"/>
      <c r="K70"/>
      <c r="L70"/>
      <c r="M70"/>
    </row>
    <row r="71" spans="1:13" ht="12.75" customHeight="1" x14ac:dyDescent="0.25">
      <c r="B71" s="73" t="s">
        <v>223</v>
      </c>
      <c r="H71" s="76">
        <f>H70</f>
        <v>23</v>
      </c>
      <c r="J71"/>
      <c r="K71" s="71"/>
      <c r="L71" s="72"/>
      <c r="M71" s="72"/>
    </row>
    <row r="72" spans="1:13" ht="12.75" customHeight="1" x14ac:dyDescent="0.2">
      <c r="J72"/>
      <c r="K72" s="70"/>
      <c r="L72"/>
      <c r="M72"/>
    </row>
    <row r="73" spans="1:13" ht="12.75" customHeight="1" x14ac:dyDescent="0.25">
      <c r="A73" s="91" t="s">
        <v>130</v>
      </c>
      <c r="B73" s="73" t="s">
        <v>141</v>
      </c>
      <c r="C73" s="73"/>
      <c r="D73" s="73"/>
      <c r="E73" s="73"/>
      <c r="F73" s="73"/>
      <c r="G73" s="73"/>
      <c r="H73" s="76">
        <f>+H71+1</f>
        <v>24</v>
      </c>
      <c r="J73"/>
      <c r="K73" s="69"/>
      <c r="L73" s="69"/>
      <c r="M73" s="69"/>
    </row>
    <row r="74" spans="1:13" ht="12.75" customHeight="1" x14ac:dyDescent="0.25">
      <c r="B74" s="73" t="s">
        <v>107</v>
      </c>
      <c r="C74" s="73"/>
      <c r="D74" s="73"/>
      <c r="E74" s="73"/>
      <c r="F74" s="73"/>
      <c r="G74" s="73"/>
      <c r="H74" s="76">
        <f>+H73</f>
        <v>24</v>
      </c>
      <c r="J74"/>
      <c r="K74" s="69"/>
      <c r="L74" s="69"/>
      <c r="M74" s="69"/>
    </row>
    <row r="75" spans="1:13" ht="12.75" customHeight="1" x14ac:dyDescent="0.25">
      <c r="A75" s="91" t="s">
        <v>224</v>
      </c>
      <c r="B75" s="73" t="s">
        <v>142</v>
      </c>
      <c r="C75" s="73"/>
      <c r="D75" s="73"/>
      <c r="E75" s="73"/>
      <c r="F75" s="73"/>
      <c r="G75" s="73"/>
      <c r="H75" s="76">
        <f>+H74+1</f>
        <v>25</v>
      </c>
      <c r="J75"/>
      <c r="K75" s="69"/>
      <c r="L75" s="69"/>
      <c r="M75" s="69"/>
    </row>
    <row r="76" spans="1:13" ht="12.75" customHeight="1" x14ac:dyDescent="0.25">
      <c r="B76" s="73" t="s">
        <v>105</v>
      </c>
      <c r="C76" s="73"/>
      <c r="D76" s="73"/>
      <c r="E76" s="73"/>
      <c r="F76" s="73"/>
      <c r="G76" s="73"/>
      <c r="H76" s="76">
        <f>+H75</f>
        <v>25</v>
      </c>
      <c r="J76"/>
      <c r="K76" s="69"/>
      <c r="L76" s="69"/>
      <c r="M76" s="69"/>
    </row>
    <row r="77" spans="1:13" ht="12.75" customHeight="1" x14ac:dyDescent="0.25">
      <c r="A77" s="91" t="s">
        <v>225</v>
      </c>
      <c r="B77" s="73" t="s">
        <v>143</v>
      </c>
      <c r="C77" s="73"/>
      <c r="D77" s="73"/>
      <c r="E77" s="73"/>
      <c r="F77" s="73"/>
      <c r="G77" s="73"/>
      <c r="H77" s="76">
        <f>+H76+1</f>
        <v>26</v>
      </c>
      <c r="J77"/>
      <c r="K77"/>
      <c r="L77"/>
      <c r="M77"/>
    </row>
    <row r="78" spans="1:13" ht="12.75" customHeight="1" x14ac:dyDescent="0.25">
      <c r="B78" s="73" t="s">
        <v>106</v>
      </c>
      <c r="C78" s="73"/>
      <c r="D78" s="73"/>
      <c r="E78" s="73"/>
      <c r="F78" s="73"/>
      <c r="G78" s="73"/>
      <c r="H78" s="76">
        <f>+H77</f>
        <v>26</v>
      </c>
      <c r="J78"/>
      <c r="K78"/>
      <c r="L78"/>
      <c r="M78"/>
    </row>
    <row r="79" spans="1:13" ht="12.75" customHeight="1" x14ac:dyDescent="0.2">
      <c r="B79"/>
      <c r="C79"/>
      <c r="D79"/>
      <c r="E79"/>
      <c r="F79"/>
      <c r="G79"/>
      <c r="I79"/>
      <c r="J79"/>
      <c r="K79"/>
      <c r="L79"/>
      <c r="M79"/>
    </row>
    <row r="80" spans="1:13" ht="12.75" customHeight="1" x14ac:dyDescent="0.25">
      <c r="A80" s="91" t="s">
        <v>226</v>
      </c>
      <c r="B80" s="73" t="s">
        <v>92</v>
      </c>
      <c r="C80" s="73"/>
      <c r="D80" s="73"/>
      <c r="E80" s="73"/>
      <c r="F80" s="73"/>
      <c r="G80" s="73"/>
      <c r="H80" s="76">
        <f>+H78+1</f>
        <v>27</v>
      </c>
      <c r="I80"/>
      <c r="J80"/>
      <c r="K80"/>
      <c r="L80"/>
      <c r="M80"/>
    </row>
    <row r="81" spans="2:13" ht="12.75" customHeight="1" x14ac:dyDescent="0.2">
      <c r="C81"/>
      <c r="D81"/>
      <c r="E81"/>
      <c r="F81"/>
      <c r="G81"/>
      <c r="I81" s="68"/>
      <c r="J81"/>
      <c r="K81"/>
      <c r="L81"/>
      <c r="M81"/>
    </row>
    <row r="82" spans="2:13" ht="12.75" customHeight="1" x14ac:dyDescent="0.2">
      <c r="C82"/>
      <c r="D82"/>
      <c r="E82"/>
      <c r="F82"/>
      <c r="G82"/>
      <c r="I82" s="68"/>
      <c r="J82"/>
      <c r="K82"/>
      <c r="L82"/>
      <c r="M82"/>
    </row>
    <row r="83" spans="2:13" ht="12.75" customHeight="1" x14ac:dyDescent="0.2">
      <c r="C83"/>
      <c r="D83"/>
      <c r="E83"/>
      <c r="F83"/>
      <c r="G83"/>
      <c r="I83" s="68"/>
      <c r="J83"/>
      <c r="K83"/>
      <c r="L83"/>
      <c r="M83"/>
    </row>
    <row r="84" spans="2:13" ht="12.75" customHeight="1" x14ac:dyDescent="0.2">
      <c r="C84"/>
      <c r="D84"/>
      <c r="E84"/>
      <c r="F84"/>
      <c r="G84"/>
      <c r="I84" s="68"/>
      <c r="J84"/>
      <c r="K84"/>
      <c r="L84"/>
      <c r="M84"/>
    </row>
    <row r="85" spans="2:13" ht="12.75" customHeight="1" x14ac:dyDescent="0.2">
      <c r="C85"/>
      <c r="D85"/>
      <c r="E85"/>
      <c r="F85"/>
      <c r="G85"/>
      <c r="I85" s="68"/>
      <c r="J85"/>
      <c r="K85"/>
      <c r="L85"/>
      <c r="M85"/>
    </row>
    <row r="86" spans="2:13" ht="12.75" customHeight="1" x14ac:dyDescent="0.2">
      <c r="C86"/>
      <c r="D86"/>
      <c r="E86"/>
      <c r="F86"/>
      <c r="G86"/>
      <c r="I86" s="68"/>
      <c r="J86"/>
      <c r="K86"/>
      <c r="L86"/>
      <c r="M86"/>
    </row>
    <row r="87" spans="2:13" ht="12.75" customHeight="1" x14ac:dyDescent="0.2">
      <c r="C87"/>
      <c r="D87"/>
      <c r="E87"/>
      <c r="F87"/>
      <c r="G87"/>
      <c r="I87" s="68"/>
      <c r="J87"/>
      <c r="K87"/>
      <c r="L87"/>
      <c r="M87"/>
    </row>
    <row r="88" spans="2:13" ht="12.75" customHeight="1" x14ac:dyDescent="0.2">
      <c r="C88"/>
      <c r="D88"/>
      <c r="E88"/>
      <c r="F88"/>
      <c r="G88"/>
      <c r="I88" s="68"/>
      <c r="J88"/>
      <c r="K88"/>
      <c r="L88"/>
      <c r="M88"/>
    </row>
    <row r="89" spans="2:13" ht="12.75" customHeight="1" x14ac:dyDescent="0.2">
      <c r="C89"/>
      <c r="D89"/>
      <c r="E89"/>
      <c r="F89"/>
      <c r="G89"/>
      <c r="I89"/>
      <c r="J89"/>
      <c r="K89"/>
      <c r="L89"/>
      <c r="M89"/>
    </row>
    <row r="90" spans="2:13" ht="12.75" customHeight="1" x14ac:dyDescent="0.2">
      <c r="C90"/>
      <c r="D90"/>
      <c r="E90"/>
      <c r="F90"/>
      <c r="G90"/>
      <c r="I90"/>
      <c r="J90"/>
      <c r="K90"/>
      <c r="L90"/>
      <c r="M90"/>
    </row>
    <row r="91" spans="2:13" ht="12.75" customHeight="1" x14ac:dyDescent="0.25">
      <c r="B91" s="88"/>
      <c r="C91"/>
      <c r="D91"/>
      <c r="E91"/>
      <c r="F91"/>
      <c r="G91"/>
      <c r="I91"/>
      <c r="J91"/>
      <c r="K91"/>
      <c r="L91"/>
      <c r="M91"/>
    </row>
    <row r="92" spans="2:13" ht="12.75" customHeight="1" x14ac:dyDescent="0.2">
      <c r="C92"/>
      <c r="D92"/>
      <c r="E92"/>
      <c r="F92"/>
      <c r="G92"/>
      <c r="I92"/>
      <c r="J92"/>
      <c r="K92"/>
      <c r="L92"/>
      <c r="M92"/>
    </row>
    <row r="93" spans="2:13" ht="12.75" customHeight="1" x14ac:dyDescent="0.2">
      <c r="C93"/>
      <c r="D93"/>
      <c r="E93"/>
      <c r="F93"/>
      <c r="G93"/>
      <c r="I93"/>
      <c r="J93"/>
      <c r="K93"/>
      <c r="L93"/>
      <c r="M93"/>
    </row>
    <row r="94" spans="2:13" ht="12.75" customHeight="1" x14ac:dyDescent="0.2">
      <c r="B94"/>
      <c r="C94"/>
      <c r="D94"/>
      <c r="E94"/>
      <c r="F94"/>
      <c r="G94"/>
      <c r="I94"/>
      <c r="J94"/>
      <c r="K94"/>
      <c r="L94"/>
      <c r="M94"/>
    </row>
    <row r="95" spans="2:13" ht="12.75" customHeight="1" x14ac:dyDescent="0.2">
      <c r="B95"/>
      <c r="C95"/>
      <c r="D95"/>
      <c r="E95"/>
      <c r="F95"/>
      <c r="G95"/>
      <c r="I95"/>
      <c r="J95"/>
      <c r="K95"/>
      <c r="L95"/>
      <c r="M95"/>
    </row>
    <row r="96" spans="2:13" ht="12.75" customHeight="1" x14ac:dyDescent="0.2">
      <c r="C96"/>
      <c r="D96"/>
      <c r="E96"/>
      <c r="F96"/>
      <c r="G96"/>
      <c r="I96"/>
      <c r="J96"/>
      <c r="K96"/>
      <c r="L96"/>
      <c r="M96"/>
    </row>
    <row r="97" spans="2:13" ht="12.75" customHeight="1" x14ac:dyDescent="0.2">
      <c r="C97"/>
      <c r="D97"/>
      <c r="E97"/>
      <c r="F97"/>
      <c r="G97"/>
      <c r="I97"/>
      <c r="J97"/>
      <c r="K97"/>
      <c r="L97"/>
      <c r="M97"/>
    </row>
    <row r="98" spans="2:13" ht="12.75" customHeight="1" x14ac:dyDescent="0.2">
      <c r="B98"/>
      <c r="C98"/>
      <c r="D98"/>
      <c r="E98"/>
      <c r="F98"/>
      <c r="G98"/>
      <c r="I98"/>
      <c r="J98"/>
      <c r="K98"/>
      <c r="L98"/>
      <c r="M98"/>
    </row>
    <row r="99" spans="2:13" ht="12.75" customHeight="1" x14ac:dyDescent="0.2">
      <c r="C99"/>
      <c r="D99"/>
      <c r="E99"/>
      <c r="F99"/>
      <c r="G99"/>
      <c r="I99"/>
      <c r="J99"/>
      <c r="K99"/>
      <c r="L99"/>
      <c r="M99"/>
    </row>
    <row r="100" spans="2:13" ht="12.75" customHeight="1" x14ac:dyDescent="0.2">
      <c r="C100"/>
      <c r="D100"/>
      <c r="E100"/>
      <c r="F100"/>
      <c r="G100"/>
      <c r="I100"/>
      <c r="J100"/>
      <c r="K100"/>
      <c r="L100"/>
      <c r="M100"/>
    </row>
    <row r="101" spans="2:13" ht="12.75" customHeight="1" x14ac:dyDescent="0.2">
      <c r="B101"/>
      <c r="C101"/>
      <c r="D101"/>
      <c r="E101"/>
      <c r="F101"/>
      <c r="G101"/>
      <c r="I101"/>
      <c r="J101"/>
      <c r="K101"/>
      <c r="L101"/>
      <c r="M101"/>
    </row>
    <row r="102" spans="2:13" ht="12.75" customHeight="1" x14ac:dyDescent="0.2">
      <c r="B102"/>
      <c r="C102"/>
      <c r="D102"/>
      <c r="E102"/>
      <c r="F102"/>
      <c r="G102"/>
      <c r="I102"/>
      <c r="J102"/>
      <c r="K102"/>
      <c r="L102"/>
      <c r="M102"/>
    </row>
    <row r="103" spans="2:13" ht="12.75" customHeight="1" x14ac:dyDescent="0.2">
      <c r="B103"/>
      <c r="C103"/>
      <c r="D103"/>
      <c r="E103"/>
      <c r="F103"/>
      <c r="G103"/>
      <c r="I103"/>
      <c r="J103"/>
      <c r="K103"/>
      <c r="L103"/>
      <c r="M103"/>
    </row>
    <row r="104" spans="2:13" ht="12.75" customHeight="1" x14ac:dyDescent="0.2">
      <c r="B104"/>
      <c r="C104"/>
      <c r="D104"/>
      <c r="E104"/>
      <c r="F104"/>
      <c r="G104"/>
      <c r="I104"/>
      <c r="J104"/>
      <c r="K104"/>
      <c r="L104"/>
      <c r="M104"/>
    </row>
    <row r="105" spans="2:13" ht="12.75" customHeight="1" x14ac:dyDescent="0.2">
      <c r="B105"/>
      <c r="C105"/>
      <c r="D105"/>
      <c r="E105"/>
      <c r="F105"/>
      <c r="G105"/>
      <c r="I105"/>
      <c r="J105"/>
      <c r="K105"/>
      <c r="L105"/>
      <c r="M105"/>
    </row>
    <row r="106" spans="2:13" ht="12.75" customHeight="1" x14ac:dyDescent="0.2">
      <c r="B106"/>
      <c r="C106"/>
      <c r="D106"/>
      <c r="E106"/>
      <c r="F106"/>
      <c r="G106"/>
      <c r="I106"/>
      <c r="J106"/>
      <c r="K106"/>
      <c r="L106"/>
      <c r="M106"/>
    </row>
    <row r="107" spans="2:13" ht="12.75" customHeight="1" x14ac:dyDescent="0.2">
      <c r="B107"/>
      <c r="C107"/>
      <c r="D107"/>
      <c r="E107"/>
      <c r="F107"/>
      <c r="G107"/>
      <c r="I107"/>
      <c r="J107"/>
      <c r="K107"/>
      <c r="L107"/>
      <c r="M107"/>
    </row>
    <row r="108" spans="2:13" ht="12.75" customHeight="1" x14ac:dyDescent="0.2">
      <c r="B108"/>
      <c r="C108"/>
      <c r="D108"/>
      <c r="E108"/>
      <c r="F108"/>
      <c r="G108"/>
      <c r="I108"/>
      <c r="J108"/>
      <c r="K108"/>
      <c r="L108"/>
      <c r="M108"/>
    </row>
    <row r="109" spans="2:13" ht="12.75" customHeight="1" x14ac:dyDescent="0.2">
      <c r="B109"/>
      <c r="C109"/>
      <c r="D109"/>
      <c r="E109"/>
      <c r="F109"/>
      <c r="G109"/>
      <c r="I109"/>
      <c r="J109"/>
      <c r="K109"/>
      <c r="L109"/>
      <c r="M109"/>
    </row>
    <row r="110" spans="2:13" ht="12.75" customHeight="1" x14ac:dyDescent="0.2">
      <c r="B110"/>
      <c r="C110"/>
      <c r="D110"/>
      <c r="E110"/>
      <c r="F110"/>
      <c r="G110"/>
      <c r="I110"/>
      <c r="J110"/>
      <c r="K110"/>
      <c r="L110"/>
      <c r="M110"/>
    </row>
    <row r="111" spans="2:13" ht="12.75" customHeight="1" x14ac:dyDescent="0.2">
      <c r="B111"/>
      <c r="C111"/>
      <c r="D111"/>
      <c r="E111"/>
      <c r="F111"/>
      <c r="G111"/>
      <c r="I111"/>
      <c r="J111"/>
      <c r="K111"/>
      <c r="L111"/>
      <c r="M111"/>
    </row>
    <row r="112" spans="2:13" ht="12.75" customHeight="1" x14ac:dyDescent="0.2">
      <c r="B112"/>
      <c r="C112"/>
      <c r="D112"/>
      <c r="E112"/>
      <c r="F112"/>
      <c r="G112"/>
      <c r="I112"/>
      <c r="J112"/>
      <c r="K112"/>
      <c r="L112"/>
      <c r="M112"/>
    </row>
    <row r="113" spans="2:13" ht="12.75" customHeight="1" x14ac:dyDescent="0.2">
      <c r="B113"/>
      <c r="C113"/>
      <c r="D113"/>
      <c r="E113"/>
      <c r="F113"/>
      <c r="G113"/>
      <c r="I113"/>
      <c r="J113"/>
      <c r="K113"/>
      <c r="L113"/>
      <c r="M113"/>
    </row>
    <row r="114" spans="2:13" ht="12.75" customHeight="1" x14ac:dyDescent="0.2">
      <c r="B114"/>
      <c r="C114"/>
      <c r="D114"/>
      <c r="E114"/>
      <c r="F114"/>
      <c r="G114"/>
      <c r="I114"/>
      <c r="J114"/>
      <c r="K114"/>
      <c r="L114"/>
      <c r="M114"/>
    </row>
    <row r="115" spans="2:13" ht="12.75" customHeight="1" x14ac:dyDescent="0.2">
      <c r="B115"/>
      <c r="C115"/>
      <c r="D115"/>
      <c r="E115"/>
      <c r="F115"/>
      <c r="G115"/>
      <c r="L115"/>
    </row>
    <row r="116" spans="2:13" ht="12.75" customHeight="1" x14ac:dyDescent="0.2">
      <c r="B116"/>
      <c r="C116"/>
      <c r="D116"/>
      <c r="E116"/>
      <c r="F116"/>
      <c r="G116"/>
      <c r="L116"/>
    </row>
    <row r="117" spans="2:13" ht="12.75" customHeight="1" x14ac:dyDescent="0.2">
      <c r="B117"/>
      <c r="C117"/>
      <c r="D117"/>
      <c r="E117"/>
      <c r="F117"/>
      <c r="G117"/>
      <c r="I117"/>
      <c r="J117"/>
      <c r="K117"/>
      <c r="L117"/>
    </row>
    <row r="118" spans="2:13" ht="12.75" customHeight="1" x14ac:dyDescent="0.2">
      <c r="B118"/>
      <c r="C118"/>
      <c r="D118"/>
      <c r="E118"/>
      <c r="F118"/>
      <c r="G118"/>
      <c r="I118"/>
      <c r="J118"/>
      <c r="K118"/>
      <c r="L118"/>
    </row>
    <row r="119" spans="2:13" ht="12.75" customHeight="1" x14ac:dyDescent="0.2">
      <c r="B119"/>
      <c r="C119"/>
      <c r="D119"/>
      <c r="E119"/>
      <c r="F119"/>
      <c r="G119"/>
      <c r="I119"/>
      <c r="J119"/>
      <c r="K119"/>
      <c r="L119"/>
    </row>
    <row r="120" spans="2:13" ht="12.75" customHeight="1" x14ac:dyDescent="0.2">
      <c r="B120"/>
      <c r="C120"/>
      <c r="D120"/>
      <c r="E120"/>
      <c r="F120"/>
      <c r="G120"/>
      <c r="I120"/>
      <c r="J120"/>
      <c r="K120"/>
      <c r="L120"/>
    </row>
    <row r="121" spans="2:13" ht="12.75" customHeight="1" x14ac:dyDescent="0.2">
      <c r="B121"/>
      <c r="C121"/>
      <c r="D121"/>
      <c r="E121"/>
      <c r="F121"/>
      <c r="G121"/>
      <c r="I121"/>
      <c r="J121"/>
      <c r="K121"/>
      <c r="L121"/>
    </row>
    <row r="122" spans="2:13" ht="12.75" customHeight="1" x14ac:dyDescent="0.2">
      <c r="B122" s="52"/>
      <c r="C122" s="52"/>
      <c r="D122" s="52"/>
      <c r="E122" s="52"/>
      <c r="F122" s="52"/>
      <c r="G122" s="52"/>
      <c r="H122" s="52"/>
      <c r="I122"/>
      <c r="J122" s="69"/>
      <c r="K122" s="69"/>
      <c r="L122" s="69"/>
    </row>
    <row r="123" spans="2:13" ht="12.75" customHeight="1" x14ac:dyDescent="0.2">
      <c r="B123" s="54" t="str">
        <f>"Finans Norge / Skadeforsikringsstatistikk"</f>
        <v>Finans Norge / Skadeforsikringsstatistikk</v>
      </c>
      <c r="H123" s="202">
        <v>2</v>
      </c>
      <c r="I123"/>
      <c r="J123" s="69"/>
      <c r="K123" s="69"/>
      <c r="L123" s="69"/>
    </row>
    <row r="124" spans="2:13" ht="12.75" customHeight="1" x14ac:dyDescent="0.2">
      <c r="B124" s="54" t="str">
        <f>"Skadestatistikk for landbasert forsikring 1. kvartal 2022"</f>
        <v>Skadestatistikk for landbasert forsikring 1. kvartal 2022</v>
      </c>
      <c r="H124" s="203"/>
      <c r="I124"/>
      <c r="J124"/>
      <c r="K124"/>
      <c r="L124"/>
    </row>
    <row r="125" spans="2:13" ht="12.75" customHeight="1" x14ac:dyDescent="0.2">
      <c r="B125" s="78"/>
      <c r="C125"/>
      <c r="D125"/>
      <c r="E125"/>
      <c r="F125"/>
      <c r="G125"/>
      <c r="I125"/>
      <c r="J125"/>
      <c r="K125"/>
      <c r="L125"/>
    </row>
    <row r="126" spans="2:13" ht="12.75" customHeight="1" x14ac:dyDescent="0.2">
      <c r="B126"/>
      <c r="C126"/>
      <c r="D126"/>
      <c r="E126"/>
      <c r="F126"/>
      <c r="G126"/>
      <c r="I126"/>
      <c r="J126"/>
      <c r="K126"/>
      <c r="L126"/>
    </row>
    <row r="127" spans="2:13" ht="12.75" customHeight="1" x14ac:dyDescent="0.2">
      <c r="B127"/>
      <c r="C127"/>
      <c r="D127"/>
      <c r="E127"/>
      <c r="F127"/>
      <c r="G127"/>
      <c r="L127"/>
    </row>
    <row r="128" spans="2:13" ht="12.75" customHeight="1" x14ac:dyDescent="0.2">
      <c r="B128"/>
      <c r="C128"/>
      <c r="D128"/>
      <c r="E128"/>
      <c r="F128"/>
      <c r="G128"/>
      <c r="L128"/>
    </row>
    <row r="129" spans="2:12" ht="12.75" customHeight="1" x14ac:dyDescent="0.2">
      <c r="B129"/>
      <c r="C129"/>
      <c r="D129"/>
      <c r="E129"/>
      <c r="F129"/>
      <c r="G129"/>
      <c r="I129" s="68"/>
      <c r="J129"/>
      <c r="K129"/>
      <c r="L129"/>
    </row>
    <row r="130" spans="2:12" ht="12.75" customHeight="1" x14ac:dyDescent="0.2">
      <c r="B130"/>
      <c r="C130"/>
      <c r="D130"/>
      <c r="E130"/>
      <c r="F130"/>
      <c r="G130"/>
      <c r="I130"/>
      <c r="J130"/>
      <c r="K130"/>
      <c r="L130"/>
    </row>
    <row r="131" spans="2:12" ht="12.75" customHeight="1" x14ac:dyDescent="0.2">
      <c r="B131"/>
      <c r="C131"/>
      <c r="D131"/>
      <c r="E131"/>
      <c r="F131"/>
      <c r="G131"/>
      <c r="I131"/>
      <c r="J131"/>
      <c r="K131"/>
      <c r="L131"/>
    </row>
    <row r="132" spans="2:12" ht="12.75" customHeight="1" x14ac:dyDescent="0.2">
      <c r="B132"/>
      <c r="C132"/>
      <c r="D132"/>
      <c r="E132"/>
      <c r="F132"/>
      <c r="G132"/>
      <c r="I132"/>
      <c r="J132"/>
      <c r="K132" s="69"/>
      <c r="L132" s="69"/>
    </row>
    <row r="133" spans="2:12" ht="12.75" customHeight="1" x14ac:dyDescent="0.2">
      <c r="B133"/>
      <c r="C133"/>
      <c r="D133"/>
      <c r="E133"/>
      <c r="F133"/>
      <c r="G133"/>
      <c r="I133"/>
      <c r="J133"/>
      <c r="K133" s="69"/>
      <c r="L133" s="69"/>
    </row>
    <row r="134" spans="2:12" ht="12.75" customHeight="1" x14ac:dyDescent="0.2">
      <c r="B134"/>
      <c r="C134"/>
      <c r="D134"/>
      <c r="E134"/>
      <c r="F134"/>
      <c r="G134"/>
      <c r="I134"/>
      <c r="J134"/>
      <c r="K134" s="69"/>
      <c r="L134" s="69"/>
    </row>
    <row r="135" spans="2:12" ht="12.75" customHeight="1" x14ac:dyDescent="0.2">
      <c r="B135"/>
      <c r="C135"/>
      <c r="D135"/>
      <c r="E135"/>
      <c r="F135"/>
      <c r="G135"/>
      <c r="I135"/>
      <c r="J135"/>
      <c r="K135"/>
      <c r="L135"/>
    </row>
    <row r="136" spans="2:12" ht="12.75" customHeight="1" x14ac:dyDescent="0.2">
      <c r="B136"/>
      <c r="C136"/>
      <c r="D136"/>
      <c r="E136"/>
      <c r="F136"/>
      <c r="G136"/>
      <c r="I136"/>
      <c r="J136"/>
      <c r="K136"/>
      <c r="L136"/>
    </row>
    <row r="137" spans="2:12" ht="12.75" customHeight="1" x14ac:dyDescent="0.2">
      <c r="B137"/>
      <c r="C137"/>
      <c r="D137"/>
      <c r="E137"/>
      <c r="F137"/>
      <c r="G137"/>
      <c r="I137"/>
      <c r="J137"/>
      <c r="K137"/>
      <c r="L137"/>
    </row>
    <row r="138" spans="2:12" ht="12.75" customHeight="1" x14ac:dyDescent="0.2">
      <c r="B138"/>
      <c r="C138"/>
      <c r="D138"/>
      <c r="E138"/>
      <c r="F138"/>
      <c r="G138"/>
    </row>
    <row r="139" spans="2:12" ht="12.75" customHeight="1" x14ac:dyDescent="0.2">
      <c r="B139"/>
      <c r="C139"/>
      <c r="D139"/>
      <c r="E139"/>
      <c r="F139"/>
      <c r="G139"/>
    </row>
    <row r="140" spans="2:12" ht="12.75" customHeight="1" x14ac:dyDescent="0.2">
      <c r="B140"/>
      <c r="C140"/>
      <c r="D140"/>
      <c r="E140"/>
      <c r="F140"/>
      <c r="G140"/>
      <c r="I140" s="68"/>
      <c r="J140"/>
      <c r="K140"/>
      <c r="L140"/>
    </row>
    <row r="141" spans="2:12" ht="12.75" customHeight="1" x14ac:dyDescent="0.2">
      <c r="B141"/>
      <c r="C141"/>
      <c r="D141"/>
      <c r="E141"/>
      <c r="F141"/>
      <c r="G141"/>
      <c r="I141"/>
      <c r="J141"/>
      <c r="K141"/>
      <c r="L141"/>
    </row>
    <row r="142" spans="2:12" ht="12.75" customHeight="1" x14ac:dyDescent="0.2">
      <c r="B142"/>
      <c r="C142"/>
      <c r="D142"/>
      <c r="E142"/>
      <c r="F142"/>
      <c r="G142"/>
      <c r="I142"/>
      <c r="J142"/>
      <c r="K142"/>
      <c r="L142"/>
    </row>
    <row r="143" spans="2:12" ht="12.75" customHeight="1" x14ac:dyDescent="0.2">
      <c r="B143"/>
      <c r="C143"/>
      <c r="D143"/>
      <c r="E143"/>
      <c r="F143"/>
      <c r="G143"/>
      <c r="I143"/>
      <c r="J143"/>
      <c r="K143" s="69"/>
      <c r="L143" s="69"/>
    </row>
    <row r="144" spans="2:12" ht="12.75" customHeight="1" x14ac:dyDescent="0.2">
      <c r="B144"/>
      <c r="C144"/>
      <c r="D144"/>
      <c r="E144"/>
      <c r="F144"/>
      <c r="G144"/>
      <c r="I144"/>
      <c r="J144"/>
      <c r="K144" s="69"/>
      <c r="L144" s="69"/>
    </row>
    <row r="145" spans="2:12" ht="12.75" customHeight="1" x14ac:dyDescent="0.2">
      <c r="B145"/>
      <c r="C145"/>
      <c r="D145"/>
      <c r="E145"/>
      <c r="F145"/>
      <c r="G145"/>
      <c r="I145"/>
      <c r="J145"/>
      <c r="K145" s="69"/>
      <c r="L145" s="69"/>
    </row>
    <row r="146" spans="2:12" ht="12.75" customHeight="1" x14ac:dyDescent="0.2">
      <c r="B146"/>
      <c r="C146"/>
      <c r="D146"/>
      <c r="E146"/>
      <c r="F146"/>
      <c r="G146"/>
      <c r="I146"/>
      <c r="J146"/>
      <c r="K146"/>
      <c r="L146"/>
    </row>
    <row r="147" spans="2:12" ht="12.75" customHeight="1" x14ac:dyDescent="0.2">
      <c r="B147"/>
      <c r="C147"/>
      <c r="D147"/>
      <c r="E147"/>
      <c r="F147"/>
      <c r="G147"/>
      <c r="H147"/>
      <c r="I147"/>
      <c r="J147"/>
      <c r="K147"/>
      <c r="L147"/>
    </row>
    <row r="148" spans="2:12" ht="12.75" customHeight="1" x14ac:dyDescent="0.2">
      <c r="B148"/>
      <c r="C148"/>
      <c r="D148"/>
      <c r="E148"/>
      <c r="F148"/>
      <c r="G148"/>
      <c r="H148"/>
      <c r="I148"/>
      <c r="J148"/>
      <c r="K148"/>
      <c r="L148"/>
    </row>
    <row r="149" spans="2:12" ht="12.75" customHeight="1" x14ac:dyDescent="0.2">
      <c r="B149"/>
      <c r="C149"/>
      <c r="D149"/>
      <c r="E149"/>
      <c r="F149"/>
      <c r="G149"/>
      <c r="H149"/>
      <c r="I149"/>
      <c r="J149" s="69"/>
      <c r="K149" s="69"/>
    </row>
    <row r="150" spans="2:12" ht="12.75" customHeight="1" x14ac:dyDescent="0.2">
      <c r="B150"/>
      <c r="C150" s="69"/>
      <c r="D150" s="69"/>
      <c r="E150"/>
      <c r="F150"/>
      <c r="G150"/>
      <c r="H150"/>
      <c r="I150"/>
      <c r="J150" s="69"/>
      <c r="K150" s="69"/>
    </row>
    <row r="151" spans="2:12" ht="12.75" customHeight="1" x14ac:dyDescent="0.2">
      <c r="B151"/>
      <c r="C151"/>
      <c r="D151"/>
      <c r="E151"/>
      <c r="G151"/>
      <c r="H151"/>
      <c r="I151"/>
      <c r="J151"/>
      <c r="K151"/>
    </row>
    <row r="152" spans="2:12" ht="12.75" customHeight="1" x14ac:dyDescent="0.2">
      <c r="B152"/>
      <c r="C152"/>
      <c r="D152"/>
      <c r="E152"/>
      <c r="G152"/>
      <c r="H152"/>
      <c r="I152"/>
      <c r="J152"/>
      <c r="K152"/>
    </row>
    <row r="153" spans="2:12" ht="12.75" customHeight="1" x14ac:dyDescent="0.2">
      <c r="B153"/>
      <c r="C153"/>
      <c r="D153"/>
      <c r="E153"/>
      <c r="G153"/>
      <c r="H153"/>
      <c r="I153"/>
      <c r="J153"/>
      <c r="K153"/>
    </row>
    <row r="154" spans="2:12" ht="12.75" customHeight="1" x14ac:dyDescent="0.2">
      <c r="B154"/>
      <c r="C154" s="69"/>
      <c r="D154" s="69"/>
      <c r="E154"/>
      <c r="G154"/>
      <c r="H154"/>
      <c r="I154"/>
      <c r="J154"/>
      <c r="K154"/>
    </row>
    <row r="155" spans="2:12" ht="12.75" customHeight="1" x14ac:dyDescent="0.2">
      <c r="B155"/>
      <c r="C155" s="69"/>
      <c r="D155" s="69"/>
      <c r="E155"/>
      <c r="G155"/>
      <c r="H155"/>
      <c r="I155"/>
      <c r="J155"/>
      <c r="K155"/>
    </row>
    <row r="156" spans="2:12" ht="12.75" customHeight="1" x14ac:dyDescent="0.2">
      <c r="B156"/>
      <c r="C156" s="69"/>
      <c r="D156" s="69"/>
      <c r="E156"/>
      <c r="G156"/>
    </row>
    <row r="157" spans="2:12" ht="12.75" customHeight="1" x14ac:dyDescent="0.2">
      <c r="B157"/>
      <c r="C157"/>
      <c r="D157"/>
      <c r="E157"/>
      <c r="G157"/>
    </row>
    <row r="158" spans="2:12" ht="12.75" customHeight="1" x14ac:dyDescent="0.2">
      <c r="B158"/>
      <c r="C158" s="69"/>
      <c r="D158" s="69"/>
      <c r="E158"/>
      <c r="G158"/>
    </row>
    <row r="159" spans="2:12" ht="12.75" customHeight="1" x14ac:dyDescent="0.2">
      <c r="B159"/>
      <c r="C159" s="69"/>
      <c r="D159" s="69"/>
      <c r="E159"/>
      <c r="G159"/>
    </row>
    <row r="160" spans="2:12" ht="12.75" customHeight="1" x14ac:dyDescent="0.2">
      <c r="B160"/>
      <c r="C160" s="69"/>
      <c r="D160" s="69"/>
      <c r="E160"/>
      <c r="G160"/>
    </row>
    <row r="161" spans="2:7" ht="12.75" customHeight="1" x14ac:dyDescent="0.2">
      <c r="B161"/>
      <c r="C161"/>
      <c r="D161"/>
      <c r="E161"/>
      <c r="G161"/>
    </row>
    <row r="162" spans="2:7" ht="12.75" customHeight="1" x14ac:dyDescent="0.2">
      <c r="B162"/>
      <c r="C162" s="69"/>
      <c r="D162" s="69"/>
      <c r="E162"/>
      <c r="G162"/>
    </row>
    <row r="163" spans="2:7" ht="12.75" customHeight="1" x14ac:dyDescent="0.2">
      <c r="B163"/>
      <c r="C163" s="69"/>
      <c r="D163" s="69"/>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2"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154</v>
      </c>
      <c r="B4" s="5"/>
      <c r="C4" s="5"/>
      <c r="D4" s="5"/>
      <c r="E4" s="5"/>
      <c r="F4" s="5"/>
      <c r="G4" s="5"/>
      <c r="H4" s="6"/>
    </row>
    <row r="5" spans="1:8" x14ac:dyDescent="0.2">
      <c r="A5" s="7"/>
      <c r="B5" s="8"/>
      <c r="C5" s="9"/>
      <c r="D5" s="8"/>
      <c r="E5" s="10"/>
      <c r="F5" s="11"/>
      <c r="G5" s="205" t="s">
        <v>1</v>
      </c>
      <c r="H5" s="206"/>
    </row>
    <row r="6" spans="1:8" x14ac:dyDescent="0.2">
      <c r="A6" s="12"/>
      <c r="B6" s="13"/>
      <c r="C6" s="14" t="s">
        <v>235</v>
      </c>
      <c r="D6" s="15" t="s">
        <v>236</v>
      </c>
      <c r="E6" s="15" t="s">
        <v>237</v>
      </c>
      <c r="F6" s="16"/>
      <c r="G6" s="17" t="s">
        <v>238</v>
      </c>
      <c r="H6" s="18" t="s">
        <v>239</v>
      </c>
    </row>
    <row r="7" spans="1:8" x14ac:dyDescent="0.2">
      <c r="A7" s="207" t="s">
        <v>61</v>
      </c>
      <c r="B7" s="19" t="s">
        <v>3</v>
      </c>
      <c r="C7" s="20">
        <v>447542</v>
      </c>
      <c r="D7" s="20">
        <v>169642</v>
      </c>
      <c r="E7" s="79">
        <v>278773.7867427555</v>
      </c>
      <c r="F7" s="22" t="s">
        <v>240</v>
      </c>
      <c r="G7" s="23">
        <v>-37.710027943130363</v>
      </c>
      <c r="H7" s="24">
        <v>64.330641434759968</v>
      </c>
    </row>
    <row r="8" spans="1:8" x14ac:dyDescent="0.2">
      <c r="A8" s="208"/>
      <c r="B8" s="25" t="s">
        <v>241</v>
      </c>
      <c r="C8" s="26">
        <v>161525</v>
      </c>
      <c r="D8" s="26">
        <v>34290.493589743593</v>
      </c>
      <c r="E8" s="26">
        <v>66033.36538461539</v>
      </c>
      <c r="F8" s="27"/>
      <c r="G8" s="28">
        <v>-59.118795613920206</v>
      </c>
      <c r="H8" s="29">
        <v>92.570472080828239</v>
      </c>
    </row>
    <row r="9" spans="1:8" x14ac:dyDescent="0.2">
      <c r="A9" s="30" t="s">
        <v>62</v>
      </c>
      <c r="B9" s="31" t="s">
        <v>3</v>
      </c>
      <c r="C9" s="20">
        <v>68338</v>
      </c>
      <c r="D9" s="20">
        <v>68285.765704347825</v>
      </c>
      <c r="E9" s="21">
        <v>123102.26943975617</v>
      </c>
      <c r="F9" s="22" t="s">
        <v>240</v>
      </c>
      <c r="G9" s="32">
        <v>80.1373605311191</v>
      </c>
      <c r="H9" s="33">
        <v>80.275154228691804</v>
      </c>
    </row>
    <row r="10" spans="1:8" x14ac:dyDescent="0.2">
      <c r="A10" s="34"/>
      <c r="B10" s="25" t="s">
        <v>241</v>
      </c>
      <c r="C10" s="26">
        <v>21833</v>
      </c>
      <c r="D10" s="26">
        <v>10601.160416666668</v>
      </c>
      <c r="E10" s="26">
        <v>23063.327280434783</v>
      </c>
      <c r="F10" s="27"/>
      <c r="G10" s="35">
        <v>5.6351728137900636</v>
      </c>
      <c r="H10" s="29">
        <v>117.55474282018841</v>
      </c>
    </row>
    <row r="11" spans="1:8" x14ac:dyDescent="0.2">
      <c r="A11" s="30" t="s">
        <v>47</v>
      </c>
      <c r="B11" s="31" t="s">
        <v>3</v>
      </c>
      <c r="C11" s="20">
        <v>12266</v>
      </c>
      <c r="D11" s="20">
        <v>10166.449391304348</v>
      </c>
      <c r="E11" s="21">
        <v>11598.21690480178</v>
      </c>
      <c r="F11" s="22" t="s">
        <v>240</v>
      </c>
      <c r="G11" s="37">
        <v>-5.4441798075837227</v>
      </c>
      <c r="H11" s="33">
        <v>14.083260127395732</v>
      </c>
    </row>
    <row r="12" spans="1:8" x14ac:dyDescent="0.2">
      <c r="A12" s="34"/>
      <c r="B12" s="25" t="s">
        <v>241</v>
      </c>
      <c r="C12" s="26">
        <v>3468</v>
      </c>
      <c r="D12" s="26">
        <v>2653.1934027777779</v>
      </c>
      <c r="E12" s="26">
        <v>3106.5360307971018</v>
      </c>
      <c r="F12" s="27"/>
      <c r="G12" s="28">
        <v>-10.422836482205838</v>
      </c>
      <c r="H12" s="29">
        <v>17.086678549128536</v>
      </c>
    </row>
    <row r="13" spans="1:8" x14ac:dyDescent="0.2">
      <c r="A13" s="30" t="s">
        <v>48</v>
      </c>
      <c r="B13" s="31" t="s">
        <v>3</v>
      </c>
      <c r="C13" s="20">
        <v>97572</v>
      </c>
      <c r="D13" s="20">
        <v>31090.407304347827</v>
      </c>
      <c r="E13" s="21">
        <v>60612.293095973786</v>
      </c>
      <c r="F13" s="22" t="s">
        <v>240</v>
      </c>
      <c r="G13" s="23">
        <v>-37.879419202257012</v>
      </c>
      <c r="H13" s="24">
        <v>94.954966342616814</v>
      </c>
    </row>
    <row r="14" spans="1:8" x14ac:dyDescent="0.2">
      <c r="A14" s="34"/>
      <c r="B14" s="25" t="s">
        <v>241</v>
      </c>
      <c r="C14" s="26">
        <v>40158</v>
      </c>
      <c r="D14" s="26">
        <v>6164.229166666667</v>
      </c>
      <c r="E14" s="26">
        <v>14527.117630434783</v>
      </c>
      <c r="F14" s="27"/>
      <c r="G14" s="38">
        <v>-63.825096791586276</v>
      </c>
      <c r="H14" s="24">
        <v>135.66803306065896</v>
      </c>
    </row>
    <row r="15" spans="1:8" x14ac:dyDescent="0.2">
      <c r="A15" s="30" t="s">
        <v>49</v>
      </c>
      <c r="B15" s="31" t="s">
        <v>3</v>
      </c>
      <c r="C15" s="20">
        <v>292729</v>
      </c>
      <c r="D15" s="20">
        <v>59019.676591304349</v>
      </c>
      <c r="E15" s="21">
        <v>89121.080665861984</v>
      </c>
      <c r="F15" s="22" t="s">
        <v>240</v>
      </c>
      <c r="G15" s="37">
        <v>-69.555089975416848</v>
      </c>
      <c r="H15" s="33">
        <v>51.0023195874181</v>
      </c>
    </row>
    <row r="16" spans="1:8" x14ac:dyDescent="0.2">
      <c r="A16" s="34"/>
      <c r="B16" s="25" t="s">
        <v>241</v>
      </c>
      <c r="C16" s="26">
        <v>79613</v>
      </c>
      <c r="D16" s="26">
        <v>16266.696250000001</v>
      </c>
      <c r="E16" s="26">
        <v>24453.797189130433</v>
      </c>
      <c r="F16" s="27"/>
      <c r="G16" s="28">
        <v>-69.284165664991349</v>
      </c>
      <c r="H16" s="29">
        <v>50.330447026884343</v>
      </c>
    </row>
    <row r="17" spans="1:9" x14ac:dyDescent="0.2">
      <c r="A17" s="30" t="s">
        <v>50</v>
      </c>
      <c r="B17" s="31" t="s">
        <v>3</v>
      </c>
      <c r="C17" s="20">
        <v>52061</v>
      </c>
      <c r="D17" s="20">
        <v>31031.005565217391</v>
      </c>
      <c r="E17" s="21">
        <v>78436.828582471644</v>
      </c>
      <c r="F17" s="22" t="s">
        <v>240</v>
      </c>
      <c r="G17" s="37">
        <v>50.663315307949603</v>
      </c>
      <c r="H17" s="33">
        <v>152.76921309437478</v>
      </c>
    </row>
    <row r="18" spans="1:9" ht="13.5" thickBot="1" x14ac:dyDescent="0.25">
      <c r="A18" s="56"/>
      <c r="B18" s="42" t="s">
        <v>241</v>
      </c>
      <c r="C18" s="43">
        <v>19560</v>
      </c>
      <c r="D18" s="43">
        <v>3952.2320833333333</v>
      </c>
      <c r="E18" s="43">
        <v>12813.24170652174</v>
      </c>
      <c r="F18" s="44"/>
      <c r="G18" s="57">
        <v>-34.492629312261045</v>
      </c>
      <c r="H18" s="46">
        <v>224.2026641237876</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71</v>
      </c>
      <c r="B32" s="5"/>
      <c r="C32" s="5"/>
      <c r="D32" s="5"/>
      <c r="E32" s="5"/>
      <c r="F32" s="5"/>
      <c r="G32" s="5"/>
      <c r="H32" s="6"/>
    </row>
    <row r="33" spans="1:9" x14ac:dyDescent="0.2">
      <c r="A33" s="7"/>
      <c r="B33" s="8"/>
      <c r="C33" s="211" t="s">
        <v>16</v>
      </c>
      <c r="D33" s="205"/>
      <c r="E33" s="205"/>
      <c r="F33" s="212"/>
      <c r="G33" s="205" t="s">
        <v>1</v>
      </c>
      <c r="H33" s="206"/>
    </row>
    <row r="34" spans="1:9" x14ac:dyDescent="0.2">
      <c r="A34" s="12"/>
      <c r="B34" s="13"/>
      <c r="C34" s="14" t="s">
        <v>235</v>
      </c>
      <c r="D34" s="15" t="s">
        <v>236</v>
      </c>
      <c r="E34" s="15" t="s">
        <v>237</v>
      </c>
      <c r="F34" s="16"/>
      <c r="G34" s="17" t="s">
        <v>238</v>
      </c>
      <c r="H34" s="18" t="s">
        <v>239</v>
      </c>
    </row>
    <row r="35" spans="1:9" ht="12.75" customHeight="1" x14ac:dyDescent="0.2">
      <c r="A35" s="207" t="s">
        <v>61</v>
      </c>
      <c r="B35" s="19" t="s">
        <v>3</v>
      </c>
      <c r="C35" s="80">
        <v>2302.5662864483884</v>
      </c>
      <c r="D35" s="80">
        <v>773.78802688841324</v>
      </c>
      <c r="E35" s="81">
        <v>2177.6131675028892</v>
      </c>
      <c r="F35" s="22" t="s">
        <v>240</v>
      </c>
      <c r="G35" s="23">
        <v>-5.4266893283769093</v>
      </c>
      <c r="H35" s="24">
        <v>181.42244281804057</v>
      </c>
    </row>
    <row r="36" spans="1:9" ht="12.75" customHeight="1" x14ac:dyDescent="0.2">
      <c r="A36" s="208"/>
      <c r="B36" s="25" t="s">
        <v>241</v>
      </c>
      <c r="C36" s="82">
        <v>1302.9366576102259</v>
      </c>
      <c r="D36" s="82">
        <v>110.55182730182817</v>
      </c>
      <c r="E36" s="82">
        <v>414.36619515244854</v>
      </c>
      <c r="F36" s="27"/>
      <c r="G36" s="28">
        <v>-68.19751806565516</v>
      </c>
      <c r="H36" s="29">
        <v>274.81623349485449</v>
      </c>
    </row>
    <row r="37" spans="1:9" x14ac:dyDescent="0.2">
      <c r="A37" s="30" t="s">
        <v>62</v>
      </c>
      <c r="B37" s="31" t="s">
        <v>3</v>
      </c>
      <c r="C37" s="80">
        <v>163.35888456341641</v>
      </c>
      <c r="D37" s="80">
        <v>165.50438323851949</v>
      </c>
      <c r="E37" s="83">
        <v>411.99690636211892</v>
      </c>
      <c r="F37" s="22" t="s">
        <v>240</v>
      </c>
      <c r="G37" s="32">
        <v>152.2035501547395</v>
      </c>
      <c r="H37" s="33">
        <v>148.93413594270945</v>
      </c>
    </row>
    <row r="38" spans="1:9" x14ac:dyDescent="0.2">
      <c r="A38" s="34"/>
      <c r="B38" s="25" t="s">
        <v>241</v>
      </c>
      <c r="C38" s="82">
        <v>98.573144805481917</v>
      </c>
      <c r="D38" s="82">
        <v>19.340877902940683</v>
      </c>
      <c r="E38" s="82">
        <v>65.843303774395281</v>
      </c>
      <c r="F38" s="27"/>
      <c r="G38" s="35">
        <v>-33.203608442921919</v>
      </c>
      <c r="H38" s="29">
        <v>240.43596213584567</v>
      </c>
    </row>
    <row r="39" spans="1:9" x14ac:dyDescent="0.2">
      <c r="A39" s="30" t="s">
        <v>47</v>
      </c>
      <c r="B39" s="31" t="s">
        <v>3</v>
      </c>
      <c r="C39" s="80">
        <v>175.90463846252987</v>
      </c>
      <c r="D39" s="80">
        <v>138.51362542790139</v>
      </c>
      <c r="E39" s="83">
        <v>197.09699699334257</v>
      </c>
      <c r="F39" s="22" t="s">
        <v>240</v>
      </c>
      <c r="G39" s="37">
        <v>12.047640537533042</v>
      </c>
      <c r="H39" s="33">
        <v>42.294302372393531</v>
      </c>
    </row>
    <row r="40" spans="1:9" x14ac:dyDescent="0.2">
      <c r="A40" s="34"/>
      <c r="B40" s="25" t="s">
        <v>241</v>
      </c>
      <c r="C40" s="82">
        <v>144.8981581835456</v>
      </c>
      <c r="D40" s="82">
        <v>31.359008023924645</v>
      </c>
      <c r="E40" s="82">
        <v>58.846373690934151</v>
      </c>
      <c r="F40" s="27"/>
      <c r="G40" s="28">
        <v>-59.387769707609266</v>
      </c>
      <c r="H40" s="29">
        <v>87.653811134710139</v>
      </c>
    </row>
    <row r="41" spans="1:9" x14ac:dyDescent="0.2">
      <c r="A41" s="30" t="s">
        <v>48</v>
      </c>
      <c r="B41" s="31" t="s">
        <v>3</v>
      </c>
      <c r="C41" s="80">
        <v>483.38381541670373</v>
      </c>
      <c r="D41" s="80">
        <v>213.24163166368564</v>
      </c>
      <c r="E41" s="83">
        <v>859.31632765009306</v>
      </c>
      <c r="F41" s="22" t="s">
        <v>240</v>
      </c>
      <c r="G41" s="23">
        <v>77.771017614504672</v>
      </c>
      <c r="H41" s="24">
        <v>302.97774920676142</v>
      </c>
    </row>
    <row r="42" spans="1:9" x14ac:dyDescent="0.2">
      <c r="A42" s="34"/>
      <c r="B42" s="25" t="s">
        <v>241</v>
      </c>
      <c r="C42" s="82">
        <v>386.05201547477236</v>
      </c>
      <c r="D42" s="82">
        <v>23.936253579938025</v>
      </c>
      <c r="E42" s="82">
        <v>135.1864449620831</v>
      </c>
      <c r="F42" s="27"/>
      <c r="G42" s="38">
        <v>-64.982323743128546</v>
      </c>
      <c r="H42" s="24">
        <v>464.77695856041782</v>
      </c>
    </row>
    <row r="43" spans="1:9" x14ac:dyDescent="0.2">
      <c r="A43" s="30" t="s">
        <v>49</v>
      </c>
      <c r="B43" s="31" t="s">
        <v>3</v>
      </c>
      <c r="C43" s="80">
        <v>1242.5624347699081</v>
      </c>
      <c r="D43" s="80">
        <v>169.95785742470417</v>
      </c>
      <c r="E43" s="83">
        <v>554.71008865438023</v>
      </c>
      <c r="F43" s="22" t="s">
        <v>240</v>
      </c>
      <c r="G43" s="37">
        <v>-55.357568108269838</v>
      </c>
      <c r="H43" s="33">
        <v>226.38096117452613</v>
      </c>
    </row>
    <row r="44" spans="1:9" x14ac:dyDescent="0.2">
      <c r="A44" s="34"/>
      <c r="B44" s="25" t="s">
        <v>241</v>
      </c>
      <c r="C44" s="82">
        <v>577.60419330408081</v>
      </c>
      <c r="D44" s="82">
        <v>26.890692180583276</v>
      </c>
      <c r="E44" s="82">
        <v>112.50295176263297</v>
      </c>
      <c r="F44" s="27"/>
      <c r="G44" s="28">
        <v>-80.522483550702759</v>
      </c>
      <c r="H44" s="29">
        <v>318.37134948823291</v>
      </c>
    </row>
    <row r="45" spans="1:9" x14ac:dyDescent="0.2">
      <c r="A45" s="30" t="s">
        <v>50</v>
      </c>
      <c r="B45" s="31" t="s">
        <v>3</v>
      </c>
      <c r="C45" s="80">
        <v>237.35651323583056</v>
      </c>
      <c r="D45" s="80">
        <v>86.570529133602676</v>
      </c>
      <c r="E45" s="83">
        <v>303.17504680799095</v>
      </c>
      <c r="F45" s="22" t="s">
        <v>240</v>
      </c>
      <c r="G45" s="37">
        <v>27.729819870906596</v>
      </c>
      <c r="H45" s="33">
        <v>250.20583776276402</v>
      </c>
    </row>
    <row r="46" spans="1:9" ht="13.5" thickBot="1" x14ac:dyDescent="0.25">
      <c r="A46" s="56"/>
      <c r="B46" s="42" t="s">
        <v>241</v>
      </c>
      <c r="C46" s="86">
        <v>95.809145842344975</v>
      </c>
      <c r="D46" s="86">
        <v>9.0249956144415542</v>
      </c>
      <c r="E46" s="86">
        <v>41.987120962403033</v>
      </c>
      <c r="F46" s="44"/>
      <c r="G46" s="57">
        <v>-56.176291320357549</v>
      </c>
      <c r="H46" s="46">
        <v>365.23148327314834</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G61" s="53"/>
      <c r="H61" s="210">
        <v>24</v>
      </c>
    </row>
    <row r="62" spans="1:9" ht="12.75" customHeight="1" x14ac:dyDescent="0.2">
      <c r="A62" s="54" t="s">
        <v>243</v>
      </c>
      <c r="G62" s="53"/>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155</v>
      </c>
      <c r="B4" s="5"/>
      <c r="C4" s="5"/>
      <c r="D4" s="5"/>
      <c r="E4" s="5"/>
      <c r="F4" s="5"/>
      <c r="G4" s="5"/>
      <c r="H4" s="6"/>
    </row>
    <row r="5" spans="1:8" x14ac:dyDescent="0.2">
      <c r="A5" s="7"/>
      <c r="B5" s="8"/>
      <c r="C5" s="9"/>
      <c r="D5" s="8"/>
      <c r="E5" s="10"/>
      <c r="F5" s="11"/>
      <c r="G5" s="205" t="s">
        <v>1</v>
      </c>
      <c r="H5" s="206"/>
    </row>
    <row r="6" spans="1:8" x14ac:dyDescent="0.2">
      <c r="A6" s="12"/>
      <c r="B6" s="13"/>
      <c r="C6" s="14" t="s">
        <v>235</v>
      </c>
      <c r="D6" s="15" t="s">
        <v>236</v>
      </c>
      <c r="E6" s="15" t="s">
        <v>237</v>
      </c>
      <c r="F6" s="16"/>
      <c r="G6" s="17" t="s">
        <v>238</v>
      </c>
      <c r="H6" s="18" t="s">
        <v>239</v>
      </c>
    </row>
    <row r="7" spans="1:8" x14ac:dyDescent="0.2">
      <c r="A7" s="207" t="s">
        <v>51</v>
      </c>
      <c r="B7" s="19" t="s">
        <v>3</v>
      </c>
      <c r="C7" s="20">
        <v>13466</v>
      </c>
      <c r="D7" s="20">
        <v>12717.945965835412</v>
      </c>
      <c r="E7" s="79">
        <v>16452.517095235318</v>
      </c>
      <c r="F7" s="22" t="s">
        <v>240</v>
      </c>
      <c r="G7" s="23">
        <v>22.178205073780759</v>
      </c>
      <c r="H7" s="24">
        <v>29.364577734739498</v>
      </c>
    </row>
    <row r="8" spans="1:8" x14ac:dyDescent="0.2">
      <c r="A8" s="208"/>
      <c r="B8" s="25" t="s">
        <v>241</v>
      </c>
      <c r="C8" s="26">
        <v>1428.2980049875312</v>
      </c>
      <c r="D8" s="26">
        <v>1433.3104738154614</v>
      </c>
      <c r="E8" s="26">
        <v>1816.3347880299252</v>
      </c>
      <c r="F8" s="27"/>
      <c r="G8" s="28">
        <v>27.167774630181725</v>
      </c>
      <c r="H8" s="29">
        <v>26.723052765731637</v>
      </c>
    </row>
    <row r="9" spans="1:8" x14ac:dyDescent="0.2">
      <c r="A9" s="30" t="s">
        <v>12</v>
      </c>
      <c r="B9" s="31" t="s">
        <v>3</v>
      </c>
      <c r="C9" s="20">
        <v>369.60399999999998</v>
      </c>
      <c r="D9" s="20">
        <v>291.84243322999998</v>
      </c>
      <c r="E9" s="21">
        <v>430.76865935558635</v>
      </c>
      <c r="F9" s="22" t="s">
        <v>240</v>
      </c>
      <c r="G9" s="32">
        <v>16.54870059728421</v>
      </c>
      <c r="H9" s="33">
        <v>47.603161948728371</v>
      </c>
    </row>
    <row r="10" spans="1:8" x14ac:dyDescent="0.2">
      <c r="A10" s="34"/>
      <c r="B10" s="25" t="s">
        <v>241</v>
      </c>
      <c r="C10" s="26">
        <v>44.332749999999997</v>
      </c>
      <c r="D10" s="26">
        <v>22.338250000000002</v>
      </c>
      <c r="E10" s="26">
        <v>37.494624999999999</v>
      </c>
      <c r="F10" s="27"/>
      <c r="G10" s="35">
        <v>-15.424545059803421</v>
      </c>
      <c r="H10" s="29">
        <v>67.849428670553863</v>
      </c>
    </row>
    <row r="11" spans="1:8" x14ac:dyDescent="0.2">
      <c r="A11" s="30" t="s">
        <v>18</v>
      </c>
      <c r="B11" s="31" t="s">
        <v>3</v>
      </c>
      <c r="C11" s="20">
        <v>315.64159999999998</v>
      </c>
      <c r="D11" s="20">
        <v>282.73697329200002</v>
      </c>
      <c r="E11" s="21">
        <v>172.681483588969</v>
      </c>
      <c r="F11" s="22" t="s">
        <v>240</v>
      </c>
      <c r="G11" s="37">
        <v>-45.291912222923401</v>
      </c>
      <c r="H11" s="33">
        <v>-38.925043449966438</v>
      </c>
    </row>
    <row r="12" spans="1:8" x14ac:dyDescent="0.2">
      <c r="A12" s="34"/>
      <c r="B12" s="25" t="s">
        <v>241</v>
      </c>
      <c r="C12" s="26">
        <v>26.133099999999999</v>
      </c>
      <c r="D12" s="26">
        <v>37.935299999999998</v>
      </c>
      <c r="E12" s="26">
        <v>19.197849999999999</v>
      </c>
      <c r="F12" s="27"/>
      <c r="G12" s="28">
        <v>-26.538183376637292</v>
      </c>
      <c r="H12" s="29">
        <v>-49.393177330876512</v>
      </c>
    </row>
    <row r="13" spans="1:8" x14ac:dyDescent="0.2">
      <c r="A13" s="30" t="s">
        <v>63</v>
      </c>
      <c r="B13" s="31" t="s">
        <v>3</v>
      </c>
      <c r="C13" s="20">
        <v>1446.0149999999999</v>
      </c>
      <c r="D13" s="20">
        <v>1106.9091246124999</v>
      </c>
      <c r="E13" s="21">
        <v>1142.7940729159268</v>
      </c>
      <c r="F13" s="22" t="s">
        <v>240</v>
      </c>
      <c r="G13" s="23">
        <v>-20.969417819598902</v>
      </c>
      <c r="H13" s="24">
        <v>3.2419055463102495</v>
      </c>
    </row>
    <row r="14" spans="1:8" x14ac:dyDescent="0.2">
      <c r="A14" s="34"/>
      <c r="B14" s="25" t="s">
        <v>241</v>
      </c>
      <c r="C14" s="26">
        <v>177.24781250000001</v>
      </c>
      <c r="D14" s="26">
        <v>145.7684375</v>
      </c>
      <c r="E14" s="26">
        <v>146.85484374999999</v>
      </c>
      <c r="F14" s="27"/>
      <c r="G14" s="38">
        <v>-17.147161548185551</v>
      </c>
      <c r="H14" s="24">
        <v>0.74529594240864583</v>
      </c>
    </row>
    <row r="15" spans="1:8" x14ac:dyDescent="0.2">
      <c r="A15" s="30" t="s">
        <v>52</v>
      </c>
      <c r="B15" s="31" t="s">
        <v>3</v>
      </c>
      <c r="C15" s="20">
        <v>7391.07</v>
      </c>
      <c r="D15" s="20">
        <v>7814.2425815249999</v>
      </c>
      <c r="E15" s="21">
        <v>10449.51831662626</v>
      </c>
      <c r="F15" s="22" t="s">
        <v>240</v>
      </c>
      <c r="G15" s="37">
        <v>41.380318636222626</v>
      </c>
      <c r="H15" s="33">
        <v>33.724007254801251</v>
      </c>
    </row>
    <row r="16" spans="1:8" x14ac:dyDescent="0.2">
      <c r="A16" s="34"/>
      <c r="B16" s="25" t="s">
        <v>241</v>
      </c>
      <c r="C16" s="26">
        <v>732.823125</v>
      </c>
      <c r="D16" s="26">
        <v>811.91937500000006</v>
      </c>
      <c r="E16" s="26">
        <v>1068.6559374999999</v>
      </c>
      <c r="F16" s="27"/>
      <c r="G16" s="28">
        <v>45.82726732320296</v>
      </c>
      <c r="H16" s="29">
        <v>31.620942966165785</v>
      </c>
    </row>
    <row r="17" spans="1:9" x14ac:dyDescent="0.2">
      <c r="A17" s="30" t="s">
        <v>50</v>
      </c>
      <c r="B17" s="31" t="s">
        <v>3</v>
      </c>
      <c r="C17" s="20">
        <v>5109.0200000000004</v>
      </c>
      <c r="D17" s="20">
        <v>4350.2121661500005</v>
      </c>
      <c r="E17" s="21">
        <v>5969.1875171414431</v>
      </c>
      <c r="F17" s="22" t="s">
        <v>240</v>
      </c>
      <c r="G17" s="37">
        <v>16.836252689193671</v>
      </c>
      <c r="H17" s="33">
        <v>37.216008993516709</v>
      </c>
    </row>
    <row r="18" spans="1:9" ht="13.5" thickBot="1" x14ac:dyDescent="0.25">
      <c r="A18" s="56"/>
      <c r="B18" s="42" t="s">
        <v>241</v>
      </c>
      <c r="C18" s="43">
        <v>491.66374999999999</v>
      </c>
      <c r="D18" s="43">
        <v>497.69124999999997</v>
      </c>
      <c r="E18" s="43">
        <v>642.47312499999998</v>
      </c>
      <c r="F18" s="44"/>
      <c r="G18" s="57">
        <v>30.673275180445984</v>
      </c>
      <c r="H18" s="46">
        <v>29.090701313314241</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70</v>
      </c>
      <c r="B32" s="5"/>
      <c r="C32" s="5"/>
      <c r="D32" s="5"/>
      <c r="E32" s="5"/>
      <c r="F32" s="5"/>
      <c r="G32" s="5"/>
      <c r="H32" s="6"/>
    </row>
    <row r="33" spans="1:9" x14ac:dyDescent="0.2">
      <c r="A33" s="7"/>
      <c r="B33" s="8"/>
      <c r="C33" s="211" t="s">
        <v>16</v>
      </c>
      <c r="D33" s="205"/>
      <c r="E33" s="205"/>
      <c r="F33" s="212"/>
      <c r="G33" s="205" t="s">
        <v>1</v>
      </c>
      <c r="H33" s="206"/>
    </row>
    <row r="34" spans="1:9" x14ac:dyDescent="0.2">
      <c r="A34" s="12"/>
      <c r="B34" s="13"/>
      <c r="C34" s="14" t="s">
        <v>235</v>
      </c>
      <c r="D34" s="15" t="s">
        <v>236</v>
      </c>
      <c r="E34" s="15" t="s">
        <v>237</v>
      </c>
      <c r="F34" s="16"/>
      <c r="G34" s="17" t="s">
        <v>238</v>
      </c>
      <c r="H34" s="18" t="s">
        <v>239</v>
      </c>
    </row>
    <row r="35" spans="1:9" ht="12.75" customHeight="1" x14ac:dyDescent="0.2">
      <c r="A35" s="207" t="s">
        <v>51</v>
      </c>
      <c r="B35" s="19" t="s">
        <v>3</v>
      </c>
      <c r="C35" s="80">
        <v>607.81922434697947</v>
      </c>
      <c r="D35" s="80">
        <v>593.00593686028037</v>
      </c>
      <c r="E35" s="81">
        <v>748.63662069104635</v>
      </c>
      <c r="F35" s="22" t="s">
        <v>240</v>
      </c>
      <c r="G35" s="23">
        <v>23.167644375736288</v>
      </c>
      <c r="H35" s="24">
        <v>26.244371962743855</v>
      </c>
    </row>
    <row r="36" spans="1:9" ht="12.75" customHeight="1" x14ac:dyDescent="0.2">
      <c r="A36" s="208"/>
      <c r="B36" s="25" t="s">
        <v>241</v>
      </c>
      <c r="C36" s="82">
        <v>66.026009004013815</v>
      </c>
      <c r="D36" s="82">
        <v>64.208836868916421</v>
      </c>
      <c r="E36" s="82">
        <v>81.14739986201802</v>
      </c>
      <c r="F36" s="27"/>
      <c r="G36" s="28">
        <v>22.902173077105047</v>
      </c>
      <c r="H36" s="29">
        <v>26.380423348396747</v>
      </c>
    </row>
    <row r="37" spans="1:9" x14ac:dyDescent="0.2">
      <c r="A37" s="30" t="s">
        <v>12</v>
      </c>
      <c r="B37" s="31" t="s">
        <v>3</v>
      </c>
      <c r="C37" s="80">
        <v>5.9674288797066719</v>
      </c>
      <c r="D37" s="80">
        <v>4.3967812578006056</v>
      </c>
      <c r="E37" s="83">
        <v>13.953903708559901</v>
      </c>
      <c r="F37" s="22" t="s">
        <v>240</v>
      </c>
      <c r="G37" s="32">
        <v>133.83443673728044</v>
      </c>
      <c r="H37" s="33">
        <v>217.36633892812847</v>
      </c>
    </row>
    <row r="38" spans="1:9" x14ac:dyDescent="0.2">
      <c r="A38" s="34"/>
      <c r="B38" s="25" t="s">
        <v>241</v>
      </c>
      <c r="C38" s="82">
        <v>0.48169245248015197</v>
      </c>
      <c r="D38" s="82">
        <v>0.40405545349923844</v>
      </c>
      <c r="E38" s="82">
        <v>1.2257570698804914</v>
      </c>
      <c r="F38" s="27"/>
      <c r="G38" s="35">
        <v>154.46881377718876</v>
      </c>
      <c r="H38" s="29">
        <v>203.36357528776722</v>
      </c>
    </row>
    <row r="39" spans="1:9" x14ac:dyDescent="0.2">
      <c r="A39" s="30" t="s">
        <v>18</v>
      </c>
      <c r="B39" s="31" t="s">
        <v>3</v>
      </c>
      <c r="C39" s="80">
        <v>26.560843062390415</v>
      </c>
      <c r="D39" s="80">
        <v>32.676635325528295</v>
      </c>
      <c r="E39" s="83">
        <v>46.284060304787644</v>
      </c>
      <c r="F39" s="22" t="s">
        <v>240</v>
      </c>
      <c r="G39" s="37">
        <v>74.256744020015248</v>
      </c>
      <c r="H39" s="33">
        <v>41.642674784905665</v>
      </c>
    </row>
    <row r="40" spans="1:9" x14ac:dyDescent="0.2">
      <c r="A40" s="34"/>
      <c r="B40" s="25" t="s">
        <v>241</v>
      </c>
      <c r="C40" s="82">
        <v>2.2662220994929201</v>
      </c>
      <c r="D40" s="82">
        <v>2.7363838131682074</v>
      </c>
      <c r="E40" s="82">
        <v>3.8999700545608991</v>
      </c>
      <c r="F40" s="27"/>
      <c r="G40" s="28">
        <v>72.091255108382313</v>
      </c>
      <c r="H40" s="29">
        <v>42.522771688430737</v>
      </c>
    </row>
    <row r="41" spans="1:9" x14ac:dyDescent="0.2">
      <c r="A41" s="30" t="s">
        <v>63</v>
      </c>
      <c r="B41" s="31" t="s">
        <v>3</v>
      </c>
      <c r="C41" s="80">
        <v>71.392452973212713</v>
      </c>
      <c r="D41" s="80">
        <v>55.697563804012269</v>
      </c>
      <c r="E41" s="83">
        <v>57.509925183350063</v>
      </c>
      <c r="F41" s="22" t="s">
        <v>240</v>
      </c>
      <c r="G41" s="23">
        <v>-19.445371620823195</v>
      </c>
      <c r="H41" s="24">
        <v>3.2539329470766489</v>
      </c>
    </row>
    <row r="42" spans="1:9" x14ac:dyDescent="0.2">
      <c r="A42" s="34"/>
      <c r="B42" s="25" t="s">
        <v>241</v>
      </c>
      <c r="C42" s="82">
        <v>9.430643441903749</v>
      </c>
      <c r="D42" s="82">
        <v>7.1489630882019783</v>
      </c>
      <c r="E42" s="82">
        <v>7.4519622535046457</v>
      </c>
      <c r="F42" s="27"/>
      <c r="G42" s="38">
        <v>-20.981401752579359</v>
      </c>
      <c r="H42" s="24">
        <v>4.2383652225413044</v>
      </c>
    </row>
    <row r="43" spans="1:9" x14ac:dyDescent="0.2">
      <c r="A43" s="30" t="s">
        <v>52</v>
      </c>
      <c r="B43" s="31" t="s">
        <v>3</v>
      </c>
      <c r="C43" s="80">
        <v>339.77249401097208</v>
      </c>
      <c r="D43" s="80">
        <v>365.06667916418689</v>
      </c>
      <c r="E43" s="83">
        <v>462.49412670633109</v>
      </c>
      <c r="F43" s="22" t="s">
        <v>240</v>
      </c>
      <c r="G43" s="37">
        <v>36.118766191649428</v>
      </c>
      <c r="H43" s="33">
        <v>26.687576024523096</v>
      </c>
    </row>
    <row r="44" spans="1:9" x14ac:dyDescent="0.2">
      <c r="A44" s="34"/>
      <c r="B44" s="25" t="s">
        <v>241</v>
      </c>
      <c r="C44" s="82">
        <v>36.872330678259495</v>
      </c>
      <c r="D44" s="82">
        <v>37.387465788648335</v>
      </c>
      <c r="E44" s="82">
        <v>48.270895499780082</v>
      </c>
      <c r="F44" s="27"/>
      <c r="G44" s="28">
        <v>30.91360001346851</v>
      </c>
      <c r="H44" s="29">
        <v>29.109835292543949</v>
      </c>
    </row>
    <row r="45" spans="1:9" x14ac:dyDescent="0.2">
      <c r="A45" s="30" t="s">
        <v>50</v>
      </c>
      <c r="B45" s="31" t="s">
        <v>3</v>
      </c>
      <c r="C45" s="80">
        <v>164.12600542069762</v>
      </c>
      <c r="D45" s="80">
        <v>135.16827730875235</v>
      </c>
      <c r="E45" s="83">
        <v>176.06496535972309</v>
      </c>
      <c r="F45" s="22" t="s">
        <v>240</v>
      </c>
      <c r="G45" s="37">
        <v>7.2742646166418297</v>
      </c>
      <c r="H45" s="33">
        <v>30.256128779058287</v>
      </c>
    </row>
    <row r="46" spans="1:9" ht="13.5" thickBot="1" x14ac:dyDescent="0.25">
      <c r="A46" s="56"/>
      <c r="B46" s="42" t="s">
        <v>241</v>
      </c>
      <c r="C46" s="86">
        <v>16.975120331877513</v>
      </c>
      <c r="D46" s="86">
        <v>16.531968725398663</v>
      </c>
      <c r="E46" s="86">
        <v>20.298814984291894</v>
      </c>
      <c r="F46" s="44"/>
      <c r="G46" s="57">
        <v>19.579800245497097</v>
      </c>
      <c r="H46" s="46">
        <v>22.785224926696657</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H61" s="202">
        <v>25</v>
      </c>
    </row>
    <row r="62" spans="1:9" ht="12.75" customHeight="1" x14ac:dyDescent="0.2">
      <c r="A62" s="54" t="s">
        <v>243</v>
      </c>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156</v>
      </c>
      <c r="B4" s="5"/>
      <c r="C4" s="5"/>
      <c r="D4" s="5"/>
      <c r="E4" s="5"/>
      <c r="F4" s="5"/>
      <c r="G4" s="5"/>
      <c r="H4" s="6"/>
    </row>
    <row r="5" spans="1:8" x14ac:dyDescent="0.2">
      <c r="A5" s="7"/>
      <c r="B5" s="8"/>
      <c r="C5" s="9"/>
      <c r="D5" s="8"/>
      <c r="E5" s="10"/>
      <c r="F5" s="11"/>
      <c r="G5" s="205" t="s">
        <v>1</v>
      </c>
      <c r="H5" s="206"/>
    </row>
    <row r="6" spans="1:8" x14ac:dyDescent="0.2">
      <c r="A6" s="12"/>
      <c r="B6" s="13"/>
      <c r="C6" s="14" t="s">
        <v>235</v>
      </c>
      <c r="D6" s="15" t="s">
        <v>236</v>
      </c>
      <c r="E6" s="15" t="s">
        <v>237</v>
      </c>
      <c r="F6" s="16"/>
      <c r="G6" s="17" t="s">
        <v>238</v>
      </c>
      <c r="H6" s="18" t="s">
        <v>239</v>
      </c>
    </row>
    <row r="7" spans="1:8" ht="12.75" customHeight="1" x14ac:dyDescent="0.2">
      <c r="A7" s="207" t="s">
        <v>64</v>
      </c>
      <c r="B7" s="19" t="s">
        <v>3</v>
      </c>
      <c r="C7" s="20">
        <v>11603.98</v>
      </c>
      <c r="D7" s="20">
        <v>11455.784425960001</v>
      </c>
      <c r="E7" s="79">
        <v>10810.427572468952</v>
      </c>
      <c r="F7" s="22" t="s">
        <v>240</v>
      </c>
      <c r="G7" s="23">
        <v>-6.8386228477733226</v>
      </c>
      <c r="H7" s="24">
        <v>-5.63345843021105</v>
      </c>
    </row>
    <row r="8" spans="1:8" ht="12.75" customHeight="1" x14ac:dyDescent="0.2">
      <c r="A8" s="208"/>
      <c r="B8" s="25" t="s">
        <v>241</v>
      </c>
      <c r="C8" s="26">
        <v>4087.944</v>
      </c>
      <c r="D8" s="26">
        <v>3104.3150039000002</v>
      </c>
      <c r="E8" s="26">
        <v>3173.5819999999999</v>
      </c>
      <c r="F8" s="27"/>
      <c r="G8" s="28">
        <v>-22.367282917769913</v>
      </c>
      <c r="H8" s="29">
        <v>2.2313133819531288</v>
      </c>
    </row>
    <row r="9" spans="1:8" x14ac:dyDescent="0.2">
      <c r="A9" s="30" t="s">
        <v>53</v>
      </c>
      <c r="B9" s="31" t="s">
        <v>3</v>
      </c>
      <c r="C9" s="20">
        <v>2.2198000000000002</v>
      </c>
      <c r="D9" s="20">
        <v>2.2378442596000001</v>
      </c>
      <c r="E9" s="21">
        <v>43.814069282498245</v>
      </c>
      <c r="F9" s="22" t="s">
        <v>240</v>
      </c>
      <c r="G9" s="32">
        <v>1873.7845428641428</v>
      </c>
      <c r="H9" s="33">
        <v>1857.8694582763198</v>
      </c>
    </row>
    <row r="10" spans="1:8" x14ac:dyDescent="0.2">
      <c r="A10" s="34"/>
      <c r="B10" s="25" t="s">
        <v>241</v>
      </c>
      <c r="C10" s="26">
        <v>1.0394399999999999</v>
      </c>
      <c r="D10" s="26">
        <v>7.3150039E-2</v>
      </c>
      <c r="E10" s="26">
        <v>2.0758199999999998</v>
      </c>
      <c r="F10" s="27"/>
      <c r="G10" s="35">
        <v>99.705610713461084</v>
      </c>
      <c r="H10" s="29">
        <v>2737.7565184893474</v>
      </c>
    </row>
    <row r="11" spans="1:8" x14ac:dyDescent="0.2">
      <c r="A11" s="30" t="s">
        <v>54</v>
      </c>
      <c r="B11" s="31" t="s">
        <v>3</v>
      </c>
      <c r="C11" s="20">
        <v>760.09899999999993</v>
      </c>
      <c r="D11" s="20">
        <v>691.18922129800001</v>
      </c>
      <c r="E11" s="21">
        <v>431.94305122434582</v>
      </c>
      <c r="F11" s="22" t="s">
        <v>240</v>
      </c>
      <c r="G11" s="37">
        <v>-43.172790488561908</v>
      </c>
      <c r="H11" s="33">
        <v>-37.507264593450962</v>
      </c>
    </row>
    <row r="12" spans="1:8" x14ac:dyDescent="0.2">
      <c r="A12" s="34"/>
      <c r="B12" s="25" t="s">
        <v>241</v>
      </c>
      <c r="C12" s="26">
        <v>273.19720000000001</v>
      </c>
      <c r="D12" s="26">
        <v>214.365750195</v>
      </c>
      <c r="E12" s="26">
        <v>140.37909999999999</v>
      </c>
      <c r="F12" s="27"/>
      <c r="G12" s="28">
        <v>-48.616201044520224</v>
      </c>
      <c r="H12" s="29">
        <v>-34.514212334618421</v>
      </c>
    </row>
    <row r="13" spans="1:8" x14ac:dyDescent="0.2">
      <c r="A13" s="30" t="s">
        <v>66</v>
      </c>
      <c r="B13" s="31" t="s">
        <v>3</v>
      </c>
      <c r="C13" s="20">
        <v>60.439599999999999</v>
      </c>
      <c r="D13" s="20">
        <v>33.475688519199998</v>
      </c>
      <c r="E13" s="21">
        <v>14.154316327950671</v>
      </c>
      <c r="F13" s="22" t="s">
        <v>240</v>
      </c>
      <c r="G13" s="23">
        <v>-76.581055586154321</v>
      </c>
      <c r="H13" s="24">
        <v>-57.717624478933551</v>
      </c>
    </row>
    <row r="14" spans="1:8" x14ac:dyDescent="0.2">
      <c r="A14" s="34"/>
      <c r="B14" s="25" t="s">
        <v>241</v>
      </c>
      <c r="C14" s="26">
        <v>30.078880000000002</v>
      </c>
      <c r="D14" s="26">
        <v>8.1463000780000012</v>
      </c>
      <c r="E14" s="26">
        <v>4.1516400000000004</v>
      </c>
      <c r="F14" s="27"/>
      <c r="G14" s="38">
        <v>-86.197491395956234</v>
      </c>
      <c r="H14" s="24">
        <v>-49.036495583903537</v>
      </c>
    </row>
    <row r="15" spans="1:8" x14ac:dyDescent="0.2">
      <c r="A15" s="30" t="s">
        <v>55</v>
      </c>
      <c r="B15" s="31" t="s">
        <v>3</v>
      </c>
      <c r="C15" s="20">
        <v>8522.5839999999989</v>
      </c>
      <c r="D15" s="20">
        <v>8374.0275407680001</v>
      </c>
      <c r="E15" s="21">
        <v>7810.0542542500843</v>
      </c>
      <c r="F15" s="22" t="s">
        <v>240</v>
      </c>
      <c r="G15" s="37">
        <v>-8.3604895622022042</v>
      </c>
      <c r="H15" s="33">
        <v>-6.734791398431355</v>
      </c>
    </row>
    <row r="16" spans="1:8" x14ac:dyDescent="0.2">
      <c r="A16" s="34"/>
      <c r="B16" s="25" t="s">
        <v>241</v>
      </c>
      <c r="C16" s="26">
        <v>2826.1552000000001</v>
      </c>
      <c r="D16" s="26">
        <v>2266.8520031199996</v>
      </c>
      <c r="E16" s="26">
        <v>2252.0655999999999</v>
      </c>
      <c r="F16" s="27"/>
      <c r="G16" s="28">
        <v>-20.313449169387454</v>
      </c>
      <c r="H16" s="29">
        <v>-0.6522879790850169</v>
      </c>
    </row>
    <row r="17" spans="1:9" x14ac:dyDescent="0.2">
      <c r="A17" s="30" t="s">
        <v>67</v>
      </c>
      <c r="B17" s="31" t="s">
        <v>3</v>
      </c>
      <c r="C17" s="20">
        <v>805.09900000000005</v>
      </c>
      <c r="D17" s="20">
        <v>770.18922129800001</v>
      </c>
      <c r="E17" s="21">
        <v>892.29061055222428</v>
      </c>
      <c r="F17" s="22" t="s">
        <v>240</v>
      </c>
      <c r="G17" s="37">
        <v>10.829924090357125</v>
      </c>
      <c r="H17" s="33">
        <v>15.853427427671193</v>
      </c>
    </row>
    <row r="18" spans="1:9" x14ac:dyDescent="0.2">
      <c r="A18" s="30"/>
      <c r="B18" s="25" t="s">
        <v>241</v>
      </c>
      <c r="C18" s="26">
        <v>251.19720000000001</v>
      </c>
      <c r="D18" s="26">
        <v>221.365750195</v>
      </c>
      <c r="E18" s="26">
        <v>263.37909999999999</v>
      </c>
      <c r="F18" s="27"/>
      <c r="G18" s="28">
        <v>4.8495365394200149</v>
      </c>
      <c r="H18" s="29">
        <v>18.979155433029106</v>
      </c>
    </row>
    <row r="19" spans="1:9" x14ac:dyDescent="0.2">
      <c r="A19" s="39" t="s">
        <v>56</v>
      </c>
      <c r="B19" s="31" t="s">
        <v>3</v>
      </c>
      <c r="C19" s="20">
        <v>97.219800000000006</v>
      </c>
      <c r="D19" s="20">
        <v>80.237844259599996</v>
      </c>
      <c r="E19" s="21">
        <v>58.052122002884644</v>
      </c>
      <c r="F19" s="22" t="s">
        <v>240</v>
      </c>
      <c r="G19" s="23">
        <v>-40.287758252038529</v>
      </c>
      <c r="H19" s="24">
        <v>-27.649948053110805</v>
      </c>
    </row>
    <row r="20" spans="1:9" x14ac:dyDescent="0.2">
      <c r="A20" s="34"/>
      <c r="B20" s="25" t="s">
        <v>241</v>
      </c>
      <c r="C20" s="26">
        <v>24.039439999999999</v>
      </c>
      <c r="D20" s="26">
        <v>26.073150038999998</v>
      </c>
      <c r="E20" s="26">
        <v>17.07582</v>
      </c>
      <c r="F20" s="27"/>
      <c r="G20" s="38">
        <v>-28.967480107689696</v>
      </c>
      <c r="H20" s="24">
        <v>-34.508028471979287</v>
      </c>
    </row>
    <row r="21" spans="1:9" x14ac:dyDescent="0.2">
      <c r="A21" s="39" t="s">
        <v>68</v>
      </c>
      <c r="B21" s="31" t="s">
        <v>3</v>
      </c>
      <c r="C21" s="20">
        <v>9.2197999999999993</v>
      </c>
      <c r="D21" s="20">
        <v>2.2378442596000001</v>
      </c>
      <c r="E21" s="21">
        <v>23.486807826924665</v>
      </c>
      <c r="F21" s="22" t="s">
        <v>240</v>
      </c>
      <c r="G21" s="37">
        <v>154.74313788720653</v>
      </c>
      <c r="H21" s="33">
        <v>949.52825587258599</v>
      </c>
    </row>
    <row r="22" spans="1:9" x14ac:dyDescent="0.2">
      <c r="A22" s="34"/>
      <c r="B22" s="25" t="s">
        <v>241</v>
      </c>
      <c r="C22" s="26">
        <v>11.039440000000001</v>
      </c>
      <c r="D22" s="26">
        <v>1.0731500389999999</v>
      </c>
      <c r="E22" s="26">
        <v>14.07582</v>
      </c>
      <c r="F22" s="27"/>
      <c r="G22" s="28">
        <v>27.504837201887057</v>
      </c>
      <c r="H22" s="29">
        <v>1211.6357907526481</v>
      </c>
    </row>
    <row r="23" spans="1:9" x14ac:dyDescent="0.2">
      <c r="A23" s="30" t="s">
        <v>69</v>
      </c>
      <c r="B23" s="31" t="s">
        <v>3</v>
      </c>
      <c r="C23" s="20">
        <v>1367.0990000000002</v>
      </c>
      <c r="D23" s="20">
        <v>1525.1892212980001</v>
      </c>
      <c r="E23" s="21">
        <v>1586.0715479803282</v>
      </c>
      <c r="F23" s="22" t="s">
        <v>240</v>
      </c>
      <c r="G23" s="23">
        <v>16.017314618789726</v>
      </c>
      <c r="H23" s="24">
        <v>3.9917884176046528</v>
      </c>
    </row>
    <row r="24" spans="1:9" ht="13.5" thickBot="1" x14ac:dyDescent="0.25">
      <c r="A24" s="56"/>
      <c r="B24" s="42" t="s">
        <v>241</v>
      </c>
      <c r="C24" s="43">
        <v>687.19720000000007</v>
      </c>
      <c r="D24" s="43">
        <v>387.36575019500003</v>
      </c>
      <c r="E24" s="43">
        <v>482.37909999999999</v>
      </c>
      <c r="F24" s="44"/>
      <c r="G24" s="57">
        <v>-29.804850776458352</v>
      </c>
      <c r="H24" s="46">
        <v>24.528071920961068</v>
      </c>
    </row>
    <row r="25" spans="1:9" x14ac:dyDescent="0.2">
      <c r="A25" s="58"/>
      <c r="B25" s="58"/>
      <c r="C25" s="64"/>
      <c r="D25" s="64"/>
      <c r="E25" s="21"/>
      <c r="F25" s="59"/>
      <c r="G25" s="38"/>
      <c r="H25" s="60"/>
      <c r="I25" s="61"/>
    </row>
    <row r="26" spans="1:9" x14ac:dyDescent="0.2">
      <c r="A26" s="58"/>
      <c r="B26" s="58"/>
      <c r="C26" s="64"/>
      <c r="D26" s="64"/>
      <c r="E26" s="21"/>
      <c r="F26" s="59"/>
      <c r="G26" s="38"/>
      <c r="H26" s="60"/>
      <c r="I26" s="61"/>
    </row>
    <row r="27" spans="1:9" x14ac:dyDescent="0.2">
      <c r="A27" s="58"/>
      <c r="B27" s="58"/>
      <c r="C27" s="64"/>
      <c r="D27" s="64"/>
      <c r="E27" s="21"/>
      <c r="F27" s="59"/>
      <c r="G27" s="38"/>
      <c r="H27" s="60"/>
      <c r="I27" s="61"/>
    </row>
    <row r="28" spans="1:9" x14ac:dyDescent="0.2">
      <c r="A28" s="58"/>
      <c r="B28" s="58"/>
      <c r="C28" s="64"/>
      <c r="D28" s="64"/>
      <c r="E28" s="21"/>
      <c r="F28" s="59"/>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65</v>
      </c>
      <c r="B32" s="5"/>
      <c r="C32" s="5"/>
      <c r="D32" s="5"/>
      <c r="E32" s="5"/>
      <c r="F32" s="5"/>
      <c r="G32" s="5"/>
      <c r="H32" s="6"/>
    </row>
    <row r="33" spans="1:8" x14ac:dyDescent="0.2">
      <c r="A33" s="7"/>
      <c r="B33" s="8"/>
      <c r="C33" s="211" t="s">
        <v>16</v>
      </c>
      <c r="D33" s="205"/>
      <c r="E33" s="205"/>
      <c r="F33" s="212"/>
      <c r="G33" s="205" t="s">
        <v>1</v>
      </c>
      <c r="H33" s="206"/>
    </row>
    <row r="34" spans="1:8" x14ac:dyDescent="0.2">
      <c r="A34" s="12"/>
      <c r="B34" s="13"/>
      <c r="C34" s="14" t="s">
        <v>235</v>
      </c>
      <c r="D34" s="15" t="s">
        <v>236</v>
      </c>
      <c r="E34" s="15" t="s">
        <v>237</v>
      </c>
      <c r="F34" s="16"/>
      <c r="G34" s="17" t="s">
        <v>238</v>
      </c>
      <c r="H34" s="18" t="s">
        <v>239</v>
      </c>
    </row>
    <row r="35" spans="1:8" ht="12.75" customHeight="1" x14ac:dyDescent="0.2">
      <c r="A35" s="207" t="s">
        <v>64</v>
      </c>
      <c r="B35" s="19" t="s">
        <v>3</v>
      </c>
      <c r="C35" s="80">
        <v>1394.3954936555804</v>
      </c>
      <c r="D35" s="80">
        <v>1493.657688654961</v>
      </c>
      <c r="E35" s="81">
        <v>1550.7968450699473</v>
      </c>
      <c r="F35" s="22" t="s">
        <v>240</v>
      </c>
      <c r="G35" s="23">
        <v>11.216426912306019</v>
      </c>
      <c r="H35" s="24">
        <v>3.8254518989849799</v>
      </c>
    </row>
    <row r="36" spans="1:8" ht="12.75" customHeight="1" x14ac:dyDescent="0.2">
      <c r="A36" s="208"/>
      <c r="B36" s="25" t="s">
        <v>241</v>
      </c>
      <c r="C36" s="82">
        <v>374.95475105466704</v>
      </c>
      <c r="D36" s="82">
        <v>398.64248721138267</v>
      </c>
      <c r="E36" s="82">
        <v>414.92680469493018</v>
      </c>
      <c r="F36" s="27"/>
      <c r="G36" s="28">
        <v>10.660500641165456</v>
      </c>
      <c r="H36" s="29">
        <v>4.0849427760349784</v>
      </c>
    </row>
    <row r="37" spans="1:8" x14ac:dyDescent="0.2">
      <c r="A37" s="30" t="s">
        <v>53</v>
      </c>
      <c r="B37" s="31" t="s">
        <v>3</v>
      </c>
      <c r="C37" s="80">
        <v>7.6027626367869916E-2</v>
      </c>
      <c r="D37" s="80">
        <v>7.4554924604123871E-2</v>
      </c>
      <c r="E37" s="83">
        <v>0.14649192251680335</v>
      </c>
      <c r="F37" s="22" t="s">
        <v>240</v>
      </c>
      <c r="G37" s="32">
        <v>92.682488610103945</v>
      </c>
      <c r="H37" s="33">
        <v>96.488593201126264</v>
      </c>
    </row>
    <row r="38" spans="1:8" x14ac:dyDescent="0.2">
      <c r="A38" s="34"/>
      <c r="B38" s="25" t="s">
        <v>241</v>
      </c>
      <c r="C38" s="82">
        <v>7.2931240900337355E-2</v>
      </c>
      <c r="D38" s="82">
        <v>2.3002029492039965E-2</v>
      </c>
      <c r="E38" s="82">
        <v>5.8402707351416394E-2</v>
      </c>
      <c r="F38" s="27"/>
      <c r="G38" s="35">
        <v>-19.920864323115822</v>
      </c>
      <c r="H38" s="29">
        <v>153.90241053132775</v>
      </c>
    </row>
    <row r="39" spans="1:8" x14ac:dyDescent="0.2">
      <c r="A39" s="30" t="s">
        <v>54</v>
      </c>
      <c r="B39" s="31" t="s">
        <v>3</v>
      </c>
      <c r="C39" s="80">
        <v>71.708466618889048</v>
      </c>
      <c r="D39" s="80">
        <v>80.071126986024154</v>
      </c>
      <c r="E39" s="83">
        <v>80.093608435777455</v>
      </c>
      <c r="F39" s="22" t="s">
        <v>240</v>
      </c>
      <c r="G39" s="37">
        <v>11.69337766132017</v>
      </c>
      <c r="H39" s="33">
        <v>2.8076849420671124E-2</v>
      </c>
    </row>
    <row r="40" spans="1:8" x14ac:dyDescent="0.2">
      <c r="A40" s="34"/>
      <c r="B40" s="25" t="s">
        <v>241</v>
      </c>
      <c r="C40" s="82">
        <v>21.261623366646162</v>
      </c>
      <c r="D40" s="82">
        <v>17.089375022959281</v>
      </c>
      <c r="E40" s="82">
        <v>18.855111278265355</v>
      </c>
      <c r="F40" s="27"/>
      <c r="G40" s="28">
        <v>-11.318571714312213</v>
      </c>
      <c r="H40" s="29">
        <v>10.332362961979811</v>
      </c>
    </row>
    <row r="41" spans="1:8" x14ac:dyDescent="0.2">
      <c r="A41" s="30" t="s">
        <v>66</v>
      </c>
      <c r="B41" s="31" t="s">
        <v>3</v>
      </c>
      <c r="C41" s="80">
        <v>16.644909976128837</v>
      </c>
      <c r="D41" s="80">
        <v>9.5388551292949231</v>
      </c>
      <c r="E41" s="83">
        <v>8.8579329629478334</v>
      </c>
      <c r="F41" s="22" t="s">
        <v>240</v>
      </c>
      <c r="G41" s="23">
        <v>-46.782932586289952</v>
      </c>
      <c r="H41" s="24">
        <v>-7.1384055750663293</v>
      </c>
    </row>
    <row r="42" spans="1:8" x14ac:dyDescent="0.2">
      <c r="A42" s="34"/>
      <c r="B42" s="25" t="s">
        <v>241</v>
      </c>
      <c r="C42" s="82">
        <v>2.8097401510240698</v>
      </c>
      <c r="D42" s="82">
        <v>3.4678367254784694</v>
      </c>
      <c r="E42" s="82">
        <v>2.3258666335984519</v>
      </c>
      <c r="F42" s="27"/>
      <c r="G42" s="38">
        <v>-17.221290632489982</v>
      </c>
      <c r="H42" s="24">
        <v>-32.930330412901881</v>
      </c>
    </row>
    <row r="43" spans="1:8" x14ac:dyDescent="0.2">
      <c r="A43" s="30" t="s">
        <v>55</v>
      </c>
      <c r="B43" s="31" t="s">
        <v>3</v>
      </c>
      <c r="C43" s="80">
        <v>931.02751570303542</v>
      </c>
      <c r="D43" s="80">
        <v>1016.3953384194398</v>
      </c>
      <c r="E43" s="83">
        <v>1039.4813247427317</v>
      </c>
      <c r="F43" s="22" t="s">
        <v>240</v>
      </c>
      <c r="G43" s="37">
        <v>11.648829622162225</v>
      </c>
      <c r="H43" s="33">
        <v>2.2713589339353035</v>
      </c>
    </row>
    <row r="44" spans="1:8" x14ac:dyDescent="0.2">
      <c r="A44" s="34"/>
      <c r="B44" s="25" t="s">
        <v>241</v>
      </c>
      <c r="C44" s="82">
        <v>232.95562558452184</v>
      </c>
      <c r="D44" s="82">
        <v>272.91840764852549</v>
      </c>
      <c r="E44" s="82">
        <v>272.47375942701905</v>
      </c>
      <c r="F44" s="27"/>
      <c r="G44" s="28">
        <v>16.963803189272667</v>
      </c>
      <c r="H44" s="29">
        <v>-0.16292349986119348</v>
      </c>
    </row>
    <row r="45" spans="1:8" x14ac:dyDescent="0.2">
      <c r="A45" s="30" t="s">
        <v>67</v>
      </c>
      <c r="B45" s="31" t="s">
        <v>3</v>
      </c>
      <c r="C45" s="80">
        <v>211.08535407145368</v>
      </c>
      <c r="D45" s="80">
        <v>210.54857297526399</v>
      </c>
      <c r="E45" s="83">
        <v>219.45425626191985</v>
      </c>
      <c r="F45" s="22" t="s">
        <v>240</v>
      </c>
      <c r="G45" s="37">
        <v>3.9647005484014954</v>
      </c>
      <c r="H45" s="33">
        <v>4.2297523848343133</v>
      </c>
    </row>
    <row r="46" spans="1:8" x14ac:dyDescent="0.2">
      <c r="A46" s="30"/>
      <c r="B46" s="25" t="s">
        <v>241</v>
      </c>
      <c r="C46" s="82">
        <v>53.576925124514588</v>
      </c>
      <c r="D46" s="82">
        <v>57.780253711010957</v>
      </c>
      <c r="E46" s="82">
        <v>58.637037066404822</v>
      </c>
      <c r="F46" s="27"/>
      <c r="G46" s="28">
        <v>9.4445732563605702</v>
      </c>
      <c r="H46" s="29">
        <v>1.4828307256646696</v>
      </c>
    </row>
    <row r="47" spans="1:8" x14ac:dyDescent="0.2">
      <c r="A47" s="39" t="s">
        <v>56</v>
      </c>
      <c r="B47" s="31" t="s">
        <v>3</v>
      </c>
      <c r="C47" s="80">
        <v>13.040535450521411</v>
      </c>
      <c r="D47" s="80">
        <v>11.505510489894391</v>
      </c>
      <c r="E47" s="83">
        <v>9.8218357291223022</v>
      </c>
      <c r="F47" s="22" t="s">
        <v>240</v>
      </c>
      <c r="G47" s="23">
        <v>-24.682266564985355</v>
      </c>
      <c r="H47" s="24">
        <v>-14.633638048923657</v>
      </c>
    </row>
    <row r="48" spans="1:8" x14ac:dyDescent="0.2">
      <c r="A48" s="34"/>
      <c r="B48" s="25" t="s">
        <v>241</v>
      </c>
      <c r="C48" s="82">
        <v>3.7361282481251852</v>
      </c>
      <c r="D48" s="82">
        <v>3.6710328553634155</v>
      </c>
      <c r="E48" s="82">
        <v>3.0194225483170141</v>
      </c>
      <c r="F48" s="27"/>
      <c r="G48" s="38">
        <v>-19.183112896828931</v>
      </c>
      <c r="H48" s="24">
        <v>-17.750053805549356</v>
      </c>
    </row>
    <row r="49" spans="1:9" x14ac:dyDescent="0.2">
      <c r="A49" s="39" t="s">
        <v>68</v>
      </c>
      <c r="B49" s="31" t="s">
        <v>3</v>
      </c>
      <c r="C49" s="80">
        <v>3.8139490570951859</v>
      </c>
      <c r="D49" s="80">
        <v>2.3011466640619331</v>
      </c>
      <c r="E49" s="83">
        <v>2.4859463328694402</v>
      </c>
      <c r="F49" s="22" t="s">
        <v>240</v>
      </c>
      <c r="G49" s="37">
        <v>-34.819624078492311</v>
      </c>
      <c r="H49" s="33">
        <v>8.0307644746686009</v>
      </c>
    </row>
    <row r="50" spans="1:9" x14ac:dyDescent="0.2">
      <c r="A50" s="34"/>
      <c r="B50" s="25" t="s">
        <v>241</v>
      </c>
      <c r="C50" s="82">
        <v>1.3983576029231775</v>
      </c>
      <c r="D50" s="82">
        <v>0.89201616835474307</v>
      </c>
      <c r="E50" s="82">
        <v>0.94560100915680079</v>
      </c>
      <c r="F50" s="27"/>
      <c r="G50" s="28">
        <v>-32.377740344810064</v>
      </c>
      <c r="H50" s="29">
        <v>6.0071602626767344</v>
      </c>
    </row>
    <row r="51" spans="1:9" x14ac:dyDescent="0.2">
      <c r="A51" s="30" t="s">
        <v>69</v>
      </c>
      <c r="B51" s="31" t="s">
        <v>3</v>
      </c>
      <c r="C51" s="80">
        <v>146.9987351520891</v>
      </c>
      <c r="D51" s="80">
        <v>163.22258306637772</v>
      </c>
      <c r="E51" s="83">
        <v>197.57161679626068</v>
      </c>
      <c r="F51" s="22" t="s">
        <v>240</v>
      </c>
      <c r="G51" s="23">
        <v>34.403616869116206</v>
      </c>
      <c r="H51" s="24">
        <v>21.044290002391534</v>
      </c>
    </row>
    <row r="52" spans="1:9" ht="13.5" thickBot="1" x14ac:dyDescent="0.25">
      <c r="A52" s="56"/>
      <c r="B52" s="42" t="s">
        <v>241</v>
      </c>
      <c r="C52" s="86">
        <v>59.143419736011694</v>
      </c>
      <c r="D52" s="86">
        <v>42.800563050198278</v>
      </c>
      <c r="E52" s="86">
        <v>58.611604024817296</v>
      </c>
      <c r="F52" s="44"/>
      <c r="G52" s="57">
        <v>-0.89919675522344278</v>
      </c>
      <c r="H52" s="46">
        <v>36.94119854469011</v>
      </c>
    </row>
    <row r="53" spans="1:9" x14ac:dyDescent="0.2">
      <c r="A53" s="65"/>
      <c r="B53" s="62"/>
      <c r="C53" s="21"/>
      <c r="D53" s="21"/>
      <c r="E53" s="21"/>
      <c r="F53" s="63"/>
      <c r="G53" s="38"/>
      <c r="H53" s="60"/>
      <c r="I53" s="61"/>
    </row>
    <row r="54" spans="1:9" x14ac:dyDescent="0.2">
      <c r="A54" s="65"/>
      <c r="B54" s="62"/>
      <c r="C54" s="21"/>
      <c r="D54" s="21"/>
      <c r="E54" s="21"/>
      <c r="F54" s="63"/>
      <c r="G54" s="38"/>
      <c r="H54" s="60"/>
      <c r="I54" s="61"/>
    </row>
    <row r="55" spans="1:9" x14ac:dyDescent="0.2">
      <c r="A55" s="65"/>
      <c r="B55" s="62"/>
      <c r="C55" s="21"/>
      <c r="D55" s="21"/>
      <c r="E55" s="21"/>
      <c r="F55" s="63"/>
      <c r="G55" s="38"/>
      <c r="H55" s="60"/>
      <c r="I55" s="61"/>
    </row>
    <row r="56" spans="1:9" x14ac:dyDescent="0.2">
      <c r="A56" s="65"/>
      <c r="B56" s="62"/>
      <c r="C56" s="21"/>
      <c r="D56" s="21"/>
      <c r="E56" s="21"/>
      <c r="F56" s="63"/>
      <c r="G56" s="38"/>
      <c r="H56" s="60"/>
      <c r="I56" s="61"/>
    </row>
    <row r="57" spans="1:9" x14ac:dyDescent="0.2">
      <c r="A57" s="65"/>
      <c r="B57" s="62"/>
      <c r="C57" s="21"/>
      <c r="D57" s="21"/>
      <c r="E57" s="21"/>
      <c r="F57" s="63"/>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242</v>
      </c>
      <c r="G61" s="53"/>
      <c r="H61" s="210">
        <v>26</v>
      </c>
    </row>
    <row r="62" spans="1:9" ht="12.75" customHeight="1" x14ac:dyDescent="0.2">
      <c r="A62" s="54" t="s">
        <v>243</v>
      </c>
      <c r="G62" s="53"/>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showRowColHeaders="0" zoomScaleNormal="100" workbookViewId="0"/>
  </sheetViews>
  <sheetFormatPr defaultColWidth="11.42578125" defaultRowHeight="12.75" x14ac:dyDescent="0.2"/>
  <cols>
    <col min="1" max="1" width="27.140625" style="1" customWidth="1"/>
    <col min="2" max="4" width="10.5703125" style="1" customWidth="1"/>
    <col min="5" max="6" width="7.5703125" style="1" customWidth="1"/>
    <col min="7" max="7" width="8.140625" style="1" customWidth="1"/>
    <col min="8" max="16384" width="11.42578125" style="1"/>
  </cols>
  <sheetData>
    <row r="1" spans="1:7" ht="5.25" customHeight="1" x14ac:dyDescent="0.2"/>
    <row r="2" spans="1:7" x14ac:dyDescent="0.2">
      <c r="A2" s="92" t="s">
        <v>0</v>
      </c>
      <c r="B2" s="2"/>
      <c r="C2" s="2"/>
      <c r="D2" s="2"/>
      <c r="E2" s="2"/>
      <c r="F2" s="2"/>
    </row>
    <row r="3" spans="1:7" ht="6" customHeight="1" x14ac:dyDescent="0.2">
      <c r="A3" s="2"/>
      <c r="B3" s="2"/>
      <c r="C3" s="2"/>
      <c r="D3" s="2"/>
      <c r="E3" s="2"/>
      <c r="F3" s="2"/>
    </row>
    <row r="4" spans="1:7" ht="15.75" customHeight="1" x14ac:dyDescent="0.25">
      <c r="A4" s="88" t="s">
        <v>109</v>
      </c>
      <c r="B4" s="74"/>
      <c r="C4" s="74"/>
      <c r="D4" s="74"/>
      <c r="E4" s="74"/>
      <c r="F4" s="74"/>
      <c r="G4" s="74"/>
    </row>
    <row r="5" spans="1:7" ht="15.75" customHeight="1" x14ac:dyDescent="0.25">
      <c r="A5" s="75"/>
      <c r="B5" s="74"/>
      <c r="C5" s="74"/>
      <c r="D5" s="74"/>
      <c r="E5" s="74"/>
      <c r="F5" s="74"/>
      <c r="G5" s="74"/>
    </row>
    <row r="6" spans="1:7" ht="15.75" customHeight="1" x14ac:dyDescent="0.25">
      <c r="A6" s="73"/>
      <c r="B6" s="73"/>
      <c r="C6" s="73"/>
      <c r="D6" s="73"/>
      <c r="E6" s="73"/>
      <c r="F6" s="73"/>
      <c r="G6" s="73"/>
    </row>
    <row r="7" spans="1:7" ht="15.75" customHeight="1" x14ac:dyDescent="0.25">
      <c r="A7" s="73"/>
      <c r="B7" s="73"/>
      <c r="C7" s="73"/>
      <c r="D7" s="73"/>
      <c r="E7" s="73"/>
      <c r="F7" s="73"/>
      <c r="G7" s="73"/>
    </row>
    <row r="8" spans="1:7" ht="15.75" customHeight="1" x14ac:dyDescent="0.25">
      <c r="A8" s="73"/>
      <c r="B8" s="73"/>
      <c r="C8" s="73"/>
      <c r="D8" s="73"/>
      <c r="E8" s="73"/>
      <c r="F8" s="73"/>
      <c r="G8" s="73"/>
    </row>
    <row r="9" spans="1:7" ht="15.75" customHeight="1" x14ac:dyDescent="0.25">
      <c r="A9" s="73"/>
      <c r="B9" s="73"/>
      <c r="C9" s="73"/>
      <c r="D9" s="73"/>
      <c r="E9" s="73"/>
      <c r="F9" s="73"/>
      <c r="G9" s="73"/>
    </row>
    <row r="10" spans="1:7" ht="15.75" customHeight="1" x14ac:dyDescent="0.25">
      <c r="A10" s="73"/>
      <c r="B10" s="73"/>
      <c r="C10" s="73"/>
      <c r="D10" s="73"/>
      <c r="E10" s="73"/>
      <c r="F10" s="73"/>
      <c r="G10" s="73"/>
    </row>
    <row r="11" spans="1:7" ht="15.75" customHeight="1" x14ac:dyDescent="0.25">
      <c r="A11" s="73"/>
      <c r="B11" s="73"/>
      <c r="C11" s="73"/>
      <c r="D11" s="73"/>
      <c r="E11" s="73"/>
      <c r="F11" s="73"/>
      <c r="G11" s="73"/>
    </row>
    <row r="12" spans="1:7" ht="15.75" customHeight="1" x14ac:dyDescent="0.25">
      <c r="A12" s="73"/>
      <c r="B12" s="73"/>
      <c r="C12" s="73"/>
      <c r="D12" s="73"/>
      <c r="E12" s="73"/>
      <c r="F12" s="73"/>
      <c r="G12" s="73"/>
    </row>
    <row r="13" spans="1:7" ht="15.75" customHeight="1" x14ac:dyDescent="0.25">
      <c r="A13" s="73"/>
      <c r="B13" s="73"/>
      <c r="C13" s="73"/>
      <c r="D13" s="73"/>
      <c r="E13" s="73"/>
      <c r="F13" s="73"/>
      <c r="G13" s="73"/>
    </row>
    <row r="14" spans="1:7" ht="15.75" customHeight="1" x14ac:dyDescent="0.25">
      <c r="A14" s="73"/>
      <c r="B14" s="73"/>
      <c r="C14" s="73"/>
      <c r="D14" s="73"/>
      <c r="E14" s="73"/>
      <c r="F14" s="73"/>
      <c r="G14" s="73"/>
    </row>
    <row r="15" spans="1:7" ht="15.75" customHeight="1" x14ac:dyDescent="0.25">
      <c r="A15" s="73"/>
      <c r="B15" s="73"/>
      <c r="C15" s="73"/>
      <c r="D15" s="73"/>
      <c r="E15" s="73"/>
      <c r="F15" s="73"/>
      <c r="G15" s="73"/>
    </row>
    <row r="16" spans="1:7" ht="15.75" customHeight="1" x14ac:dyDescent="0.25">
      <c r="A16" s="73"/>
      <c r="B16" s="73"/>
      <c r="C16" s="73"/>
      <c r="D16" s="73"/>
      <c r="E16" s="73"/>
      <c r="F16" s="73"/>
      <c r="G16" s="73"/>
    </row>
    <row r="17" spans="1:13" ht="15.75" customHeight="1" x14ac:dyDescent="0.25">
      <c r="A17" s="73"/>
      <c r="B17" s="73"/>
      <c r="C17" s="73"/>
      <c r="D17" s="73"/>
      <c r="E17" s="73"/>
      <c r="F17" s="73"/>
      <c r="G17" s="73"/>
    </row>
    <row r="18" spans="1:13" ht="15.75" customHeight="1" x14ac:dyDescent="0.25">
      <c r="A18" s="73"/>
      <c r="B18" s="73"/>
      <c r="C18" s="73"/>
      <c r="D18" s="73"/>
      <c r="E18" s="73"/>
      <c r="F18" s="73"/>
      <c r="G18" s="73"/>
    </row>
    <row r="19" spans="1:13" ht="15.75" customHeight="1" x14ac:dyDescent="0.25">
      <c r="A19" s="73"/>
      <c r="B19" s="73"/>
      <c r="C19" s="73"/>
      <c r="D19" s="73"/>
      <c r="E19" s="73"/>
      <c r="F19" s="73"/>
      <c r="G19" s="73"/>
    </row>
    <row r="20" spans="1:13" ht="15.75" customHeight="1" x14ac:dyDescent="0.25">
      <c r="A20" s="73"/>
      <c r="B20" s="73"/>
      <c r="C20" s="73"/>
      <c r="D20" s="73"/>
      <c r="E20" s="73"/>
      <c r="F20" s="73"/>
      <c r="G20" s="73"/>
    </row>
    <row r="21" spans="1:13" ht="15.75" customHeight="1" x14ac:dyDescent="0.25">
      <c r="A21" s="73"/>
      <c r="B21" s="73"/>
      <c r="C21" s="73"/>
      <c r="D21" s="73"/>
      <c r="E21" s="73"/>
      <c r="F21" s="73"/>
      <c r="G21" s="73"/>
    </row>
    <row r="22" spans="1:13" ht="15.75" customHeight="1" x14ac:dyDescent="0.25">
      <c r="A22" s="73"/>
      <c r="B22" s="73"/>
      <c r="C22" s="73"/>
      <c r="D22" s="73"/>
      <c r="E22" s="73"/>
      <c r="F22" s="73"/>
      <c r="G22" s="73"/>
    </row>
    <row r="23" spans="1:13" ht="15.75" customHeight="1" x14ac:dyDescent="0.25">
      <c r="A23" s="73"/>
      <c r="B23" s="73"/>
      <c r="C23" s="73"/>
      <c r="D23" s="73"/>
      <c r="E23" s="73"/>
      <c r="F23" s="73"/>
      <c r="G23" s="73"/>
    </row>
    <row r="24" spans="1:13" ht="15.75" customHeight="1" x14ac:dyDescent="0.25">
      <c r="A24" s="73"/>
      <c r="B24" s="73"/>
      <c r="C24" s="73"/>
      <c r="D24" s="73"/>
      <c r="E24" s="73"/>
      <c r="F24" s="73"/>
      <c r="G24" s="73"/>
    </row>
    <row r="25" spans="1:13" ht="15.75" customHeight="1" x14ac:dyDescent="0.25">
      <c r="A25" s="73"/>
      <c r="B25" s="73"/>
      <c r="C25" s="73"/>
      <c r="D25" s="73"/>
      <c r="E25" s="73"/>
      <c r="F25" s="73"/>
      <c r="G25" s="73"/>
    </row>
    <row r="26" spans="1:13" ht="15.75" customHeight="1" x14ac:dyDescent="0.25">
      <c r="A26" s="73"/>
      <c r="B26" s="73"/>
      <c r="C26" s="73"/>
      <c r="D26" s="73"/>
      <c r="E26" s="73"/>
      <c r="F26" s="73"/>
      <c r="G26" s="73"/>
    </row>
    <row r="27" spans="1:13" ht="15.75" customHeight="1" x14ac:dyDescent="0.25">
      <c r="A27" s="73"/>
      <c r="B27" s="73"/>
      <c r="C27" s="73"/>
      <c r="D27" s="73"/>
      <c r="E27" s="73"/>
      <c r="F27" s="73"/>
      <c r="G27" s="73"/>
      <c r="M27" s="77"/>
    </row>
    <row r="28" spans="1:13" ht="15.75" customHeight="1" x14ac:dyDescent="0.25">
      <c r="A28" s="73"/>
      <c r="B28" s="73"/>
      <c r="C28" s="73"/>
      <c r="D28" s="73"/>
      <c r="E28" s="73"/>
      <c r="F28" s="73"/>
      <c r="G28" s="73"/>
      <c r="M28" s="77"/>
    </row>
    <row r="29" spans="1:13" ht="15.75" customHeight="1" x14ac:dyDescent="0.25">
      <c r="A29" s="73"/>
      <c r="B29" s="73"/>
      <c r="C29" s="73"/>
      <c r="D29" s="73"/>
      <c r="E29" s="73"/>
      <c r="F29" s="73"/>
      <c r="G29" s="73"/>
      <c r="M29" s="77"/>
    </row>
    <row r="30" spans="1:13" ht="15.75" customHeight="1" x14ac:dyDescent="0.25">
      <c r="A30" s="73"/>
      <c r="B30" s="73"/>
      <c r="C30" s="73"/>
      <c r="D30" s="73"/>
      <c r="E30" s="73"/>
      <c r="F30" s="73"/>
      <c r="G30" s="73"/>
      <c r="M30" s="77"/>
    </row>
    <row r="31" spans="1:13" ht="15.75" customHeight="1" x14ac:dyDescent="0.25">
      <c r="A31" s="73"/>
      <c r="B31" s="73"/>
      <c r="C31" s="73"/>
      <c r="D31" s="73"/>
      <c r="E31" s="73"/>
      <c r="F31" s="73"/>
      <c r="G31" s="73"/>
      <c r="M31" s="77"/>
    </row>
    <row r="32" spans="1:13" ht="15.75" customHeight="1" x14ac:dyDescent="0.25">
      <c r="A32" s="73"/>
      <c r="B32" s="73"/>
      <c r="C32" s="73"/>
      <c r="D32" s="73"/>
      <c r="E32" s="73"/>
      <c r="F32" s="73"/>
      <c r="G32" s="73"/>
      <c r="M32" s="77"/>
    </row>
    <row r="33" spans="1:13" ht="15.75" customHeight="1" x14ac:dyDescent="0.25">
      <c r="A33" s="73"/>
      <c r="B33" s="73"/>
      <c r="C33" s="73"/>
      <c r="D33" s="73"/>
      <c r="E33" s="73"/>
      <c r="F33" s="73"/>
      <c r="G33" s="73"/>
      <c r="M33" s="77"/>
    </row>
    <row r="34" spans="1:13" ht="15.75" customHeight="1" x14ac:dyDescent="0.25">
      <c r="A34" s="73"/>
      <c r="B34" s="73"/>
      <c r="C34" s="73"/>
      <c r="D34" s="73"/>
      <c r="E34" s="73"/>
      <c r="F34" s="73"/>
      <c r="G34" s="73"/>
      <c r="M34" s="77"/>
    </row>
    <row r="35" spans="1:13" ht="15.75" customHeight="1" x14ac:dyDescent="0.25">
      <c r="A35" s="73"/>
      <c r="B35" s="73"/>
      <c r="C35" s="73"/>
      <c r="D35" s="73"/>
      <c r="E35" s="73"/>
      <c r="F35" s="73"/>
      <c r="G35" s="73"/>
      <c r="M35" s="77"/>
    </row>
    <row r="36" spans="1:13" ht="15.75" customHeight="1" x14ac:dyDescent="0.25">
      <c r="A36" s="73"/>
      <c r="B36" s="73"/>
      <c r="C36" s="73"/>
      <c r="D36" s="73"/>
      <c r="E36" s="73"/>
      <c r="F36" s="73"/>
      <c r="G36" s="73"/>
      <c r="M36" s="77"/>
    </row>
    <row r="37" spans="1:13" ht="15.75" customHeight="1" x14ac:dyDescent="0.25">
      <c r="A37" s="73"/>
      <c r="B37" s="73"/>
      <c r="C37" s="73"/>
      <c r="D37" s="73"/>
      <c r="E37" s="73"/>
      <c r="F37" s="73"/>
      <c r="G37" s="73"/>
      <c r="M37" s="77"/>
    </row>
    <row r="38" spans="1:13" ht="15.75" customHeight="1" x14ac:dyDescent="0.25">
      <c r="A38" s="73"/>
      <c r="B38" s="73"/>
      <c r="C38" s="73"/>
      <c r="D38" s="73"/>
      <c r="E38" s="73"/>
      <c r="F38" s="73"/>
      <c r="G38" s="73"/>
      <c r="M38" s="77"/>
    </row>
    <row r="39" spans="1:13" ht="15.75" customHeight="1" x14ac:dyDescent="0.25">
      <c r="A39" s="73"/>
      <c r="B39" s="73"/>
      <c r="C39" s="73"/>
      <c r="D39" s="73"/>
      <c r="E39" s="73"/>
      <c r="F39" s="73"/>
      <c r="G39" s="73"/>
      <c r="M39" s="77"/>
    </row>
    <row r="40" spans="1:13" ht="15.75" customHeight="1" x14ac:dyDescent="0.25">
      <c r="A40" s="73"/>
      <c r="B40" s="73"/>
      <c r="C40" s="73"/>
      <c r="D40" s="73"/>
      <c r="E40" s="73"/>
      <c r="F40" s="73"/>
      <c r="G40" s="73"/>
      <c r="M40" s="77"/>
    </row>
    <row r="41" spans="1:13" ht="15.75" customHeight="1" x14ac:dyDescent="0.25">
      <c r="A41" s="73"/>
      <c r="B41" s="73"/>
      <c r="C41" s="73"/>
      <c r="D41" s="73"/>
      <c r="E41" s="73"/>
      <c r="F41" s="73"/>
      <c r="G41" s="73"/>
      <c r="M41" s="77"/>
    </row>
    <row r="42" spans="1:13" ht="15.75" customHeight="1" x14ac:dyDescent="0.25">
      <c r="A42" s="73"/>
      <c r="B42" s="73"/>
      <c r="C42" s="73"/>
      <c r="D42" s="73"/>
      <c r="E42" s="73"/>
      <c r="F42" s="73"/>
      <c r="G42" s="73"/>
      <c r="M42" s="77"/>
    </row>
    <row r="43" spans="1:13" ht="15.75" customHeight="1" x14ac:dyDescent="0.25">
      <c r="A43" s="73"/>
      <c r="B43" s="73"/>
      <c r="C43" s="73"/>
      <c r="D43" s="73"/>
      <c r="E43" s="73"/>
      <c r="F43" s="73"/>
      <c r="G43" s="73"/>
      <c r="M43" s="77"/>
    </row>
    <row r="44" spans="1:13" ht="15.75" customHeight="1" x14ac:dyDescent="0.25">
      <c r="A44" s="73"/>
      <c r="B44" s="73"/>
      <c r="C44" s="73"/>
      <c r="D44" s="73"/>
      <c r="E44" s="73"/>
      <c r="F44" s="73"/>
      <c r="G44" s="73"/>
      <c r="M44" s="77"/>
    </row>
    <row r="45" spans="1:13" ht="15.75" customHeight="1" x14ac:dyDescent="0.25">
      <c r="A45" s="73"/>
      <c r="B45" s="73"/>
      <c r="C45" s="73"/>
      <c r="D45" s="73"/>
      <c r="E45" s="73"/>
      <c r="F45" s="73"/>
      <c r="G45" s="73"/>
      <c r="M45" s="77"/>
    </row>
    <row r="46" spans="1:13" ht="15.75" customHeight="1" x14ac:dyDescent="0.25">
      <c r="A46" s="73"/>
      <c r="B46" s="73"/>
      <c r="C46" s="73"/>
      <c r="D46" s="73"/>
      <c r="E46" s="73"/>
      <c r="F46" s="73"/>
      <c r="G46" s="73"/>
      <c r="M46" s="77"/>
    </row>
    <row r="47" spans="1:13" ht="15.75" customHeight="1" x14ac:dyDescent="0.25">
      <c r="A47" s="73"/>
      <c r="B47" s="73"/>
      <c r="C47" s="73"/>
      <c r="D47" s="73"/>
      <c r="E47" s="73"/>
      <c r="F47" s="73"/>
      <c r="G47" s="73"/>
      <c r="M47" s="77"/>
    </row>
    <row r="48" spans="1:13" ht="15.75" customHeight="1" x14ac:dyDescent="0.25">
      <c r="A48" s="73"/>
      <c r="B48" s="73"/>
      <c r="C48" s="73"/>
      <c r="D48" s="73"/>
      <c r="E48" s="73"/>
      <c r="F48" s="73"/>
      <c r="G48" s="73"/>
      <c r="M48" s="77"/>
    </row>
    <row r="49" spans="1:14" ht="15.75" customHeight="1" x14ac:dyDescent="0.25">
      <c r="A49" s="73"/>
      <c r="B49" s="73"/>
      <c r="C49" s="73"/>
      <c r="D49" s="73"/>
      <c r="E49" s="95"/>
      <c r="F49" s="73"/>
      <c r="G49" s="73"/>
      <c r="M49" s="77"/>
    </row>
    <row r="50" spans="1:14" ht="15.75" customHeight="1" x14ac:dyDescent="0.25">
      <c r="A50" s="73"/>
      <c r="B50" s="73"/>
      <c r="C50" s="73"/>
      <c r="D50" s="73"/>
      <c r="E50" s="73"/>
      <c r="F50" s="73"/>
      <c r="G50" s="73"/>
      <c r="M50" s="77"/>
    </row>
    <row r="51" spans="1:14" ht="12.75" customHeight="1" x14ac:dyDescent="0.2">
      <c r="A51" s="52"/>
      <c r="B51" s="52"/>
      <c r="C51" s="52"/>
      <c r="D51" s="52"/>
      <c r="E51" s="52"/>
      <c r="F51" s="52"/>
      <c r="G51" s="52"/>
      <c r="H51" s="52"/>
      <c r="I51" s="52"/>
      <c r="J51" s="52"/>
      <c r="K51" s="52"/>
      <c r="L51" s="52"/>
      <c r="M51" s="52"/>
      <c r="N51" s="52"/>
    </row>
    <row r="52" spans="1:14" ht="12.75" customHeight="1" x14ac:dyDescent="0.2">
      <c r="A52" s="54" t="str">
        <f>+Innhold!B123</f>
        <v>Finans Norge / Skadeforsikringsstatistikk</v>
      </c>
      <c r="G52" s="202">
        <v>27</v>
      </c>
      <c r="H52" s="54" t="str">
        <f>+Innhold!B123</f>
        <v>Finans Norge / Skadeforsikringsstatistikk</v>
      </c>
      <c r="N52" s="202">
        <v>28</v>
      </c>
    </row>
    <row r="53" spans="1:14" ht="12.75" customHeight="1" x14ac:dyDescent="0.2">
      <c r="A53" s="54" t="str">
        <f>+Innhold!B124</f>
        <v>Skadestatistikk for landbasert forsikring 1. kvartal 2022</v>
      </c>
      <c r="G53" s="203"/>
      <c r="H53" s="54" t="str">
        <f>+Innhold!B124</f>
        <v>Skadestatistikk for landbasert forsikring 1. kvartal 2022</v>
      </c>
      <c r="N53" s="203"/>
    </row>
    <row r="54" spans="1:14" ht="15.75" customHeight="1" x14ac:dyDescent="0.2"/>
    <row r="55" spans="1:14" ht="15.75" customHeight="1" x14ac:dyDescent="0.2"/>
    <row r="56" spans="1:14" ht="15.75" customHeight="1" x14ac:dyDescent="0.2"/>
    <row r="57" spans="1:14" ht="15.75" customHeight="1" x14ac:dyDescent="0.2"/>
    <row r="58" spans="1:14" ht="15.75" customHeight="1" x14ac:dyDescent="0.2"/>
    <row r="59" spans="1:14" ht="15.75" customHeight="1" x14ac:dyDescent="0.2"/>
    <row r="60" spans="1:14" ht="15.75" customHeight="1" x14ac:dyDescent="0.2">
      <c r="J60"/>
      <c r="K60"/>
      <c r="L60"/>
    </row>
    <row r="61" spans="1:14" ht="15.75" customHeight="1" x14ac:dyDescent="0.2">
      <c r="J61" s="71"/>
      <c r="K61" s="72"/>
      <c r="L61" s="72"/>
    </row>
    <row r="62" spans="1:14" ht="15.75" customHeight="1" x14ac:dyDescent="0.2">
      <c r="J62" s="70"/>
      <c r="K62"/>
      <c r="L62"/>
    </row>
    <row r="63" spans="1:14" ht="15.75" customHeight="1" x14ac:dyDescent="0.2">
      <c r="J63" s="69"/>
      <c r="K63" s="69"/>
      <c r="L63" s="69"/>
    </row>
    <row r="64" spans="1:14" ht="15.75" customHeight="1" x14ac:dyDescent="0.2">
      <c r="J64" s="69"/>
      <c r="K64" s="69"/>
      <c r="L64" s="69"/>
    </row>
    <row r="65" spans="1:12" ht="15.75" customHeight="1" x14ac:dyDescent="0.2">
      <c r="J65" s="69"/>
      <c r="K65" s="69"/>
      <c r="L65" s="69"/>
    </row>
    <row r="66" spans="1:12" ht="15.75" customHeight="1" x14ac:dyDescent="0.2">
      <c r="J66" s="69"/>
      <c r="K66" s="69"/>
      <c r="L66" s="69"/>
    </row>
    <row r="67" spans="1:12" ht="15.75" customHeight="1" x14ac:dyDescent="0.2">
      <c r="J67" s="69"/>
      <c r="K67" s="69"/>
      <c r="L67" s="69"/>
    </row>
    <row r="68" spans="1:12" ht="15.75" customHeight="1" x14ac:dyDescent="0.2">
      <c r="J68" s="69"/>
      <c r="K68" s="69"/>
      <c r="L68" s="69"/>
    </row>
    <row r="69" spans="1:12" ht="15.75" customHeight="1" x14ac:dyDescent="0.2">
      <c r="J69" s="69"/>
      <c r="K69" s="69"/>
      <c r="L69" s="69"/>
    </row>
    <row r="70" spans="1:12" ht="15.75" customHeight="1" x14ac:dyDescent="0.2">
      <c r="J70"/>
      <c r="K70"/>
      <c r="L70"/>
    </row>
    <row r="71" spans="1:12" x14ac:dyDescent="0.2">
      <c r="J71"/>
      <c r="K71"/>
      <c r="L71"/>
    </row>
    <row r="72" spans="1:12" x14ac:dyDescent="0.2">
      <c r="J72"/>
      <c r="K72"/>
      <c r="L72"/>
    </row>
    <row r="73" spans="1:12" x14ac:dyDescent="0.2">
      <c r="A73"/>
      <c r="B73"/>
      <c r="C73"/>
      <c r="D73"/>
      <c r="E73"/>
      <c r="F73"/>
      <c r="H73"/>
      <c r="I73"/>
      <c r="J73"/>
      <c r="K73"/>
      <c r="L73"/>
    </row>
    <row r="74" spans="1:12" x14ac:dyDescent="0.2">
      <c r="A74"/>
      <c r="B74"/>
      <c r="C74"/>
      <c r="D74"/>
      <c r="E74"/>
      <c r="F74"/>
      <c r="H74"/>
      <c r="I74"/>
      <c r="J74"/>
      <c r="K74"/>
      <c r="L74"/>
    </row>
    <row r="75" spans="1:12" x14ac:dyDescent="0.2">
      <c r="A75"/>
      <c r="B75"/>
      <c r="C75"/>
      <c r="D75"/>
      <c r="E75"/>
      <c r="F75"/>
      <c r="H75"/>
      <c r="I75"/>
      <c r="J75"/>
      <c r="K75"/>
      <c r="L75"/>
    </row>
    <row r="76" spans="1:12" x14ac:dyDescent="0.2">
      <c r="A76"/>
      <c r="B76"/>
      <c r="C76"/>
      <c r="D76"/>
      <c r="E76"/>
      <c r="F76"/>
      <c r="H76"/>
      <c r="I76"/>
      <c r="J76"/>
      <c r="K76"/>
      <c r="L76"/>
    </row>
    <row r="77" spans="1:12" x14ac:dyDescent="0.2">
      <c r="A77"/>
      <c r="B77"/>
      <c r="C77"/>
      <c r="D77"/>
      <c r="E77"/>
      <c r="F77"/>
      <c r="H77"/>
      <c r="I77"/>
      <c r="J77"/>
      <c r="K77"/>
      <c r="L77"/>
    </row>
    <row r="78" spans="1:12" x14ac:dyDescent="0.2">
      <c r="A78"/>
      <c r="B78"/>
      <c r="C78"/>
      <c r="D78"/>
      <c r="E78"/>
      <c r="F78"/>
      <c r="H78"/>
      <c r="I78"/>
      <c r="J78"/>
      <c r="K78"/>
      <c r="L78"/>
    </row>
    <row r="79" spans="1:12" x14ac:dyDescent="0.2">
      <c r="A79"/>
      <c r="B79"/>
      <c r="C79"/>
      <c r="D79"/>
      <c r="E79"/>
      <c r="F79"/>
      <c r="H79"/>
      <c r="I79"/>
      <c r="J79"/>
      <c r="K79"/>
      <c r="L79"/>
    </row>
    <row r="80" spans="1:12" x14ac:dyDescent="0.2">
      <c r="A80"/>
      <c r="B80"/>
      <c r="C80"/>
      <c r="D80"/>
      <c r="E80"/>
      <c r="F80"/>
      <c r="H80"/>
      <c r="I80"/>
      <c r="J80"/>
      <c r="K80"/>
      <c r="L80"/>
    </row>
    <row r="81" spans="1:12" x14ac:dyDescent="0.2">
      <c r="A81"/>
      <c r="B81"/>
      <c r="C81"/>
      <c r="D81"/>
      <c r="E81"/>
      <c r="F81"/>
      <c r="H81"/>
      <c r="I81"/>
      <c r="J81"/>
      <c r="K81"/>
      <c r="L81"/>
    </row>
    <row r="82" spans="1:12" x14ac:dyDescent="0.2">
      <c r="A82"/>
      <c r="B82"/>
      <c r="C82"/>
      <c r="D82"/>
      <c r="E82"/>
      <c r="F82"/>
      <c r="H82"/>
      <c r="I82"/>
      <c r="J82"/>
      <c r="K82"/>
      <c r="L82"/>
    </row>
    <row r="83" spans="1:12" x14ac:dyDescent="0.2">
      <c r="A83"/>
      <c r="B83"/>
      <c r="C83"/>
      <c r="D83"/>
      <c r="E83"/>
      <c r="F83"/>
      <c r="H83"/>
      <c r="I83"/>
      <c r="J83"/>
      <c r="K83"/>
      <c r="L83"/>
    </row>
    <row r="84" spans="1:12" x14ac:dyDescent="0.2">
      <c r="A84"/>
      <c r="B84"/>
      <c r="C84"/>
      <c r="D84"/>
      <c r="E84"/>
      <c r="F84"/>
      <c r="H84"/>
      <c r="I84"/>
      <c r="J84"/>
      <c r="K84"/>
      <c r="L84"/>
    </row>
    <row r="85" spans="1:12" x14ac:dyDescent="0.2">
      <c r="A85"/>
      <c r="B85"/>
      <c r="C85"/>
      <c r="D85"/>
      <c r="E85"/>
      <c r="F85"/>
      <c r="H85"/>
      <c r="I85"/>
      <c r="J85"/>
      <c r="K85"/>
      <c r="L85"/>
    </row>
    <row r="86" spans="1:12" x14ac:dyDescent="0.2">
      <c r="A86"/>
      <c r="B86"/>
      <c r="C86"/>
      <c r="D86"/>
      <c r="E86"/>
      <c r="F86"/>
      <c r="H86"/>
      <c r="I86"/>
      <c r="J86"/>
      <c r="K86"/>
      <c r="L86"/>
    </row>
    <row r="87" spans="1:12" x14ac:dyDescent="0.2">
      <c r="A87"/>
      <c r="B87"/>
      <c r="C87"/>
      <c r="D87"/>
      <c r="E87"/>
      <c r="F87"/>
      <c r="H87"/>
      <c r="I87"/>
      <c r="J87"/>
      <c r="K87"/>
      <c r="L87"/>
    </row>
    <row r="88" spans="1:12" x14ac:dyDescent="0.2">
      <c r="A88"/>
      <c r="B88"/>
      <c r="C88"/>
      <c r="D88"/>
      <c r="E88"/>
      <c r="F88"/>
      <c r="H88"/>
      <c r="I88"/>
      <c r="J88"/>
      <c r="K88"/>
      <c r="L88"/>
    </row>
    <row r="89" spans="1:12" x14ac:dyDescent="0.2">
      <c r="A89"/>
      <c r="B89"/>
      <c r="C89"/>
      <c r="D89"/>
      <c r="E89"/>
      <c r="F89"/>
      <c r="H89"/>
      <c r="I89"/>
      <c r="J89"/>
      <c r="K89"/>
      <c r="L89"/>
    </row>
    <row r="90" spans="1:12" x14ac:dyDescent="0.2">
      <c r="A90"/>
      <c r="B90"/>
      <c r="C90"/>
      <c r="D90"/>
      <c r="E90"/>
      <c r="F90"/>
      <c r="H90"/>
      <c r="I90"/>
      <c r="J90"/>
      <c r="K90"/>
      <c r="L90"/>
    </row>
    <row r="91" spans="1:12" x14ac:dyDescent="0.2">
      <c r="A91"/>
      <c r="B91"/>
      <c r="C91"/>
      <c r="D91"/>
      <c r="E91"/>
      <c r="F91"/>
      <c r="H91"/>
      <c r="I91"/>
      <c r="J91"/>
      <c r="K91"/>
      <c r="L91"/>
    </row>
    <row r="92" spans="1:12" x14ac:dyDescent="0.2">
      <c r="A92"/>
      <c r="B92"/>
      <c r="C92"/>
      <c r="D92"/>
      <c r="E92"/>
      <c r="F92"/>
      <c r="H92"/>
      <c r="I92"/>
      <c r="J92"/>
      <c r="K92"/>
      <c r="L92"/>
    </row>
    <row r="93" spans="1:12" x14ac:dyDescent="0.2">
      <c r="A93"/>
      <c r="B93"/>
      <c r="C93"/>
      <c r="D93"/>
      <c r="E93"/>
      <c r="F93"/>
      <c r="H93"/>
      <c r="I93"/>
      <c r="J93"/>
      <c r="K93"/>
      <c r="L93"/>
    </row>
    <row r="94" spans="1:12" x14ac:dyDescent="0.2">
      <c r="A94"/>
      <c r="B94"/>
      <c r="C94"/>
      <c r="D94"/>
      <c r="E94"/>
      <c r="F94"/>
      <c r="H94"/>
      <c r="I94"/>
      <c r="J94"/>
      <c r="K94"/>
      <c r="L94"/>
    </row>
    <row r="95" spans="1:12" x14ac:dyDescent="0.2">
      <c r="A95"/>
      <c r="B95"/>
      <c r="C95"/>
      <c r="D95"/>
      <c r="E95"/>
      <c r="F95"/>
      <c r="H95"/>
      <c r="I95"/>
      <c r="J95"/>
      <c r="K95"/>
      <c r="L95"/>
    </row>
    <row r="96" spans="1:12" x14ac:dyDescent="0.2">
      <c r="A96"/>
      <c r="B96"/>
      <c r="C96"/>
      <c r="D96"/>
      <c r="E96"/>
      <c r="F96"/>
      <c r="H96"/>
      <c r="I96"/>
      <c r="J96"/>
      <c r="K96"/>
      <c r="L96"/>
    </row>
    <row r="97" spans="1:12" x14ac:dyDescent="0.2">
      <c r="A97"/>
      <c r="B97"/>
      <c r="C97"/>
      <c r="D97"/>
      <c r="E97"/>
      <c r="F97"/>
      <c r="H97"/>
      <c r="I97"/>
      <c r="J97"/>
      <c r="K97"/>
      <c r="L97"/>
    </row>
    <row r="98" spans="1:12" x14ac:dyDescent="0.2">
      <c r="A98"/>
      <c r="B98"/>
      <c r="C98"/>
      <c r="D98"/>
      <c r="E98"/>
      <c r="F98"/>
      <c r="H98"/>
      <c r="I98"/>
      <c r="J98"/>
      <c r="K98"/>
      <c r="L98"/>
    </row>
    <row r="99" spans="1:12" x14ac:dyDescent="0.2">
      <c r="A99"/>
      <c r="B99"/>
      <c r="C99"/>
      <c r="D99"/>
      <c r="E99"/>
      <c r="F99"/>
      <c r="K99"/>
    </row>
    <row r="100" spans="1:12" x14ac:dyDescent="0.2">
      <c r="A100"/>
      <c r="B100"/>
      <c r="C100"/>
      <c r="D100"/>
      <c r="E100"/>
      <c r="F100"/>
      <c r="K100"/>
    </row>
    <row r="101" spans="1:12" x14ac:dyDescent="0.2">
      <c r="A101"/>
      <c r="B101"/>
      <c r="C101"/>
      <c r="D101"/>
      <c r="E101"/>
      <c r="F101"/>
      <c r="H101" s="68"/>
      <c r="I101"/>
      <c r="J101"/>
      <c r="K101"/>
    </row>
    <row r="102" spans="1:12" x14ac:dyDescent="0.2">
      <c r="A102"/>
      <c r="B102"/>
      <c r="C102"/>
      <c r="D102"/>
      <c r="E102"/>
      <c r="F102"/>
      <c r="H102"/>
      <c r="I102"/>
      <c r="J102"/>
      <c r="K102"/>
    </row>
    <row r="103" spans="1:12" x14ac:dyDescent="0.2">
      <c r="A103"/>
      <c r="B103"/>
      <c r="C103"/>
      <c r="D103"/>
      <c r="E103"/>
      <c r="F103"/>
      <c r="H103"/>
      <c r="I103"/>
      <c r="J103"/>
      <c r="K103"/>
    </row>
    <row r="104" spans="1:12" x14ac:dyDescent="0.2">
      <c r="A104"/>
      <c r="B104"/>
      <c r="C104"/>
      <c r="D104"/>
      <c r="E104"/>
      <c r="F104"/>
      <c r="H104"/>
      <c r="I104"/>
      <c r="J104"/>
      <c r="K104"/>
    </row>
    <row r="105" spans="1:12" x14ac:dyDescent="0.2">
      <c r="A105"/>
      <c r="B105"/>
      <c r="C105"/>
      <c r="D105"/>
      <c r="E105"/>
      <c r="F105"/>
      <c r="H105"/>
      <c r="I105" s="69"/>
      <c r="J105" s="69"/>
      <c r="K105" s="69"/>
    </row>
    <row r="106" spans="1:12" x14ac:dyDescent="0.2">
      <c r="A106"/>
      <c r="B106"/>
      <c r="C106"/>
      <c r="D106"/>
      <c r="E106"/>
      <c r="F106"/>
      <c r="H106"/>
      <c r="I106" s="69"/>
      <c r="J106" s="69"/>
      <c r="K106" s="69"/>
    </row>
    <row r="107" spans="1:12" x14ac:dyDescent="0.2">
      <c r="D107"/>
      <c r="E107"/>
      <c r="F107"/>
      <c r="H107"/>
      <c r="I107" s="69"/>
      <c r="J107" s="69"/>
      <c r="K107" s="69"/>
    </row>
    <row r="108" spans="1:12" x14ac:dyDescent="0.2">
      <c r="D108"/>
      <c r="E108"/>
      <c r="F108"/>
      <c r="H108"/>
      <c r="I108"/>
      <c r="J108"/>
      <c r="K108"/>
    </row>
    <row r="109" spans="1:12" x14ac:dyDescent="0.2">
      <c r="A109" s="78"/>
      <c r="B109"/>
      <c r="C109"/>
      <c r="D109"/>
      <c r="E109"/>
      <c r="F109"/>
      <c r="H109"/>
      <c r="I109"/>
      <c r="J109"/>
      <c r="K109"/>
    </row>
    <row r="110" spans="1:12" x14ac:dyDescent="0.2">
      <c r="A110"/>
      <c r="B110"/>
      <c r="C110"/>
      <c r="D110"/>
      <c r="E110"/>
      <c r="F110"/>
      <c r="H110"/>
      <c r="I110"/>
      <c r="J110"/>
      <c r="K110"/>
    </row>
    <row r="111" spans="1:12" x14ac:dyDescent="0.2">
      <c r="A111"/>
      <c r="B111"/>
      <c r="C111"/>
      <c r="D111"/>
      <c r="E111"/>
      <c r="F111"/>
      <c r="H111"/>
      <c r="I111"/>
      <c r="J111"/>
      <c r="K111"/>
    </row>
    <row r="112" spans="1:12" x14ac:dyDescent="0.2">
      <c r="A112"/>
      <c r="B112"/>
      <c r="C112"/>
      <c r="D112"/>
      <c r="E112"/>
      <c r="F112"/>
      <c r="H112"/>
      <c r="I112"/>
      <c r="J112"/>
      <c r="K112"/>
    </row>
    <row r="113" spans="1:11" x14ac:dyDescent="0.2">
      <c r="A113"/>
      <c r="B113"/>
      <c r="C113"/>
      <c r="D113"/>
      <c r="E113"/>
      <c r="F113"/>
    </row>
    <row r="114" spans="1:11" x14ac:dyDescent="0.2">
      <c r="A114"/>
      <c r="B114"/>
      <c r="C114"/>
      <c r="D114"/>
      <c r="E114"/>
      <c r="F114"/>
    </row>
    <row r="115" spans="1:11" x14ac:dyDescent="0.2">
      <c r="A115"/>
      <c r="B115"/>
      <c r="C115"/>
      <c r="D115"/>
      <c r="E115"/>
      <c r="F115"/>
      <c r="H115" s="68"/>
      <c r="I115"/>
      <c r="J115"/>
      <c r="K115"/>
    </row>
    <row r="116" spans="1:11" x14ac:dyDescent="0.2">
      <c r="A116"/>
      <c r="B116"/>
      <c r="C116"/>
      <c r="D116"/>
      <c r="E116"/>
      <c r="F116"/>
      <c r="H116"/>
      <c r="I116"/>
      <c r="J116"/>
      <c r="K116"/>
    </row>
    <row r="117" spans="1:11" x14ac:dyDescent="0.2">
      <c r="A117"/>
      <c r="B117"/>
      <c r="C117"/>
      <c r="D117"/>
      <c r="E117"/>
      <c r="F117"/>
      <c r="H117"/>
      <c r="I117"/>
      <c r="J117"/>
      <c r="K117"/>
    </row>
    <row r="118" spans="1:11" x14ac:dyDescent="0.2">
      <c r="A118"/>
      <c r="B118"/>
      <c r="C118"/>
      <c r="D118"/>
      <c r="E118"/>
      <c r="F118"/>
      <c r="H118"/>
      <c r="I118"/>
      <c r="J118" s="69"/>
      <c r="K118" s="69"/>
    </row>
    <row r="119" spans="1:11" x14ac:dyDescent="0.2">
      <c r="A119"/>
      <c r="B119"/>
      <c r="C119"/>
      <c r="D119"/>
      <c r="E119"/>
      <c r="F119"/>
      <c r="H119"/>
      <c r="I119"/>
      <c r="J119" s="69"/>
      <c r="K119" s="69"/>
    </row>
    <row r="120" spans="1:11" x14ac:dyDescent="0.2">
      <c r="A120"/>
      <c r="B120"/>
      <c r="C120"/>
      <c r="D120"/>
      <c r="E120"/>
      <c r="F120"/>
      <c r="H120"/>
      <c r="I120"/>
      <c r="J120" s="69"/>
      <c r="K120" s="69"/>
    </row>
    <row r="121" spans="1:11" x14ac:dyDescent="0.2">
      <c r="A121"/>
      <c r="B121"/>
      <c r="C121"/>
      <c r="D121"/>
      <c r="E121"/>
      <c r="F121"/>
      <c r="H121"/>
      <c r="I121"/>
      <c r="J121"/>
      <c r="K121"/>
    </row>
    <row r="122" spans="1:11" x14ac:dyDescent="0.2">
      <c r="A122"/>
      <c r="B122"/>
      <c r="C122"/>
      <c r="D122"/>
      <c r="E122"/>
      <c r="F122"/>
      <c r="G122"/>
      <c r="H122"/>
      <c r="I122"/>
      <c r="J122"/>
      <c r="K122"/>
    </row>
    <row r="123" spans="1:11" x14ac:dyDescent="0.2">
      <c r="A123"/>
      <c r="B123"/>
      <c r="C123"/>
      <c r="D123"/>
      <c r="E123"/>
      <c r="F123"/>
      <c r="G123"/>
      <c r="H123"/>
      <c r="I123"/>
      <c r="J123"/>
      <c r="K123"/>
    </row>
    <row r="124" spans="1:11" x14ac:dyDescent="0.2">
      <c r="A124"/>
      <c r="B124"/>
      <c r="C124"/>
      <c r="D124"/>
      <c r="E124"/>
      <c r="F124"/>
      <c r="G124"/>
      <c r="H124"/>
      <c r="I124" s="69"/>
      <c r="J124" s="69"/>
    </row>
    <row r="125" spans="1:11" x14ac:dyDescent="0.2">
      <c r="A125"/>
      <c r="B125" s="69"/>
      <c r="C125" s="69"/>
      <c r="D125"/>
      <c r="E125"/>
      <c r="F125"/>
      <c r="G125"/>
      <c r="H125"/>
      <c r="I125" s="69"/>
      <c r="J125" s="69"/>
    </row>
    <row r="126" spans="1:11" x14ac:dyDescent="0.2">
      <c r="A126"/>
      <c r="B126"/>
      <c r="C126"/>
      <c r="D126"/>
      <c r="F126"/>
      <c r="G126"/>
      <c r="H126"/>
      <c r="I126"/>
      <c r="J126"/>
    </row>
    <row r="127" spans="1:11" x14ac:dyDescent="0.2">
      <c r="A127"/>
      <c r="B127"/>
      <c r="C127"/>
      <c r="D127"/>
      <c r="F127"/>
      <c r="G127"/>
      <c r="H127"/>
      <c r="I127"/>
      <c r="J127"/>
    </row>
    <row r="128" spans="1:11" x14ac:dyDescent="0.2">
      <c r="A128"/>
      <c r="B128"/>
      <c r="C128"/>
      <c r="D128"/>
      <c r="F128"/>
      <c r="G128"/>
      <c r="H128"/>
      <c r="I128"/>
      <c r="J128"/>
    </row>
    <row r="129" spans="1:10" x14ac:dyDescent="0.2">
      <c r="A129"/>
      <c r="B129" s="69"/>
      <c r="C129" s="69"/>
      <c r="D129"/>
      <c r="F129"/>
      <c r="G129"/>
      <c r="H129"/>
      <c r="I129"/>
      <c r="J129"/>
    </row>
    <row r="130" spans="1:10" x14ac:dyDescent="0.2">
      <c r="A130"/>
      <c r="B130" s="69"/>
      <c r="C130" s="69"/>
      <c r="D130"/>
      <c r="F130"/>
      <c r="G130"/>
      <c r="H130"/>
      <c r="I130"/>
      <c r="J130"/>
    </row>
    <row r="131" spans="1:10" x14ac:dyDescent="0.2">
      <c r="A131"/>
      <c r="B131" s="69"/>
      <c r="C131" s="69"/>
      <c r="D131"/>
      <c r="F131"/>
    </row>
    <row r="132" spans="1:10" x14ac:dyDescent="0.2">
      <c r="A132"/>
      <c r="B132"/>
      <c r="C132"/>
      <c r="D132"/>
      <c r="F132"/>
    </row>
    <row r="133" spans="1:10" x14ac:dyDescent="0.2">
      <c r="A133"/>
      <c r="B133" s="69"/>
      <c r="C133" s="69"/>
      <c r="D133"/>
      <c r="F133"/>
    </row>
    <row r="134" spans="1:10" x14ac:dyDescent="0.2">
      <c r="A134"/>
      <c r="B134" s="69"/>
      <c r="C134" s="69"/>
      <c r="D134"/>
      <c r="F134"/>
    </row>
    <row r="135" spans="1:10" x14ac:dyDescent="0.2">
      <c r="A135"/>
      <c r="B135" s="69"/>
      <c r="C135" s="69"/>
      <c r="D135"/>
      <c r="F135"/>
    </row>
    <row r="136" spans="1:10" x14ac:dyDescent="0.2">
      <c r="A136"/>
      <c r="B136"/>
      <c r="C136"/>
      <c r="D136"/>
      <c r="F136"/>
    </row>
    <row r="137" spans="1:10" x14ac:dyDescent="0.2">
      <c r="A137"/>
      <c r="B137" s="69"/>
      <c r="C137" s="69"/>
      <c r="D137"/>
      <c r="F137"/>
    </row>
    <row r="138" spans="1:10" x14ac:dyDescent="0.2">
      <c r="A138"/>
      <c r="B138" s="69"/>
      <c r="C138" s="69"/>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8"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showRowColHeaders="0" zoomScaleNormal="100" workbookViewId="0"/>
  </sheetViews>
  <sheetFormatPr defaultColWidth="11.42578125" defaultRowHeight="15.6" customHeight="1" x14ac:dyDescent="0.2"/>
  <cols>
    <col min="1" max="1" width="27.140625" style="1" customWidth="1"/>
    <col min="2" max="4" width="10.5703125" style="1" customWidth="1"/>
    <col min="5" max="7" width="7.5703125" style="1" customWidth="1"/>
    <col min="8" max="16384" width="11.42578125" style="1"/>
  </cols>
  <sheetData>
    <row r="1" spans="1:7" ht="6" customHeight="1" x14ac:dyDescent="0.2"/>
    <row r="2" spans="1:7" ht="15.6" customHeight="1" x14ac:dyDescent="0.2">
      <c r="A2" s="92" t="s">
        <v>0</v>
      </c>
      <c r="B2" s="2"/>
      <c r="C2" s="2"/>
      <c r="D2" s="2"/>
      <c r="E2" s="2"/>
      <c r="F2" s="2"/>
    </row>
    <row r="3" spans="1:7" ht="6" customHeight="1" x14ac:dyDescent="0.2"/>
    <row r="4" spans="1:7" ht="15.6" customHeight="1" x14ac:dyDescent="0.2">
      <c r="A4" s="2"/>
      <c r="B4" s="2"/>
      <c r="C4" s="2"/>
      <c r="D4" s="2"/>
      <c r="E4" s="2"/>
      <c r="F4" s="2"/>
    </row>
    <row r="5" spans="1:7" ht="15.6" customHeight="1" x14ac:dyDescent="0.25">
      <c r="A5" s="88"/>
      <c r="B5" s="74"/>
      <c r="C5" s="74"/>
      <c r="D5" s="74"/>
      <c r="E5" s="74"/>
      <c r="F5" s="74"/>
      <c r="G5" s="74"/>
    </row>
    <row r="6" spans="1:7" ht="15.6" customHeight="1" x14ac:dyDescent="0.25">
      <c r="A6" s="88"/>
      <c r="B6" s="74"/>
      <c r="C6" s="74"/>
      <c r="D6" s="74"/>
      <c r="E6" s="74"/>
      <c r="F6" s="74"/>
      <c r="G6" s="74"/>
    </row>
    <row r="7" spans="1:7" ht="15.6" customHeight="1" x14ac:dyDescent="0.25">
      <c r="A7" s="73"/>
      <c r="B7" s="73"/>
      <c r="C7" s="73"/>
      <c r="D7" s="73"/>
      <c r="E7" s="73"/>
      <c r="F7" s="73"/>
      <c r="G7" s="73"/>
    </row>
    <row r="8" spans="1:7" ht="15.6" customHeight="1" x14ac:dyDescent="0.25">
      <c r="A8" s="73"/>
      <c r="B8" s="73"/>
      <c r="C8" s="73"/>
      <c r="D8" s="73"/>
      <c r="E8" s="73"/>
      <c r="F8" s="73"/>
      <c r="G8" s="73"/>
    </row>
    <row r="9" spans="1:7" ht="15.6" customHeight="1" x14ac:dyDescent="0.25">
      <c r="A9" s="73"/>
      <c r="B9" s="73"/>
      <c r="C9" s="73"/>
      <c r="D9" s="73"/>
      <c r="E9" s="73"/>
      <c r="F9" s="73"/>
      <c r="G9" s="73"/>
    </row>
    <row r="10" spans="1:7" ht="15.6" customHeight="1" x14ac:dyDescent="0.25">
      <c r="A10" s="73"/>
      <c r="B10" s="73"/>
      <c r="C10" s="73"/>
      <c r="D10" s="73"/>
      <c r="E10" s="73"/>
      <c r="F10" s="73"/>
      <c r="G10" s="73"/>
    </row>
    <row r="11" spans="1:7" ht="15.6" customHeight="1" x14ac:dyDescent="0.25">
      <c r="A11" s="73"/>
      <c r="B11" s="73"/>
      <c r="C11" s="73"/>
      <c r="D11" s="73"/>
      <c r="E11" s="73"/>
      <c r="F11" s="73"/>
      <c r="G11" s="73"/>
    </row>
    <row r="12" spans="1:7" ht="15.6" customHeight="1" x14ac:dyDescent="0.25">
      <c r="A12" s="73"/>
      <c r="B12" s="73"/>
      <c r="C12" s="73"/>
      <c r="D12" s="73"/>
      <c r="E12" s="73"/>
      <c r="F12" s="73"/>
      <c r="G12" s="73"/>
    </row>
    <row r="13" spans="1:7" ht="15.6" customHeight="1" x14ac:dyDescent="0.25">
      <c r="A13" s="73"/>
      <c r="B13" s="73"/>
      <c r="C13" s="73"/>
      <c r="D13" s="73"/>
      <c r="E13" s="73"/>
      <c r="F13" s="73"/>
      <c r="G13" s="73"/>
    </row>
    <row r="14" spans="1:7" ht="15.6" customHeight="1" x14ac:dyDescent="0.25">
      <c r="A14" s="73"/>
      <c r="B14" s="73"/>
      <c r="C14" s="73"/>
      <c r="D14" s="73"/>
      <c r="E14" s="73"/>
      <c r="F14" s="73"/>
      <c r="G14" s="73"/>
    </row>
    <row r="15" spans="1:7" ht="15.6" customHeight="1" x14ac:dyDescent="0.25">
      <c r="A15" s="73"/>
      <c r="B15" s="73"/>
      <c r="C15" s="73"/>
      <c r="D15" s="73"/>
      <c r="E15" s="73"/>
      <c r="F15" s="73"/>
      <c r="G15" s="73"/>
    </row>
    <row r="16" spans="1:7" ht="15.6" customHeight="1" x14ac:dyDescent="0.25">
      <c r="A16" s="73"/>
      <c r="B16" s="73"/>
      <c r="C16" s="73"/>
      <c r="D16" s="73"/>
      <c r="E16" s="73"/>
      <c r="F16" s="73"/>
      <c r="G16" s="73"/>
    </row>
    <row r="17" spans="1:13" ht="15.6" customHeight="1" x14ac:dyDescent="0.25">
      <c r="A17" s="73"/>
      <c r="B17" s="73"/>
      <c r="C17" s="73"/>
      <c r="D17" s="73"/>
      <c r="E17" s="73"/>
      <c r="F17" s="73"/>
      <c r="G17" s="73"/>
    </row>
    <row r="18" spans="1:13" ht="15.6" customHeight="1" x14ac:dyDescent="0.25">
      <c r="A18" s="73"/>
      <c r="B18" s="73"/>
      <c r="C18" s="73"/>
      <c r="D18" s="73"/>
      <c r="E18" s="73"/>
      <c r="F18" s="73"/>
      <c r="G18" s="73"/>
    </row>
    <row r="19" spans="1:13" ht="15.6" customHeight="1" x14ac:dyDescent="0.25">
      <c r="A19" s="73"/>
      <c r="B19" s="73"/>
      <c r="C19" s="73"/>
      <c r="D19" s="73"/>
      <c r="E19" s="73"/>
      <c r="F19" s="73"/>
      <c r="G19" s="73"/>
    </row>
    <row r="20" spans="1:13" ht="15.6" customHeight="1" x14ac:dyDescent="0.25">
      <c r="A20" s="73"/>
      <c r="B20" s="73"/>
      <c r="C20" s="73"/>
      <c r="D20" s="73"/>
      <c r="E20" s="73"/>
      <c r="F20" s="73"/>
      <c r="G20" s="73"/>
    </row>
    <row r="21" spans="1:13" ht="15.6" customHeight="1" x14ac:dyDescent="0.25">
      <c r="A21" s="73"/>
      <c r="B21" s="73"/>
      <c r="C21" s="73"/>
      <c r="D21" s="73"/>
      <c r="E21" s="73"/>
      <c r="F21" s="73"/>
      <c r="G21" s="73"/>
    </row>
    <row r="22" spans="1:13" ht="15.6" customHeight="1" x14ac:dyDescent="0.25">
      <c r="A22" s="73"/>
      <c r="B22" s="73"/>
      <c r="C22" s="73"/>
      <c r="D22" s="73"/>
      <c r="E22" s="73"/>
      <c r="F22" s="73"/>
      <c r="G22" s="73"/>
    </row>
    <row r="23" spans="1:13" ht="15.6" customHeight="1" x14ac:dyDescent="0.25">
      <c r="A23" s="73"/>
      <c r="B23" s="73"/>
      <c r="C23" s="73"/>
      <c r="D23" s="73"/>
      <c r="E23" s="73"/>
      <c r="F23" s="73"/>
      <c r="G23" s="73"/>
    </row>
    <row r="24" spans="1:13" ht="15.6" customHeight="1" x14ac:dyDescent="0.25">
      <c r="A24" s="73"/>
      <c r="B24" s="73"/>
      <c r="C24" s="73"/>
      <c r="D24" s="73"/>
      <c r="E24" s="73"/>
      <c r="F24" s="73"/>
      <c r="G24" s="73"/>
    </row>
    <row r="25" spans="1:13" ht="15.6" customHeight="1" x14ac:dyDescent="0.25">
      <c r="A25" s="73"/>
      <c r="B25" s="73"/>
      <c r="C25" s="73"/>
      <c r="D25" s="73"/>
      <c r="E25" s="73"/>
      <c r="F25" s="73"/>
      <c r="G25" s="73"/>
    </row>
    <row r="26" spans="1:13" ht="15.6" customHeight="1" x14ac:dyDescent="0.25">
      <c r="A26" s="73"/>
      <c r="B26" s="73"/>
      <c r="C26" s="73"/>
      <c r="D26" s="73"/>
      <c r="E26" s="73"/>
      <c r="F26" s="73"/>
      <c r="G26" s="73"/>
    </row>
    <row r="27" spans="1:13" ht="15.6" customHeight="1" x14ac:dyDescent="0.25">
      <c r="A27" s="73"/>
      <c r="B27" s="73"/>
      <c r="C27" s="73"/>
      <c r="D27" s="73"/>
      <c r="E27" s="73"/>
      <c r="F27" s="73"/>
      <c r="G27" s="73"/>
    </row>
    <row r="28" spans="1:13" ht="15.6" customHeight="1" x14ac:dyDescent="0.25">
      <c r="A28" s="73"/>
      <c r="B28" s="73"/>
      <c r="C28" s="73"/>
      <c r="D28" s="73"/>
      <c r="E28" s="73"/>
      <c r="F28" s="73"/>
      <c r="G28" s="73"/>
      <c r="M28" s="77"/>
    </row>
    <row r="29" spans="1:13" ht="15.6" customHeight="1" x14ac:dyDescent="0.25">
      <c r="A29" s="73"/>
      <c r="B29" s="73"/>
      <c r="C29" s="73"/>
      <c r="D29" s="73"/>
      <c r="E29" s="73"/>
      <c r="F29" s="73"/>
      <c r="G29" s="73"/>
      <c r="M29" s="77"/>
    </row>
    <row r="30" spans="1:13" ht="15.6" customHeight="1" x14ac:dyDescent="0.25">
      <c r="A30" s="73"/>
      <c r="B30" s="73"/>
      <c r="C30" s="73"/>
      <c r="D30" s="73"/>
      <c r="E30" s="73"/>
      <c r="F30" s="73"/>
      <c r="G30" s="73"/>
      <c r="M30" s="77"/>
    </row>
    <row r="31" spans="1:13" ht="15.6" customHeight="1" x14ac:dyDescent="0.25">
      <c r="A31" s="73"/>
      <c r="B31" s="73"/>
      <c r="C31" s="73"/>
      <c r="D31" s="73"/>
      <c r="E31" s="73"/>
      <c r="F31" s="73"/>
      <c r="G31" s="73"/>
      <c r="M31" s="77"/>
    </row>
    <row r="32" spans="1:13" ht="15.6" customHeight="1" x14ac:dyDescent="0.25">
      <c r="A32" s="73"/>
      <c r="B32" s="73"/>
      <c r="C32" s="73"/>
      <c r="D32" s="73"/>
      <c r="E32" s="73"/>
      <c r="F32" s="73"/>
      <c r="G32" s="73"/>
      <c r="M32" s="77"/>
    </row>
    <row r="33" spans="1:13" ht="15.6" customHeight="1" x14ac:dyDescent="0.25">
      <c r="A33" s="73"/>
      <c r="B33" s="73"/>
      <c r="C33" s="73"/>
      <c r="D33" s="73"/>
      <c r="E33" s="73"/>
      <c r="F33" s="73"/>
      <c r="G33" s="73"/>
      <c r="M33" s="77"/>
    </row>
    <row r="34" spans="1:13" ht="15.6" customHeight="1" x14ac:dyDescent="0.25">
      <c r="A34" s="73"/>
      <c r="B34" s="73"/>
      <c r="C34" s="73"/>
      <c r="D34" s="73"/>
      <c r="E34" s="73"/>
      <c r="F34" s="73"/>
      <c r="G34" s="73"/>
      <c r="M34" s="77"/>
    </row>
    <row r="35" spans="1:13" ht="15.6" customHeight="1" x14ac:dyDescent="0.25">
      <c r="A35" s="73"/>
      <c r="B35" s="73"/>
      <c r="C35" s="73"/>
      <c r="D35" s="73"/>
      <c r="E35" s="73"/>
      <c r="F35" s="73"/>
      <c r="G35" s="73"/>
      <c r="M35" s="77"/>
    </row>
    <row r="36" spans="1:13" ht="15.6" customHeight="1" x14ac:dyDescent="0.25">
      <c r="A36" s="73"/>
      <c r="B36" s="73"/>
      <c r="C36" s="73"/>
      <c r="D36" s="73"/>
      <c r="E36" s="73"/>
      <c r="F36" s="73"/>
      <c r="G36" s="73"/>
      <c r="M36" s="77"/>
    </row>
    <row r="37" spans="1:13" ht="15.6" customHeight="1" x14ac:dyDescent="0.25">
      <c r="A37" s="73"/>
      <c r="B37" s="73"/>
      <c r="C37" s="73"/>
      <c r="D37" s="73"/>
      <c r="E37" s="73"/>
      <c r="F37" s="73"/>
      <c r="G37" s="73"/>
      <c r="M37" s="77"/>
    </row>
    <row r="38" spans="1:13" ht="15.6" customHeight="1" x14ac:dyDescent="0.25">
      <c r="A38" s="73"/>
      <c r="B38" s="73"/>
      <c r="C38" s="73"/>
      <c r="D38" s="73"/>
      <c r="E38" s="73"/>
      <c r="F38" s="73"/>
      <c r="G38" s="73"/>
      <c r="M38" s="77"/>
    </row>
    <row r="39" spans="1:13" ht="15.6" customHeight="1" x14ac:dyDescent="0.25">
      <c r="A39" s="73"/>
      <c r="B39" s="73"/>
      <c r="C39" s="73"/>
      <c r="D39" s="73"/>
      <c r="E39" s="73"/>
      <c r="F39" s="73"/>
      <c r="G39" s="73"/>
      <c r="M39" s="77"/>
    </row>
    <row r="40" spans="1:13" ht="15.6" customHeight="1" x14ac:dyDescent="0.25">
      <c r="A40" s="73"/>
      <c r="B40" s="73"/>
      <c r="C40" s="73"/>
      <c r="D40" s="73"/>
      <c r="E40" s="73"/>
      <c r="F40" s="73"/>
      <c r="G40" s="73"/>
      <c r="M40" s="77"/>
    </row>
    <row r="41" spans="1:13" ht="15.6" customHeight="1" x14ac:dyDescent="0.25">
      <c r="A41" s="73"/>
      <c r="B41" s="73"/>
      <c r="C41" s="73"/>
      <c r="D41" s="73"/>
      <c r="E41" s="73"/>
      <c r="F41" s="73"/>
      <c r="G41" s="73"/>
      <c r="M41" s="77"/>
    </row>
    <row r="42" spans="1:13" ht="15.6" customHeight="1" x14ac:dyDescent="0.25">
      <c r="A42" s="73"/>
      <c r="B42" s="73"/>
      <c r="C42" s="73"/>
      <c r="D42" s="73"/>
      <c r="E42" s="73"/>
      <c r="F42" s="73"/>
      <c r="G42" s="73"/>
      <c r="M42" s="77"/>
    </row>
    <row r="43" spans="1:13" ht="15.6" customHeight="1" x14ac:dyDescent="0.25">
      <c r="A43" s="73"/>
      <c r="B43" s="73"/>
      <c r="C43" s="73"/>
      <c r="D43" s="73"/>
      <c r="E43" s="73"/>
      <c r="F43" s="73"/>
      <c r="G43" s="73"/>
      <c r="M43" s="77"/>
    </row>
    <row r="44" spans="1:13" ht="15.6" customHeight="1" x14ac:dyDescent="0.25">
      <c r="A44" s="73"/>
      <c r="B44" s="73"/>
      <c r="C44" s="73"/>
      <c r="D44" s="73"/>
      <c r="E44" s="73"/>
      <c r="F44" s="73"/>
      <c r="G44" s="73"/>
      <c r="M44" s="77"/>
    </row>
    <row r="45" spans="1:13" ht="15.6" customHeight="1" x14ac:dyDescent="0.25">
      <c r="A45" s="73"/>
      <c r="B45" s="73"/>
      <c r="C45" s="73"/>
      <c r="D45" s="73"/>
      <c r="E45" s="73"/>
      <c r="F45" s="73"/>
      <c r="G45" s="73"/>
      <c r="M45" s="77"/>
    </row>
    <row r="46" spans="1:13" ht="15.6" customHeight="1" x14ac:dyDescent="0.25">
      <c r="A46" s="93"/>
      <c r="B46" s="73"/>
      <c r="C46" s="73"/>
      <c r="D46" s="73"/>
      <c r="E46" s="73"/>
      <c r="F46" s="73"/>
      <c r="G46" s="73"/>
      <c r="M46" s="77"/>
    </row>
    <row r="47" spans="1:13" ht="15.6" customHeight="1" x14ac:dyDescent="0.25">
      <c r="A47" s="93"/>
      <c r="B47" s="73"/>
      <c r="C47" s="73"/>
      <c r="D47" s="73"/>
      <c r="E47" s="73"/>
      <c r="F47" s="73"/>
      <c r="G47" s="73"/>
      <c r="M47" s="77"/>
    </row>
    <row r="48" spans="1:13" ht="15.6" customHeight="1" x14ac:dyDescent="0.25">
      <c r="A48" s="148" t="s">
        <v>231</v>
      </c>
      <c r="B48" s="73"/>
      <c r="C48" s="73"/>
      <c r="D48" s="73"/>
      <c r="E48" s="73"/>
      <c r="F48" s="73"/>
      <c r="G48" s="73"/>
      <c r="M48" s="77"/>
    </row>
    <row r="49" spans="1:13" ht="15.6" customHeight="1" x14ac:dyDescent="0.25">
      <c r="A49" s="148" t="s">
        <v>232</v>
      </c>
      <c r="B49" s="73"/>
      <c r="C49" s="73"/>
      <c r="D49" s="73"/>
      <c r="E49" s="73"/>
      <c r="F49" s="73"/>
      <c r="G49" s="73"/>
      <c r="M49" s="77"/>
    </row>
    <row r="50" spans="1:13" ht="15.6" customHeight="1" x14ac:dyDescent="0.2">
      <c r="A50" s="149" t="s">
        <v>233</v>
      </c>
      <c r="B50" s="52"/>
      <c r="C50" s="52"/>
      <c r="D50" s="52"/>
      <c r="E50" s="52"/>
      <c r="F50" s="52"/>
      <c r="G50" s="52"/>
      <c r="H50" s="77"/>
    </row>
    <row r="51" spans="1:13" ht="15.6" customHeight="1" x14ac:dyDescent="0.2">
      <c r="A51" s="54" t="str">
        <f>+Innhold!B123</f>
        <v>Finans Norge / Skadeforsikringsstatistikk</v>
      </c>
      <c r="G51" s="202">
        <v>3</v>
      </c>
      <c r="H51" s="77"/>
    </row>
    <row r="52" spans="1:13" ht="15.6" customHeight="1" x14ac:dyDescent="0.2">
      <c r="A52" s="54" t="str">
        <f>+Innhold!B124</f>
        <v>Skadestatistikk for landbasert forsikring 1. kvartal 2022</v>
      </c>
      <c r="G52" s="203"/>
      <c r="H52" s="77"/>
    </row>
    <row r="53" spans="1:13" ht="15.6" customHeight="1" x14ac:dyDescent="0.2">
      <c r="H53" s="77"/>
    </row>
    <row r="59" spans="1:13" ht="15.6" customHeight="1" x14ac:dyDescent="0.2">
      <c r="J59"/>
      <c r="K59"/>
      <c r="L59"/>
    </row>
    <row r="60" spans="1:13" ht="15.6" customHeight="1" x14ac:dyDescent="0.2">
      <c r="J60" s="71"/>
      <c r="K60" s="72"/>
      <c r="L60" s="72"/>
    </row>
    <row r="61" spans="1:13" ht="15.6" customHeight="1" x14ac:dyDescent="0.2">
      <c r="J61" s="70"/>
      <c r="K61"/>
      <c r="L61"/>
    </row>
    <row r="62" spans="1:13" ht="15.6" customHeight="1" x14ac:dyDescent="0.2">
      <c r="J62" s="69"/>
      <c r="K62" s="69"/>
      <c r="L62" s="69"/>
    </row>
    <row r="63" spans="1:13" ht="15.6" customHeight="1" x14ac:dyDescent="0.2">
      <c r="J63" s="69"/>
      <c r="K63" s="69"/>
      <c r="L63" s="69"/>
    </row>
    <row r="64" spans="1:13" ht="15.6" customHeight="1" x14ac:dyDescent="0.2">
      <c r="J64" s="69"/>
      <c r="K64" s="69"/>
      <c r="L64" s="69"/>
    </row>
    <row r="65" spans="1:12" ht="15.6" customHeight="1" x14ac:dyDescent="0.2">
      <c r="J65" s="69"/>
      <c r="K65" s="69"/>
      <c r="L65" s="69"/>
    </row>
    <row r="66" spans="1:12" ht="15.6" customHeight="1" x14ac:dyDescent="0.2">
      <c r="J66" s="69"/>
      <c r="K66" s="69"/>
      <c r="L66" s="69"/>
    </row>
    <row r="67" spans="1:12" ht="15.6" customHeight="1" x14ac:dyDescent="0.2">
      <c r="J67" s="69"/>
      <c r="K67" s="69"/>
      <c r="L67" s="69"/>
    </row>
    <row r="68" spans="1:12" ht="15.6" customHeight="1" x14ac:dyDescent="0.2">
      <c r="J68" s="69"/>
      <c r="K68" s="69"/>
      <c r="L68" s="69"/>
    </row>
    <row r="69" spans="1:12" ht="15.6" customHeight="1" x14ac:dyDescent="0.2">
      <c r="J69"/>
      <c r="K69"/>
      <c r="L69"/>
    </row>
    <row r="70" spans="1:12" ht="15.6" customHeight="1" x14ac:dyDescent="0.2">
      <c r="J70"/>
      <c r="K70"/>
      <c r="L70"/>
    </row>
    <row r="71" spans="1:12" ht="15.6" customHeight="1" x14ac:dyDescent="0.2">
      <c r="J71"/>
      <c r="K71"/>
      <c r="L71"/>
    </row>
    <row r="72" spans="1:12" ht="15.6" customHeight="1" x14ac:dyDescent="0.2">
      <c r="A72"/>
      <c r="B72"/>
      <c r="C72"/>
      <c r="D72"/>
      <c r="E72"/>
      <c r="F72"/>
      <c r="H72"/>
      <c r="I72"/>
      <c r="J72"/>
      <c r="K72"/>
      <c r="L72"/>
    </row>
    <row r="73" spans="1:12" ht="15.6" customHeight="1" x14ac:dyDescent="0.2">
      <c r="A73"/>
      <c r="B73"/>
      <c r="C73"/>
      <c r="D73"/>
      <c r="E73"/>
      <c r="F73"/>
      <c r="H73"/>
      <c r="I73"/>
      <c r="J73"/>
      <c r="K73"/>
      <c r="L73"/>
    </row>
    <row r="74" spans="1:12" ht="15.6" customHeight="1" x14ac:dyDescent="0.2">
      <c r="A74"/>
      <c r="B74"/>
      <c r="C74"/>
      <c r="D74"/>
      <c r="E74"/>
      <c r="F74"/>
      <c r="H74"/>
      <c r="I74"/>
      <c r="J74"/>
      <c r="K74"/>
      <c r="L74"/>
    </row>
    <row r="75" spans="1:12" ht="15.6" customHeight="1" x14ac:dyDescent="0.2">
      <c r="A75"/>
      <c r="B75"/>
      <c r="C75"/>
      <c r="D75"/>
      <c r="E75"/>
      <c r="F75"/>
      <c r="H75"/>
      <c r="I75"/>
      <c r="J75"/>
      <c r="K75"/>
      <c r="L75"/>
    </row>
    <row r="76" spans="1:12" ht="15.6" customHeight="1" x14ac:dyDescent="0.2">
      <c r="A76"/>
      <c r="B76"/>
      <c r="C76"/>
      <c r="D76"/>
      <c r="E76"/>
      <c r="F76"/>
      <c r="H76"/>
      <c r="I76"/>
      <c r="J76"/>
      <c r="K76"/>
      <c r="L76"/>
    </row>
    <row r="77" spans="1:12" ht="15.6" customHeight="1" x14ac:dyDescent="0.2">
      <c r="A77"/>
      <c r="B77"/>
      <c r="C77"/>
      <c r="D77"/>
      <c r="E77"/>
      <c r="F77"/>
      <c r="H77"/>
      <c r="I77"/>
      <c r="J77"/>
      <c r="K77"/>
      <c r="L77"/>
    </row>
    <row r="78" spans="1:12" ht="15.6" customHeight="1" x14ac:dyDescent="0.2">
      <c r="A78"/>
      <c r="B78"/>
      <c r="C78"/>
      <c r="D78"/>
      <c r="E78"/>
      <c r="F78"/>
      <c r="H78"/>
      <c r="I78"/>
      <c r="J78"/>
      <c r="K78"/>
      <c r="L78"/>
    </row>
    <row r="79" spans="1:12" ht="15.6" customHeight="1" x14ac:dyDescent="0.2">
      <c r="A79"/>
      <c r="B79"/>
      <c r="C79"/>
      <c r="D79"/>
      <c r="E79"/>
      <c r="F79"/>
      <c r="H79"/>
      <c r="I79"/>
      <c r="J79"/>
      <c r="K79"/>
      <c r="L79"/>
    </row>
    <row r="80" spans="1:12" ht="15.6" customHeight="1" x14ac:dyDescent="0.2">
      <c r="A80"/>
      <c r="B80"/>
      <c r="C80"/>
      <c r="D80"/>
      <c r="E80"/>
      <c r="F80"/>
      <c r="H80"/>
      <c r="I80"/>
      <c r="J80"/>
      <c r="K80"/>
      <c r="L80"/>
    </row>
    <row r="81" spans="1:12" ht="15.6" customHeight="1" x14ac:dyDescent="0.2">
      <c r="A81"/>
      <c r="B81"/>
      <c r="C81"/>
      <c r="D81"/>
      <c r="E81"/>
      <c r="F81"/>
      <c r="H81"/>
      <c r="I81"/>
      <c r="J81"/>
      <c r="K81"/>
      <c r="L81"/>
    </row>
    <row r="82" spans="1:12" ht="15.6" customHeight="1" x14ac:dyDescent="0.2">
      <c r="A82"/>
      <c r="B82"/>
      <c r="C82"/>
      <c r="D82"/>
      <c r="E82"/>
      <c r="F82"/>
      <c r="H82"/>
      <c r="I82"/>
      <c r="J82"/>
      <c r="K82"/>
      <c r="L82"/>
    </row>
    <row r="83" spans="1:12" ht="15.6" customHeight="1" x14ac:dyDescent="0.2">
      <c r="A83"/>
      <c r="B83"/>
      <c r="C83"/>
      <c r="D83"/>
      <c r="E83"/>
      <c r="F83"/>
      <c r="H83"/>
      <c r="I83"/>
      <c r="J83"/>
      <c r="K83"/>
      <c r="L83"/>
    </row>
    <row r="84" spans="1:12" ht="15.6" customHeight="1" x14ac:dyDescent="0.2">
      <c r="A84"/>
      <c r="B84"/>
      <c r="C84"/>
      <c r="D84"/>
      <c r="E84"/>
      <c r="F84"/>
      <c r="H84"/>
      <c r="I84"/>
      <c r="J84"/>
      <c r="K84"/>
      <c r="L84"/>
    </row>
    <row r="85" spans="1:12" ht="15.6" customHeight="1" x14ac:dyDescent="0.2">
      <c r="A85"/>
      <c r="B85"/>
      <c r="C85"/>
      <c r="D85"/>
      <c r="E85"/>
      <c r="F85"/>
      <c r="H85"/>
      <c r="I85"/>
      <c r="J85"/>
      <c r="K85"/>
      <c r="L85"/>
    </row>
    <row r="86" spans="1:12" ht="15.6" customHeight="1" x14ac:dyDescent="0.2">
      <c r="A86"/>
      <c r="B86"/>
      <c r="C86"/>
      <c r="D86"/>
      <c r="E86"/>
      <c r="F86"/>
      <c r="H86"/>
      <c r="I86"/>
      <c r="J86"/>
      <c r="K86"/>
      <c r="L86"/>
    </row>
    <row r="87" spans="1:12" ht="15.6" customHeight="1" x14ac:dyDescent="0.2">
      <c r="A87"/>
      <c r="B87"/>
      <c r="C87"/>
      <c r="D87"/>
      <c r="E87"/>
      <c r="F87"/>
      <c r="H87"/>
      <c r="I87"/>
      <c r="J87"/>
      <c r="K87"/>
      <c r="L87"/>
    </row>
    <row r="88" spans="1:12" ht="15.6" customHeight="1" x14ac:dyDescent="0.2">
      <c r="A88"/>
      <c r="B88"/>
      <c r="C88"/>
      <c r="D88"/>
      <c r="E88"/>
      <c r="F88"/>
      <c r="H88"/>
      <c r="I88"/>
      <c r="J88"/>
      <c r="K88"/>
      <c r="L88"/>
    </row>
    <row r="89" spans="1:12" ht="15.6" customHeight="1" x14ac:dyDescent="0.2">
      <c r="A89"/>
      <c r="B89"/>
      <c r="C89"/>
      <c r="D89"/>
      <c r="E89"/>
      <c r="F89"/>
      <c r="H89"/>
      <c r="I89"/>
      <c r="J89"/>
      <c r="K89"/>
      <c r="L89"/>
    </row>
    <row r="90" spans="1:12" ht="15.6" customHeight="1" x14ac:dyDescent="0.2">
      <c r="A90"/>
      <c r="B90"/>
      <c r="C90"/>
      <c r="D90"/>
      <c r="E90"/>
      <c r="F90"/>
      <c r="H90"/>
      <c r="I90"/>
      <c r="J90"/>
      <c r="K90"/>
      <c r="L90"/>
    </row>
    <row r="91" spans="1:12" ht="15.6" customHeight="1" x14ac:dyDescent="0.2">
      <c r="A91"/>
      <c r="B91"/>
      <c r="C91"/>
      <c r="D91"/>
      <c r="E91"/>
      <c r="F91"/>
      <c r="H91"/>
      <c r="I91"/>
      <c r="J91"/>
      <c r="K91"/>
      <c r="L91"/>
    </row>
    <row r="92" spans="1:12" ht="15.6" customHeight="1" x14ac:dyDescent="0.2">
      <c r="A92"/>
      <c r="B92"/>
      <c r="C92"/>
      <c r="D92"/>
      <c r="E92"/>
      <c r="F92"/>
      <c r="H92"/>
      <c r="I92"/>
      <c r="J92"/>
      <c r="K92"/>
      <c r="L92"/>
    </row>
    <row r="93" spans="1:12" ht="15.6" customHeight="1" x14ac:dyDescent="0.2">
      <c r="A93"/>
      <c r="B93"/>
      <c r="C93"/>
      <c r="D93"/>
      <c r="E93"/>
      <c r="F93"/>
      <c r="H93"/>
      <c r="I93"/>
      <c r="J93"/>
      <c r="K93"/>
      <c r="L93"/>
    </row>
    <row r="94" spans="1:12" ht="15.6" customHeight="1" x14ac:dyDescent="0.2">
      <c r="A94"/>
      <c r="B94"/>
      <c r="C94"/>
      <c r="D94"/>
      <c r="E94"/>
      <c r="F94"/>
      <c r="H94"/>
      <c r="I94"/>
      <c r="J94"/>
      <c r="K94"/>
      <c r="L94"/>
    </row>
    <row r="95" spans="1:12" ht="15.6" customHeight="1" x14ac:dyDescent="0.2">
      <c r="A95"/>
      <c r="B95"/>
      <c r="C95"/>
      <c r="D95"/>
      <c r="E95"/>
      <c r="F95"/>
      <c r="H95"/>
      <c r="I95"/>
      <c r="J95"/>
      <c r="K95"/>
      <c r="L95"/>
    </row>
    <row r="96" spans="1:12" ht="15.6" customHeight="1" x14ac:dyDescent="0.2">
      <c r="A96"/>
      <c r="B96"/>
      <c r="C96"/>
      <c r="D96"/>
      <c r="E96"/>
      <c r="F96"/>
      <c r="H96"/>
      <c r="I96"/>
      <c r="J96"/>
      <c r="K96"/>
      <c r="L96"/>
    </row>
    <row r="97" spans="1:12" ht="15.6" customHeight="1" x14ac:dyDescent="0.2">
      <c r="A97"/>
      <c r="B97"/>
      <c r="C97"/>
      <c r="D97"/>
      <c r="E97"/>
      <c r="F97"/>
      <c r="H97"/>
      <c r="I97"/>
      <c r="J97"/>
      <c r="K97"/>
      <c r="L97"/>
    </row>
    <row r="98" spans="1:12" ht="15.6" customHeight="1" x14ac:dyDescent="0.2">
      <c r="A98"/>
      <c r="B98"/>
      <c r="C98"/>
      <c r="D98"/>
      <c r="E98"/>
      <c r="F98"/>
      <c r="K98"/>
    </row>
    <row r="99" spans="1:12" ht="15.6" customHeight="1" x14ac:dyDescent="0.2">
      <c r="A99"/>
      <c r="B99"/>
      <c r="C99"/>
      <c r="D99"/>
      <c r="E99"/>
      <c r="F99"/>
      <c r="K99"/>
    </row>
    <row r="100" spans="1:12" ht="15.6" customHeight="1" x14ac:dyDescent="0.2">
      <c r="A100"/>
      <c r="B100"/>
      <c r="C100"/>
      <c r="D100"/>
      <c r="E100"/>
      <c r="F100"/>
      <c r="H100" s="68"/>
      <c r="I100"/>
      <c r="J100"/>
      <c r="K100"/>
    </row>
    <row r="101" spans="1:12" ht="15.6" customHeight="1" x14ac:dyDescent="0.2">
      <c r="A101"/>
      <c r="B101"/>
      <c r="C101"/>
      <c r="D101"/>
      <c r="E101"/>
      <c r="F101"/>
      <c r="H101"/>
      <c r="I101"/>
      <c r="J101"/>
      <c r="K101"/>
    </row>
    <row r="102" spans="1:12" ht="15.6" customHeight="1" x14ac:dyDescent="0.2">
      <c r="A102"/>
      <c r="B102"/>
      <c r="C102"/>
      <c r="D102"/>
      <c r="E102"/>
      <c r="F102"/>
      <c r="H102"/>
      <c r="I102"/>
      <c r="J102"/>
      <c r="K102"/>
    </row>
    <row r="103" spans="1:12" ht="15.6" customHeight="1" x14ac:dyDescent="0.2">
      <c r="A103"/>
      <c r="B103"/>
      <c r="C103"/>
      <c r="D103"/>
      <c r="E103"/>
      <c r="F103"/>
      <c r="H103"/>
      <c r="I103"/>
      <c r="J103"/>
      <c r="K103"/>
    </row>
    <row r="104" spans="1:12" ht="15.6" customHeight="1" x14ac:dyDescent="0.2">
      <c r="A104"/>
      <c r="B104"/>
      <c r="C104"/>
      <c r="D104"/>
      <c r="E104"/>
      <c r="F104"/>
      <c r="H104"/>
      <c r="I104" s="69"/>
      <c r="J104" s="69"/>
      <c r="K104" s="69"/>
    </row>
    <row r="105" spans="1:12" ht="15.6" customHeight="1" x14ac:dyDescent="0.2">
      <c r="A105"/>
      <c r="B105"/>
      <c r="C105"/>
      <c r="D105"/>
      <c r="E105"/>
      <c r="F105"/>
      <c r="H105"/>
      <c r="I105" s="69"/>
      <c r="J105" s="69"/>
      <c r="K105" s="69"/>
    </row>
    <row r="106" spans="1:12" ht="15.6" customHeight="1" x14ac:dyDescent="0.2">
      <c r="D106"/>
      <c r="E106"/>
      <c r="F106"/>
      <c r="H106"/>
      <c r="I106" s="69"/>
      <c r="J106" s="69"/>
      <c r="K106" s="69"/>
    </row>
    <row r="107" spans="1:12" ht="15.6" customHeight="1" x14ac:dyDescent="0.2">
      <c r="D107"/>
      <c r="E107"/>
      <c r="F107"/>
      <c r="H107"/>
      <c r="I107"/>
      <c r="J107"/>
      <c r="K107"/>
    </row>
    <row r="108" spans="1:12" ht="15.6" customHeight="1" x14ac:dyDescent="0.2">
      <c r="A108" s="78"/>
      <c r="B108"/>
      <c r="C108"/>
      <c r="D108"/>
      <c r="E108"/>
      <c r="F108"/>
      <c r="H108"/>
      <c r="I108"/>
      <c r="J108"/>
      <c r="K108"/>
    </row>
    <row r="109" spans="1:12" ht="15.6" customHeight="1" x14ac:dyDescent="0.2">
      <c r="A109"/>
      <c r="B109"/>
      <c r="C109"/>
      <c r="D109"/>
      <c r="E109"/>
      <c r="F109"/>
      <c r="H109"/>
      <c r="I109"/>
      <c r="J109"/>
      <c r="K109"/>
    </row>
    <row r="110" spans="1:12" ht="15.6" customHeight="1" x14ac:dyDescent="0.2">
      <c r="A110"/>
      <c r="B110"/>
      <c r="C110"/>
      <c r="D110"/>
      <c r="E110"/>
      <c r="F110"/>
      <c r="H110"/>
      <c r="I110"/>
      <c r="J110"/>
      <c r="K110"/>
    </row>
    <row r="111" spans="1:12" ht="15.6" customHeight="1" x14ac:dyDescent="0.2">
      <c r="A111"/>
      <c r="B111"/>
      <c r="C111"/>
      <c r="D111"/>
      <c r="E111"/>
      <c r="F111"/>
      <c r="H111"/>
      <c r="I111"/>
      <c r="J111"/>
      <c r="K111"/>
    </row>
    <row r="112" spans="1:12" ht="15.6" customHeight="1" x14ac:dyDescent="0.2">
      <c r="A112"/>
      <c r="B112"/>
      <c r="C112"/>
      <c r="D112"/>
      <c r="E112"/>
      <c r="F112"/>
    </row>
    <row r="113" spans="1:11" ht="15.6" customHeight="1" x14ac:dyDescent="0.2">
      <c r="A113"/>
      <c r="B113"/>
      <c r="C113"/>
      <c r="D113"/>
      <c r="E113"/>
      <c r="F113"/>
    </row>
    <row r="114" spans="1:11" ht="15.6" customHeight="1" x14ac:dyDescent="0.2">
      <c r="A114"/>
      <c r="B114"/>
      <c r="C114"/>
      <c r="D114"/>
      <c r="E114"/>
      <c r="F114"/>
      <c r="H114" s="68"/>
      <c r="I114"/>
      <c r="J114"/>
      <c r="K114"/>
    </row>
    <row r="115" spans="1:11" ht="15.6" customHeight="1" x14ac:dyDescent="0.2">
      <c r="A115"/>
      <c r="B115"/>
      <c r="C115"/>
      <c r="D115"/>
      <c r="E115"/>
      <c r="F115"/>
      <c r="H115"/>
      <c r="I115"/>
      <c r="J115"/>
      <c r="K115"/>
    </row>
    <row r="116" spans="1:11" ht="15.6" customHeight="1" x14ac:dyDescent="0.2">
      <c r="A116"/>
      <c r="B116"/>
      <c r="C116"/>
      <c r="D116"/>
      <c r="E116"/>
      <c r="F116"/>
      <c r="H116"/>
      <c r="I116"/>
      <c r="J116"/>
      <c r="K116"/>
    </row>
    <row r="117" spans="1:11" ht="15.6" customHeight="1" x14ac:dyDescent="0.2">
      <c r="A117"/>
      <c r="B117"/>
      <c r="C117"/>
      <c r="D117"/>
      <c r="E117"/>
      <c r="F117"/>
      <c r="H117"/>
      <c r="I117"/>
      <c r="J117" s="69"/>
      <c r="K117" s="69"/>
    </row>
    <row r="118" spans="1:11" ht="15.6" customHeight="1" x14ac:dyDescent="0.2">
      <c r="A118"/>
      <c r="B118"/>
      <c r="C118"/>
      <c r="D118"/>
      <c r="E118"/>
      <c r="F118"/>
      <c r="H118"/>
      <c r="I118"/>
      <c r="J118" s="69"/>
      <c r="K118" s="69"/>
    </row>
    <row r="119" spans="1:11" ht="15.6" customHeight="1" x14ac:dyDescent="0.2">
      <c r="A119"/>
      <c r="B119"/>
      <c r="C119"/>
      <c r="D119"/>
      <c r="E119"/>
      <c r="F119"/>
      <c r="H119"/>
      <c r="I119"/>
      <c r="J119" s="69"/>
      <c r="K119" s="69"/>
    </row>
    <row r="120" spans="1:11" ht="15.6" customHeight="1" x14ac:dyDescent="0.2">
      <c r="A120"/>
      <c r="B120"/>
      <c r="C120"/>
      <c r="D120"/>
      <c r="E120"/>
      <c r="F120"/>
      <c r="H120"/>
      <c r="I120"/>
      <c r="J120"/>
      <c r="K120"/>
    </row>
    <row r="121" spans="1:11" ht="15.6" customHeight="1" x14ac:dyDescent="0.2">
      <c r="A121"/>
      <c r="B121"/>
      <c r="C121"/>
      <c r="D121"/>
      <c r="E121"/>
      <c r="F121"/>
      <c r="G121"/>
      <c r="H121"/>
      <c r="I121"/>
      <c r="J121"/>
      <c r="K121"/>
    </row>
    <row r="122" spans="1:11" ht="15.6" customHeight="1" x14ac:dyDescent="0.2">
      <c r="A122"/>
      <c r="B122"/>
      <c r="C122"/>
      <c r="D122"/>
      <c r="E122"/>
      <c r="F122"/>
      <c r="G122"/>
      <c r="H122"/>
      <c r="I122"/>
      <c r="J122"/>
      <c r="K122"/>
    </row>
    <row r="123" spans="1:11" ht="15.6" customHeight="1" x14ac:dyDescent="0.2">
      <c r="A123"/>
      <c r="B123"/>
      <c r="C123"/>
      <c r="D123"/>
      <c r="E123"/>
      <c r="F123"/>
      <c r="G123"/>
      <c r="H123"/>
      <c r="I123" s="69"/>
      <c r="J123" s="69"/>
    </row>
    <row r="124" spans="1:11" ht="15.6" customHeight="1" x14ac:dyDescent="0.2">
      <c r="A124"/>
      <c r="B124" s="69"/>
      <c r="C124" s="69"/>
      <c r="D124"/>
      <c r="E124"/>
      <c r="F124"/>
      <c r="G124"/>
      <c r="H124"/>
      <c r="I124" s="69"/>
      <c r="J124" s="69"/>
    </row>
    <row r="125" spans="1:11" ht="15.6" customHeight="1" x14ac:dyDescent="0.2">
      <c r="A125"/>
      <c r="B125"/>
      <c r="C125"/>
      <c r="D125"/>
      <c r="F125"/>
      <c r="G125"/>
      <c r="H125"/>
      <c r="I125"/>
      <c r="J125"/>
    </row>
    <row r="126" spans="1:11" ht="15.6" customHeight="1" x14ac:dyDescent="0.2">
      <c r="A126"/>
      <c r="B126"/>
      <c r="C126"/>
      <c r="D126"/>
      <c r="F126"/>
      <c r="G126"/>
      <c r="H126"/>
      <c r="I126"/>
      <c r="J126"/>
    </row>
    <row r="127" spans="1:11" ht="15.6" customHeight="1" x14ac:dyDescent="0.2">
      <c r="A127"/>
      <c r="B127"/>
      <c r="C127"/>
      <c r="D127"/>
      <c r="F127"/>
      <c r="G127"/>
      <c r="H127"/>
      <c r="I127"/>
      <c r="J127"/>
    </row>
    <row r="128" spans="1:11" ht="15.6" customHeight="1" x14ac:dyDescent="0.2">
      <c r="A128"/>
      <c r="B128" s="69"/>
      <c r="C128" s="69"/>
      <c r="D128"/>
      <c r="F128"/>
      <c r="G128"/>
      <c r="H128"/>
      <c r="I128"/>
      <c r="J128"/>
    </row>
    <row r="129" spans="1:10" ht="15.6" customHeight="1" x14ac:dyDescent="0.2">
      <c r="A129"/>
      <c r="B129" s="69"/>
      <c r="C129" s="69"/>
      <c r="D129"/>
      <c r="F129"/>
      <c r="G129"/>
      <c r="H129"/>
      <c r="I129"/>
      <c r="J129"/>
    </row>
    <row r="130" spans="1:10" ht="15.6" customHeight="1" x14ac:dyDescent="0.2">
      <c r="A130"/>
      <c r="B130" s="69"/>
      <c r="C130" s="69"/>
      <c r="D130"/>
      <c r="F130"/>
    </row>
    <row r="131" spans="1:10" ht="15.6" customHeight="1" x14ac:dyDescent="0.2">
      <c r="A131"/>
      <c r="B131"/>
      <c r="C131"/>
      <c r="D131"/>
      <c r="F131"/>
    </row>
    <row r="132" spans="1:10" ht="15.6" customHeight="1" x14ac:dyDescent="0.2">
      <c r="A132"/>
      <c r="B132" s="69"/>
      <c r="C132" s="69"/>
      <c r="D132"/>
      <c r="F132"/>
    </row>
    <row r="133" spans="1:10" ht="15.6" customHeight="1" x14ac:dyDescent="0.2">
      <c r="A133"/>
      <c r="B133" s="69"/>
      <c r="C133" s="69"/>
      <c r="D133"/>
      <c r="F133"/>
    </row>
    <row r="134" spans="1:10" ht="15.6" customHeight="1" x14ac:dyDescent="0.2">
      <c r="A134"/>
      <c r="B134" s="69"/>
      <c r="C134" s="69"/>
      <c r="D134"/>
      <c r="F134"/>
    </row>
    <row r="135" spans="1:10" ht="15.6" customHeight="1" x14ac:dyDescent="0.2">
      <c r="A135"/>
      <c r="B135"/>
      <c r="C135"/>
      <c r="D135"/>
      <c r="F135"/>
    </row>
    <row r="136" spans="1:10" ht="15.6" customHeight="1" x14ac:dyDescent="0.2">
      <c r="A136"/>
      <c r="B136" s="69"/>
      <c r="C136" s="69"/>
      <c r="D136"/>
      <c r="F136"/>
    </row>
    <row r="137" spans="1:10" ht="15.6" customHeight="1" x14ac:dyDescent="0.2">
      <c r="A137"/>
      <c r="B137" s="69"/>
      <c r="C137" s="69"/>
      <c r="D137"/>
      <c r="F137"/>
    </row>
  </sheetData>
  <mergeCells count="1">
    <mergeCell ref="G51:G52"/>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31"/>
  <sheetViews>
    <sheetView showGridLines="0" showRowColHeaders="0" zoomScaleNormal="100" workbookViewId="0"/>
  </sheetViews>
  <sheetFormatPr defaultColWidth="11.42578125" defaultRowHeight="12.75" x14ac:dyDescent="0.2"/>
  <cols>
    <col min="1" max="1" width="26.42578125" style="168" customWidth="1"/>
    <col min="2" max="2" width="8.140625" style="168" customWidth="1"/>
    <col min="3" max="4" width="10.42578125" style="168" customWidth="1"/>
    <col min="5" max="5" width="9.85546875" style="168" customWidth="1"/>
    <col min="6" max="6" width="1.5703125" style="168" customWidth="1"/>
    <col min="7" max="7" width="7.5703125" style="168" customWidth="1"/>
    <col min="8" max="8" width="8.85546875" style="168" customWidth="1"/>
    <col min="9" max="21" width="11.42578125" style="168" customWidth="1"/>
    <col min="22" max="22" width="15.42578125" style="168" customWidth="1"/>
    <col min="23" max="16384" width="11.42578125" style="168"/>
  </cols>
  <sheetData>
    <row r="1" spans="1:36" s="1" customFormat="1" ht="5.25" customHeight="1" x14ac:dyDescent="0.2"/>
    <row r="2" spans="1:36" s="1" customFormat="1" x14ac:dyDescent="0.2">
      <c r="A2" s="146" t="s">
        <v>0</v>
      </c>
      <c r="B2" s="2"/>
      <c r="C2" s="2"/>
      <c r="D2" s="2"/>
      <c r="E2" s="2"/>
      <c r="F2" s="2"/>
      <c r="G2" s="2"/>
    </row>
    <row r="3" spans="1:36" s="1" customFormat="1" ht="6" customHeight="1" x14ac:dyDescent="0.25">
      <c r="A3" s="147"/>
      <c r="B3" s="2"/>
      <c r="C3" s="2"/>
      <c r="D3" s="2"/>
      <c r="E3" s="2"/>
      <c r="F3" s="2"/>
      <c r="G3" s="2"/>
    </row>
    <row r="4" spans="1:36" s="1" customFormat="1" ht="12.75" customHeight="1" x14ac:dyDescent="0.2">
      <c r="A4" s="204" t="s">
        <v>90</v>
      </c>
      <c r="B4" s="2"/>
      <c r="C4" s="2"/>
      <c r="D4" s="2"/>
      <c r="E4" s="2"/>
      <c r="F4" s="2"/>
      <c r="G4" s="2"/>
      <c r="H4" s="67"/>
    </row>
    <row r="5" spans="1:36" s="1" customFormat="1" ht="12.75" customHeight="1" x14ac:dyDescent="0.2">
      <c r="A5" s="204"/>
      <c r="B5" s="2"/>
      <c r="C5" s="2"/>
      <c r="D5" s="2"/>
      <c r="E5" s="2"/>
      <c r="F5" s="2"/>
      <c r="G5" s="2"/>
      <c r="H5" s="67"/>
    </row>
    <row r="6" spans="1:36" s="1" customFormat="1" ht="15.75" x14ac:dyDescent="0.2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182</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s="1" customFormat="1" ht="15.75" x14ac:dyDescent="0.25">
      <c r="A7" s="147"/>
      <c r="B7" s="2"/>
      <c r="C7" s="2"/>
      <c r="D7" s="2"/>
      <c r="E7" s="2"/>
      <c r="F7" s="2"/>
      <c r="G7" s="2"/>
      <c r="H7" s="67"/>
      <c r="V7" s="88"/>
      <c r="AJ7" s="88"/>
    </row>
    <row r="8" spans="1:36" s="1" customFormat="1" ht="15.75" x14ac:dyDescent="0.25">
      <c r="A8" s="147"/>
      <c r="B8" s="2"/>
      <c r="C8" s="2"/>
      <c r="D8" s="2"/>
      <c r="E8" s="2"/>
      <c r="F8" s="2"/>
      <c r="G8" s="2"/>
      <c r="H8" s="67"/>
    </row>
    <row r="9" spans="1:36" s="1" customFormat="1" ht="15.75" x14ac:dyDescent="0.25">
      <c r="A9" s="147"/>
      <c r="B9" s="2"/>
      <c r="C9" s="2"/>
      <c r="D9" s="2"/>
      <c r="E9" s="2"/>
      <c r="F9" s="2"/>
      <c r="G9" s="2"/>
      <c r="H9" s="67"/>
    </row>
    <row r="10" spans="1:36" s="1" customFormat="1" ht="15.75" x14ac:dyDescent="0.25">
      <c r="A10" s="147"/>
      <c r="B10" s="2"/>
      <c r="C10" s="2"/>
      <c r="D10" s="2"/>
      <c r="E10" s="2"/>
      <c r="F10" s="2"/>
      <c r="G10" s="2"/>
      <c r="H10" s="67"/>
    </row>
    <row r="11" spans="1:36" s="1" customFormat="1" ht="15.75" x14ac:dyDescent="0.25">
      <c r="A11" s="147"/>
      <c r="B11" s="2"/>
      <c r="C11" s="2"/>
      <c r="D11" s="2"/>
      <c r="E11" s="2"/>
      <c r="F11" s="2"/>
      <c r="G11" s="2"/>
      <c r="H11" s="67"/>
    </row>
    <row r="12" spans="1:36" s="1" customFormat="1" ht="15.75" x14ac:dyDescent="0.25">
      <c r="A12" s="147"/>
      <c r="B12" s="2"/>
      <c r="C12" s="2"/>
      <c r="D12" s="2"/>
      <c r="E12" s="2"/>
      <c r="F12" s="2"/>
      <c r="G12" s="2"/>
      <c r="H12" s="67"/>
    </row>
    <row r="13" spans="1:36" s="1" customFormat="1" ht="15.75" x14ac:dyDescent="0.25">
      <c r="A13" s="147"/>
      <c r="B13" s="2"/>
      <c r="C13" s="2"/>
      <c r="D13" s="2"/>
      <c r="E13" s="2"/>
      <c r="F13" s="2"/>
      <c r="G13" s="2"/>
      <c r="H13" s="67"/>
    </row>
    <row r="14" spans="1:36" s="1" customFormat="1" ht="15.75" x14ac:dyDescent="0.25">
      <c r="A14" s="147"/>
      <c r="B14" s="2"/>
      <c r="C14" s="2"/>
      <c r="D14" s="2"/>
      <c r="E14" s="2"/>
      <c r="F14" s="2"/>
      <c r="G14" s="2"/>
      <c r="H14" s="67"/>
    </row>
    <row r="15" spans="1:36" s="1" customFormat="1" ht="15.75" x14ac:dyDescent="0.25">
      <c r="A15" s="147"/>
      <c r="B15" s="2"/>
      <c r="C15" s="2"/>
      <c r="D15" s="2"/>
      <c r="E15" s="2"/>
      <c r="F15" s="2"/>
      <c r="G15" s="2"/>
      <c r="H15" s="67"/>
    </row>
    <row r="16" spans="1:36" s="1" customFormat="1" ht="15.75" x14ac:dyDescent="0.25">
      <c r="A16" s="147"/>
      <c r="B16" s="2"/>
      <c r="C16" s="2"/>
      <c r="D16" s="2"/>
      <c r="E16" s="2"/>
      <c r="F16" s="2"/>
      <c r="G16" s="2"/>
      <c r="H16" s="67"/>
    </row>
    <row r="17" spans="1:30" s="1" customFormat="1" ht="15.75" x14ac:dyDescent="0.25">
      <c r="A17" s="147"/>
      <c r="B17" s="2"/>
      <c r="C17" s="2"/>
      <c r="D17" s="2"/>
      <c r="E17" s="2"/>
      <c r="F17" s="2"/>
      <c r="G17" s="2"/>
      <c r="H17" s="67"/>
    </row>
    <row r="18" spans="1:30" s="1" customFormat="1" ht="15.75" x14ac:dyDescent="0.25">
      <c r="A18" s="147"/>
      <c r="B18" s="2"/>
      <c r="C18" s="2"/>
      <c r="D18" s="2"/>
      <c r="E18" s="2"/>
      <c r="F18" s="2"/>
      <c r="G18" s="2"/>
      <c r="H18" s="67"/>
    </row>
    <row r="19" spans="1:30" s="1" customFormat="1" ht="15.75" x14ac:dyDescent="0.25">
      <c r="A19" s="147"/>
      <c r="B19" s="2"/>
      <c r="C19" s="2"/>
      <c r="D19" s="2"/>
      <c r="E19" s="2"/>
      <c r="F19" s="2"/>
      <c r="G19" s="2"/>
      <c r="H19" s="67"/>
    </row>
    <row r="20" spans="1:30" s="1" customFormat="1" ht="15.75" x14ac:dyDescent="0.25">
      <c r="A20" s="147"/>
      <c r="B20" s="2"/>
      <c r="C20" s="2"/>
      <c r="D20" s="2"/>
      <c r="E20" s="2"/>
      <c r="F20" s="2"/>
      <c r="G20" s="2"/>
      <c r="H20" s="67"/>
    </row>
    <row r="21" spans="1:30" s="1" customFormat="1" ht="15.75" x14ac:dyDescent="0.25">
      <c r="A21" s="147"/>
      <c r="B21" s="2"/>
      <c r="C21" s="2"/>
      <c r="D21" s="2"/>
      <c r="E21" s="2"/>
      <c r="F21" s="2"/>
      <c r="G21" s="2"/>
      <c r="H21" s="67"/>
    </row>
    <row r="22" spans="1:30" s="1" customFormat="1" ht="15.75" x14ac:dyDescent="0.25">
      <c r="A22" s="147"/>
      <c r="B22" s="2"/>
      <c r="C22" s="2"/>
      <c r="D22" s="2"/>
      <c r="E22" s="2"/>
      <c r="F22" s="2"/>
      <c r="G22" s="2"/>
      <c r="H22" s="67"/>
    </row>
    <row r="23" spans="1:30" s="1" customFormat="1" ht="15.75" x14ac:dyDescent="0.25">
      <c r="A23" s="147"/>
      <c r="B23" s="2"/>
      <c r="C23" s="2"/>
      <c r="D23" s="2"/>
      <c r="E23" s="2"/>
      <c r="F23" s="2"/>
      <c r="G23" s="2"/>
      <c r="H23" s="67"/>
    </row>
    <row r="24" spans="1:30" s="1" customFormat="1" ht="15.75" x14ac:dyDescent="0.25">
      <c r="A24" s="147"/>
      <c r="B24" s="2"/>
      <c r="C24" s="2"/>
      <c r="D24" s="2"/>
      <c r="E24" s="2"/>
      <c r="F24" s="2"/>
      <c r="G24" s="2"/>
      <c r="H24" s="67"/>
    </row>
    <row r="25" spans="1:30" s="1" customFormat="1" ht="15.75" x14ac:dyDescent="0.25">
      <c r="A25" s="147"/>
      <c r="B25" s="2"/>
      <c r="C25" s="2"/>
      <c r="D25" s="2"/>
      <c r="E25" s="2"/>
      <c r="F25" s="2"/>
      <c r="G25" s="2"/>
      <c r="H25" s="67"/>
    </row>
    <row r="26" spans="1:30" s="1" customFormat="1" ht="15.75" x14ac:dyDescent="0.25">
      <c r="A26" s="147"/>
      <c r="B26" s="2"/>
      <c r="C26" s="2"/>
      <c r="D26" s="2"/>
      <c r="E26" s="2"/>
      <c r="F26" s="2"/>
      <c r="G26" s="2"/>
      <c r="H26" s="67"/>
    </row>
    <row r="27" spans="1:30" s="1" customFormat="1" ht="15.75" x14ac:dyDescent="0.25">
      <c r="A27" s="147"/>
      <c r="B27" s="2"/>
      <c r="C27" s="2"/>
      <c r="D27" s="2"/>
      <c r="E27" s="2"/>
      <c r="F27" s="2"/>
      <c r="G27" s="2"/>
      <c r="H27" s="67"/>
    </row>
    <row r="28" spans="1:30" s="1" customFormat="1" ht="15.75" x14ac:dyDescent="0.25">
      <c r="A28" s="147"/>
      <c r="B28" s="2"/>
      <c r="C28" s="2"/>
      <c r="D28" s="2"/>
      <c r="E28" s="2"/>
      <c r="F28" s="2"/>
      <c r="G28" s="2"/>
      <c r="H28" s="67"/>
    </row>
    <row r="29" spans="1:30" s="1" customFormat="1" ht="15.75" x14ac:dyDescent="0.25">
      <c r="A29" s="147"/>
      <c r="B29" s="2"/>
      <c r="C29" s="2"/>
      <c r="D29" s="2"/>
      <c r="E29" s="2"/>
      <c r="F29" s="2"/>
      <c r="G29" s="2"/>
      <c r="H29" s="67"/>
    </row>
    <row r="30" spans="1:30" s="1" customFormat="1" ht="15.75" x14ac:dyDescent="0.25">
      <c r="A30" s="147"/>
      <c r="B30" s="2"/>
      <c r="C30" s="2"/>
      <c r="D30" s="2"/>
      <c r="E30" s="2"/>
      <c r="F30" s="2"/>
      <c r="G30" s="2"/>
      <c r="H30" s="67"/>
    </row>
    <row r="31" spans="1:30" s="1" customFormat="1" ht="15.75" x14ac:dyDescent="0.25">
      <c r="A31" s="147"/>
      <c r="B31" s="2"/>
      <c r="C31" s="2"/>
      <c r="D31" s="2"/>
      <c r="E31" s="2"/>
      <c r="F31" s="2"/>
      <c r="G31" s="2"/>
      <c r="H31" s="67"/>
    </row>
    <row r="32" spans="1:30" s="1" customFormat="1" ht="15.75" x14ac:dyDescent="0.2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2022</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s="1" customFormat="1" ht="15.75" x14ac:dyDescent="0.25">
      <c r="A33" s="147"/>
      <c r="B33" s="2"/>
      <c r="C33" s="2"/>
      <c r="D33" s="2"/>
      <c r="E33" s="2"/>
      <c r="F33" s="2"/>
      <c r="G33" s="2"/>
      <c r="H33" s="67"/>
    </row>
    <row r="34" spans="1:8" s="1" customFormat="1" ht="15.75" x14ac:dyDescent="0.25">
      <c r="A34" s="147"/>
      <c r="B34" s="2"/>
      <c r="C34" s="2"/>
      <c r="D34" s="2"/>
      <c r="E34" s="2"/>
      <c r="F34" s="2"/>
      <c r="G34" s="2"/>
      <c r="H34" s="67"/>
    </row>
    <row r="35" spans="1:8" s="1" customFormat="1" ht="15.75" x14ac:dyDescent="0.25">
      <c r="A35" s="147"/>
      <c r="B35" s="2"/>
      <c r="C35" s="2"/>
      <c r="D35" s="2"/>
      <c r="E35" s="2"/>
      <c r="F35" s="2"/>
      <c r="G35" s="2"/>
      <c r="H35" s="67"/>
    </row>
    <row r="36" spans="1:8" s="1" customFormat="1" ht="15.75" x14ac:dyDescent="0.25">
      <c r="A36" s="147"/>
      <c r="B36" s="2"/>
      <c r="C36" s="2"/>
      <c r="D36" s="2"/>
      <c r="E36" s="2"/>
      <c r="F36" s="2"/>
      <c r="G36" s="2"/>
      <c r="H36" s="67"/>
    </row>
    <row r="37" spans="1:8" s="1" customFormat="1" x14ac:dyDescent="0.2">
      <c r="A37" s="47"/>
      <c r="B37" s="48"/>
      <c r="C37" s="49"/>
      <c r="D37" s="49"/>
      <c r="E37" s="49"/>
      <c r="F37" s="49"/>
      <c r="G37" s="50"/>
      <c r="H37" s="51"/>
    </row>
    <row r="38" spans="1:8" s="1" customFormat="1" x14ac:dyDescent="0.2">
      <c r="A38" s="47"/>
      <c r="B38" s="48"/>
      <c r="C38" s="49"/>
      <c r="D38" s="49"/>
      <c r="E38" s="49"/>
      <c r="F38" s="49"/>
      <c r="G38" s="50"/>
      <c r="H38" s="51"/>
    </row>
    <row r="39" spans="1:8" s="1" customFormat="1" x14ac:dyDescent="0.2">
      <c r="A39" s="47"/>
      <c r="B39" s="48"/>
      <c r="C39" s="49"/>
      <c r="D39" s="49"/>
      <c r="E39" s="49"/>
      <c r="F39" s="49"/>
      <c r="G39" s="50"/>
      <c r="H39" s="51"/>
    </row>
    <row r="40" spans="1:8" s="1" customFormat="1" x14ac:dyDescent="0.2">
      <c r="A40" s="47"/>
      <c r="B40" s="48"/>
      <c r="C40" s="49"/>
      <c r="D40" s="49"/>
      <c r="E40" s="49"/>
      <c r="F40" s="49"/>
      <c r="G40" s="50"/>
      <c r="H40" s="51"/>
    </row>
    <row r="41" spans="1:8" s="1" customFormat="1" x14ac:dyDescent="0.2">
      <c r="A41" s="47"/>
      <c r="B41" s="48"/>
      <c r="C41" s="49"/>
      <c r="D41" s="49"/>
      <c r="E41" s="49"/>
      <c r="F41" s="49"/>
      <c r="G41" s="50"/>
      <c r="H41" s="51"/>
    </row>
    <row r="42" spans="1:8" s="1" customFormat="1" x14ac:dyDescent="0.2">
      <c r="A42" s="47"/>
      <c r="B42" s="48"/>
      <c r="C42" s="49"/>
      <c r="D42" s="49"/>
      <c r="E42" s="49"/>
      <c r="F42" s="49"/>
      <c r="G42" s="50"/>
      <c r="H42" s="51"/>
    </row>
    <row r="43" spans="1:8" s="1" customFormat="1" x14ac:dyDescent="0.2">
      <c r="A43" s="47"/>
      <c r="B43" s="48"/>
      <c r="C43" s="49"/>
      <c r="D43" s="49"/>
      <c r="E43" s="49"/>
      <c r="F43" s="49"/>
      <c r="G43" s="50"/>
      <c r="H43" s="51"/>
    </row>
    <row r="44" spans="1:8" s="1" customFormat="1" x14ac:dyDescent="0.2">
      <c r="A44" s="47"/>
      <c r="B44" s="48"/>
      <c r="C44" s="49"/>
      <c r="D44" s="49"/>
      <c r="E44" s="49"/>
      <c r="F44" s="49"/>
      <c r="G44" s="50"/>
      <c r="H44" s="51"/>
    </row>
    <row r="45" spans="1:8" s="1" customFormat="1" x14ac:dyDescent="0.2">
      <c r="A45" s="47"/>
      <c r="B45" s="48"/>
      <c r="C45" s="49"/>
      <c r="D45" s="49"/>
      <c r="E45" s="49"/>
      <c r="F45" s="49"/>
      <c r="G45" s="50"/>
      <c r="H45" s="51"/>
    </row>
    <row r="46" spans="1:8" s="1" customFormat="1" x14ac:dyDescent="0.2">
      <c r="A46" s="47"/>
      <c r="B46" s="48"/>
      <c r="C46" s="49"/>
      <c r="D46" s="49"/>
      <c r="E46" s="49"/>
      <c r="F46" s="49"/>
      <c r="G46" s="50"/>
      <c r="H46" s="51"/>
    </row>
    <row r="47" spans="1:8" s="1" customFormat="1" x14ac:dyDescent="0.2">
      <c r="A47" s="47"/>
      <c r="B47" s="48"/>
      <c r="C47" s="49"/>
      <c r="D47" s="49"/>
      <c r="E47" s="49"/>
      <c r="F47" s="49"/>
      <c r="G47" s="50"/>
      <c r="H47" s="51"/>
    </row>
    <row r="48" spans="1:8" s="1" customFormat="1" x14ac:dyDescent="0.2">
      <c r="A48" s="47"/>
      <c r="B48" s="48"/>
      <c r="C48" s="49"/>
      <c r="D48" s="49"/>
      <c r="E48" s="49"/>
      <c r="F48" s="49"/>
      <c r="G48" s="50"/>
      <c r="H48" s="51"/>
    </row>
    <row r="49" spans="1:36" s="1" customFormat="1" x14ac:dyDescent="0.2">
      <c r="A49" s="47"/>
      <c r="B49" s="48"/>
      <c r="C49" s="49"/>
      <c r="D49" s="49"/>
      <c r="E49" s="97"/>
      <c r="F49" s="49"/>
      <c r="G49" s="50"/>
      <c r="H49" s="51"/>
    </row>
    <row r="50" spans="1:36" s="1" customFormat="1" x14ac:dyDescent="0.2">
      <c r="A50" s="47"/>
      <c r="B50" s="48"/>
      <c r="C50" s="49"/>
      <c r="D50" s="49"/>
      <c r="E50" s="49"/>
      <c r="F50" s="49"/>
      <c r="G50" s="50"/>
      <c r="H50" s="51"/>
    </row>
    <row r="51" spans="1:36" s="1" customFormat="1" x14ac:dyDescent="0.2">
      <c r="A51" s="47"/>
      <c r="B51" s="48"/>
      <c r="C51" s="49"/>
      <c r="D51" s="49"/>
      <c r="E51" s="49"/>
      <c r="F51" s="49"/>
      <c r="G51" s="50"/>
      <c r="H51" s="51"/>
    </row>
    <row r="52" spans="1:36" s="1" customFormat="1" x14ac:dyDescent="0.2">
      <c r="A52" s="47"/>
      <c r="B52" s="48"/>
      <c r="C52" s="49"/>
      <c r="D52" s="49"/>
      <c r="E52" s="49"/>
      <c r="F52" s="49"/>
      <c r="G52" s="50"/>
      <c r="H52" s="51"/>
    </row>
    <row r="53" spans="1:36" s="1" customFormat="1" x14ac:dyDescent="0.2">
      <c r="A53" s="47"/>
      <c r="B53" s="48"/>
      <c r="C53" s="49"/>
      <c r="D53" s="49"/>
      <c r="E53" s="49"/>
      <c r="F53" s="49"/>
      <c r="G53" s="50"/>
      <c r="H53" s="51"/>
    </row>
    <row r="54" spans="1:36" s="1" customFormat="1" x14ac:dyDescent="0.2">
      <c r="A54" s="47"/>
      <c r="B54" s="48"/>
      <c r="C54" s="49"/>
      <c r="D54" s="49"/>
      <c r="E54" s="49"/>
      <c r="F54" s="49"/>
      <c r="G54" s="50"/>
      <c r="H54" s="51"/>
    </row>
    <row r="55" spans="1:36" s="1" customFormat="1" x14ac:dyDescent="0.2">
      <c r="A55" s="47"/>
      <c r="B55" s="48"/>
      <c r="C55" s="49"/>
      <c r="D55" s="49"/>
      <c r="E55" s="49"/>
      <c r="F55" s="49"/>
      <c r="G55" s="50"/>
      <c r="H55" s="51"/>
    </row>
    <row r="56" spans="1:36" s="1" customFormat="1" x14ac:dyDescent="0.2">
      <c r="A56" s="47"/>
      <c r="B56" s="48"/>
      <c r="C56" s="49"/>
      <c r="D56" s="49"/>
      <c r="E56" s="49"/>
      <c r="F56" s="49"/>
      <c r="G56" s="50"/>
      <c r="H56" s="51"/>
    </row>
    <row r="57" spans="1:36" s="1" customFormat="1" x14ac:dyDescent="0.2">
      <c r="A57" s="47"/>
      <c r="B57" s="48"/>
      <c r="C57" s="49"/>
      <c r="D57" s="49"/>
      <c r="E57" s="49"/>
      <c r="F57" s="49"/>
      <c r="G57" s="50"/>
      <c r="H57" s="51"/>
    </row>
    <row r="58" spans="1:36" s="1" customFormat="1" x14ac:dyDescent="0.2">
      <c r="A58" s="47"/>
      <c r="B58" s="48"/>
      <c r="C58" s="49"/>
      <c r="D58" s="49"/>
      <c r="E58" s="49"/>
      <c r="F58" s="49"/>
      <c r="G58" s="50"/>
      <c r="H58" s="51"/>
    </row>
    <row r="59" spans="1:36" s="1" customFormat="1" x14ac:dyDescent="0.2">
      <c r="A59" s="47"/>
      <c r="B59" s="48"/>
      <c r="C59" s="49"/>
      <c r="D59" s="49"/>
      <c r="E59" s="49"/>
      <c r="F59" s="49"/>
      <c r="G59" s="50"/>
      <c r="H59" s="51"/>
    </row>
    <row r="60" spans="1:36" s="1" customFormat="1"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s="1" customFormat="1" x14ac:dyDescent="0.2">
      <c r="A61" s="54" t="str">
        <f>+Innhold!B123</f>
        <v>Finans Norge / Skadeforsikringsstatistikk</v>
      </c>
      <c r="H61" s="202">
        <v>4</v>
      </c>
      <c r="I61" s="54" t="str">
        <f>+Innhold!B123</f>
        <v>Finans Norge / Skadeforsikringsstatistikk</v>
      </c>
      <c r="O61" s="202">
        <v>5</v>
      </c>
      <c r="P61" s="54" t="str">
        <f>+Innhold!B123</f>
        <v>Finans Norge / Skadeforsikringsstatistikk</v>
      </c>
      <c r="V61" s="202">
        <v>6</v>
      </c>
      <c r="W61" s="54" t="str">
        <f>+Innhold!B123</f>
        <v>Finans Norge / Skadeforsikringsstatistikk</v>
      </c>
      <c r="AC61" s="202">
        <v>7</v>
      </c>
      <c r="AD61" s="54" t="str">
        <f>+Innhold!B123</f>
        <v>Finans Norge / Skadeforsikringsstatistikk</v>
      </c>
      <c r="AJ61" s="202">
        <v>8</v>
      </c>
    </row>
    <row r="62" spans="1:36" s="1" customFormat="1" x14ac:dyDescent="0.2">
      <c r="A62" s="54" t="str">
        <f>+Innhold!B124</f>
        <v>Skadestatistikk for landbasert forsikring 1. kvartal 2022</v>
      </c>
      <c r="H62" s="203"/>
      <c r="I62" s="54" t="str">
        <f>+Innhold!B124</f>
        <v>Skadestatistikk for landbasert forsikring 1. kvartal 2022</v>
      </c>
      <c r="O62" s="203"/>
      <c r="P62" s="54" t="str">
        <f>+Innhold!B124</f>
        <v>Skadestatistikk for landbasert forsikring 1. kvartal 2022</v>
      </c>
      <c r="V62" s="203"/>
      <c r="W62" s="54" t="str">
        <f>+Innhold!B124</f>
        <v>Skadestatistikk for landbasert forsikring 1. kvartal 2022</v>
      </c>
      <c r="AC62" s="203"/>
      <c r="AD62" s="54" t="str">
        <f>+Innhold!B124</f>
        <v>Skadestatistikk for landbasert forsikring 1. kvartal 2022</v>
      </c>
      <c r="AJ62" s="203"/>
    </row>
    <row r="67" spans="1:26" ht="12.75" customHeight="1" x14ac:dyDescent="0.2"/>
    <row r="68" spans="1:26" ht="12.75" customHeight="1" x14ac:dyDescent="0.2">
      <c r="M68" s="169" t="s">
        <v>177</v>
      </c>
      <c r="P68" s="169" t="s">
        <v>179</v>
      </c>
      <c r="S68" s="169" t="s">
        <v>178</v>
      </c>
    </row>
    <row r="69" spans="1:26" x14ac:dyDescent="0.2">
      <c r="A69" s="170" t="s">
        <v>183</v>
      </c>
      <c r="B69" s="171"/>
      <c r="C69" s="171"/>
      <c r="D69" s="171" t="s">
        <v>74</v>
      </c>
      <c r="E69" s="171"/>
      <c r="F69" s="171"/>
      <c r="G69" s="171"/>
      <c r="H69" s="170"/>
      <c r="I69" s="172">
        <v>161.53833333333336</v>
      </c>
      <c r="J69" s="173" t="s">
        <v>234</v>
      </c>
      <c r="M69" s="169" t="s">
        <v>161</v>
      </c>
      <c r="P69" s="169" t="s">
        <v>175</v>
      </c>
      <c r="S69" s="169" t="s">
        <v>176</v>
      </c>
      <c r="V69" s="170" t="s">
        <v>184</v>
      </c>
      <c r="W69" s="171"/>
      <c r="X69" s="171"/>
      <c r="Y69" s="171"/>
      <c r="Z69" s="171"/>
    </row>
    <row r="70" spans="1:26" x14ac:dyDescent="0.2">
      <c r="A70" s="171" t="s">
        <v>75</v>
      </c>
      <c r="B70" s="171" t="s">
        <v>76</v>
      </c>
      <c r="C70" s="171" t="s">
        <v>26</v>
      </c>
      <c r="D70" s="171" t="s">
        <v>77</v>
      </c>
      <c r="E70" s="171"/>
      <c r="F70" s="171"/>
      <c r="G70" s="171"/>
      <c r="I70" s="174" t="s">
        <v>159</v>
      </c>
      <c r="J70" s="168" t="s">
        <v>229</v>
      </c>
      <c r="K70" s="174" t="s">
        <v>76</v>
      </c>
      <c r="L70" s="174" t="s">
        <v>108</v>
      </c>
      <c r="M70" s="174" t="s">
        <v>157</v>
      </c>
      <c r="N70" s="174" t="s">
        <v>158</v>
      </c>
      <c r="O70" s="174" t="s">
        <v>108</v>
      </c>
      <c r="P70" s="174" t="s">
        <v>157</v>
      </c>
      <c r="Q70" s="174" t="s">
        <v>158</v>
      </c>
      <c r="R70" s="174" t="s">
        <v>108</v>
      </c>
      <c r="S70" s="174" t="s">
        <v>157</v>
      </c>
      <c r="T70" s="174" t="s">
        <v>158</v>
      </c>
      <c r="V70" s="171" t="s">
        <v>81</v>
      </c>
      <c r="W70" s="171"/>
      <c r="X70" s="175" t="str">
        <f>+'Tab3'!C6</f>
        <v>2020</v>
      </c>
      <c r="Y70" s="175" t="str">
        <f>+'Tab3'!D6</f>
        <v>2021</v>
      </c>
      <c r="Z70" s="175" t="str">
        <f>+'Tab3'!E6</f>
        <v>2022</v>
      </c>
    </row>
    <row r="71" spans="1:26" x14ac:dyDescent="0.2">
      <c r="A71" s="171">
        <v>1</v>
      </c>
      <c r="B71" s="171">
        <v>1983</v>
      </c>
      <c r="C71" s="171">
        <v>97</v>
      </c>
      <c r="D71" s="171">
        <v>78.3</v>
      </c>
      <c r="E71" s="171"/>
      <c r="F71" s="171"/>
      <c r="G71" s="171"/>
      <c r="I71" s="176">
        <v>53.8</v>
      </c>
      <c r="J71" s="168">
        <v>1</v>
      </c>
      <c r="K71" s="168">
        <v>1983</v>
      </c>
      <c r="L71" s="177">
        <v>11621</v>
      </c>
      <c r="M71" s="178">
        <v>80.900000000000006</v>
      </c>
      <c r="N71" s="178">
        <f t="shared" ref="N71:N102" si="0">M71/I71*$I$69</f>
        <v>242.90801425030983</v>
      </c>
      <c r="V71" s="171"/>
      <c r="W71" s="171"/>
      <c r="X71" s="171"/>
      <c r="Y71" s="171"/>
      <c r="Z71" s="171"/>
    </row>
    <row r="72" spans="1:26" x14ac:dyDescent="0.2">
      <c r="A72" s="171">
        <v>2</v>
      </c>
      <c r="B72" s="171"/>
      <c r="C72" s="171">
        <v>78.8</v>
      </c>
      <c r="D72" s="171">
        <v>61.3</v>
      </c>
      <c r="E72" s="171"/>
      <c r="F72" s="171"/>
      <c r="G72" s="171"/>
      <c r="I72" s="176">
        <v>54.7</v>
      </c>
      <c r="J72" s="168">
        <v>2</v>
      </c>
      <c r="L72" s="177">
        <v>11120</v>
      </c>
      <c r="M72" s="178">
        <v>68.900000000000006</v>
      </c>
      <c r="N72" s="178">
        <f t="shared" si="0"/>
        <v>203.47333028641077</v>
      </c>
      <c r="V72" s="171" t="s">
        <v>26</v>
      </c>
      <c r="W72" s="171"/>
      <c r="X72" s="179">
        <f>IF('Tab6'!C36="",'Tab6'!C35,'Tab6'!C36)</f>
        <v>4422.1313349224674</v>
      </c>
      <c r="Y72" s="179">
        <f>IF('Tab6'!D36="",'Tab6'!D35,'Tab6'!D36)</f>
        <v>4346.5809320392218</v>
      </c>
      <c r="Z72" s="179">
        <f>IF('Tab6'!E36="",'Tab6'!E35,'Tab6'!E36)</f>
        <v>4836.7416705058085</v>
      </c>
    </row>
    <row r="73" spans="1:26" x14ac:dyDescent="0.2">
      <c r="A73" s="171">
        <v>3</v>
      </c>
      <c r="B73" s="171"/>
      <c r="C73" s="171">
        <v>84.8</v>
      </c>
      <c r="D73" s="171">
        <v>63</v>
      </c>
      <c r="E73" s="171"/>
      <c r="F73" s="171"/>
      <c r="G73" s="171"/>
      <c r="I73" s="176">
        <v>55.3</v>
      </c>
      <c r="J73" s="168">
        <v>3</v>
      </c>
      <c r="L73" s="177">
        <v>11918</v>
      </c>
      <c r="M73" s="178">
        <v>63.7</v>
      </c>
      <c r="N73" s="178">
        <f t="shared" si="0"/>
        <v>186.07580168776377</v>
      </c>
      <c r="V73" s="171"/>
      <c r="W73" s="171"/>
      <c r="X73" s="179"/>
      <c r="Y73" s="179"/>
      <c r="Z73" s="179"/>
    </row>
    <row r="74" spans="1:26" x14ac:dyDescent="0.2">
      <c r="A74" s="171">
        <v>4</v>
      </c>
      <c r="B74" s="171"/>
      <c r="C74" s="171">
        <v>91.2</v>
      </c>
      <c r="D74" s="171">
        <v>70.8</v>
      </c>
      <c r="E74" s="171"/>
      <c r="F74" s="171"/>
      <c r="G74" s="171"/>
      <c r="I74" s="176">
        <v>56.2</v>
      </c>
      <c r="J74" s="168">
        <v>4</v>
      </c>
      <c r="L74" s="177">
        <v>11905</v>
      </c>
      <c r="M74" s="178">
        <v>79.3</v>
      </c>
      <c r="N74" s="178">
        <f t="shared" si="0"/>
        <v>227.93576215895612</v>
      </c>
      <c r="V74" s="171" t="s">
        <v>63</v>
      </c>
      <c r="W74" s="171"/>
      <c r="X74" s="179">
        <f>IF('Tab6'!C36="",'Tab6'!C45+'Tab6'!C47,'Tab6'!C46+'Tab6'!C48)</f>
        <v>50.699602071654894</v>
      </c>
      <c r="Y74" s="179">
        <f>IF('Tab6'!D36="",'Tab6'!D45+'Tab6'!D47,'Tab6'!D46+'Tab6'!D48)</f>
        <v>32.126135816742334</v>
      </c>
      <c r="Z74" s="179">
        <f>IF('Tab6'!E36="",'Tab6'!E45+'Tab6'!E47,'Tab6'!E46+'Tab6'!E48)</f>
        <v>39.837669286281852</v>
      </c>
    </row>
    <row r="75" spans="1:26" x14ac:dyDescent="0.2">
      <c r="A75" s="171">
        <v>1</v>
      </c>
      <c r="B75" s="171">
        <v>1984</v>
      </c>
      <c r="C75" s="171">
        <v>112.2</v>
      </c>
      <c r="D75" s="171">
        <v>90.4</v>
      </c>
      <c r="E75" s="171"/>
      <c r="F75" s="171"/>
      <c r="G75" s="171"/>
      <c r="I75" s="176">
        <v>57.3</v>
      </c>
      <c r="J75" s="168">
        <v>1</v>
      </c>
      <c r="K75" s="168">
        <v>1984</v>
      </c>
      <c r="L75" s="177">
        <v>13205</v>
      </c>
      <c r="M75" s="178">
        <v>86.7</v>
      </c>
      <c r="N75" s="178">
        <f t="shared" si="0"/>
        <v>244.42187609075052</v>
      </c>
      <c r="V75" s="171" t="s">
        <v>39</v>
      </c>
      <c r="W75" s="171"/>
      <c r="X75" s="179">
        <f>IF('Tab6'!C36="",'Tab6'!C49,'Tab6'!C50)</f>
        <v>422.96520540999347</v>
      </c>
      <c r="Y75" s="179">
        <f>IF('Tab6'!D36="",'Tab6'!D49,'Tab6'!D50)</f>
        <v>349.28489816586006</v>
      </c>
      <c r="Z75" s="179">
        <f>IF('Tab6'!E36="",'Tab6'!E49,'Tab6'!E50)</f>
        <v>409.60663645313167</v>
      </c>
    </row>
    <row r="76" spans="1:26" x14ac:dyDescent="0.2">
      <c r="A76" s="171">
        <v>2</v>
      </c>
      <c r="B76" s="171"/>
      <c r="C76" s="171">
        <v>81.8</v>
      </c>
      <c r="D76" s="171">
        <v>64.400000000000006</v>
      </c>
      <c r="E76" s="171"/>
      <c r="F76" s="171"/>
      <c r="G76" s="171"/>
      <c r="I76" s="176">
        <v>58.2</v>
      </c>
      <c r="J76" s="168">
        <v>2</v>
      </c>
      <c r="L76" s="177">
        <v>12453</v>
      </c>
      <c r="M76" s="178">
        <v>83.3</v>
      </c>
      <c r="N76" s="178">
        <f t="shared" si="0"/>
        <v>231.20520904925544</v>
      </c>
      <c r="V76" s="171" t="s">
        <v>18</v>
      </c>
      <c r="W76" s="171"/>
      <c r="X76" s="179">
        <f>IF('Tab6'!C36="",'Tab6'!C43,'Tab6'!C44)</f>
        <v>203.12499417206865</v>
      </c>
      <c r="Y76" s="179">
        <f>IF('Tab6'!D36="",'Tab6'!D43,'Tab6'!D44)</f>
        <v>74.84438122958062</v>
      </c>
      <c r="Z76" s="179">
        <f>IF('Tab6'!E36="",'Tab6'!E43,'Tab6'!E44)</f>
        <v>65.318115641068118</v>
      </c>
    </row>
    <row r="77" spans="1:26" x14ac:dyDescent="0.2">
      <c r="A77" s="171">
        <v>3</v>
      </c>
      <c r="B77" s="171"/>
      <c r="C77" s="171">
        <v>90.4</v>
      </c>
      <c r="D77" s="171">
        <v>71.099999999999994</v>
      </c>
      <c r="E77" s="171"/>
      <c r="F77" s="171"/>
      <c r="G77" s="171"/>
      <c r="I77" s="176">
        <v>58.7</v>
      </c>
      <c r="J77" s="168">
        <v>3</v>
      </c>
      <c r="L77" s="177">
        <v>12278</v>
      </c>
      <c r="M77" s="178">
        <v>83.3</v>
      </c>
      <c r="N77" s="178">
        <f t="shared" si="0"/>
        <v>229.23582907438956</v>
      </c>
      <c r="V77" s="171" t="s">
        <v>82</v>
      </c>
      <c r="W77" s="171"/>
      <c r="X77" s="179">
        <f>IF('Tab6'!C36="",'Tab6'!C37+'Tab6'!C39,'Tab6'!C38+'Tab6'!C40)</f>
        <v>433.20674999740021</v>
      </c>
      <c r="Y77" s="179">
        <f>IF('Tab6'!D36="",'Tab6'!D37+'Tab6'!D39,'Tab6'!D38+'Tab6'!D40)</f>
        <v>432.63372008264372</v>
      </c>
      <c r="Z77" s="179">
        <f>IF('Tab6'!E36="",'Tab6'!E37+'Tab6'!E39,'Tab6'!E38+'Tab6'!E40)</f>
        <v>487.67491097650401</v>
      </c>
    </row>
    <row r="78" spans="1:26" x14ac:dyDescent="0.2">
      <c r="A78" s="171">
        <v>4</v>
      </c>
      <c r="B78" s="171"/>
      <c r="C78" s="171">
        <v>92.9</v>
      </c>
      <c r="D78" s="171">
        <v>73.900000000000006</v>
      </c>
      <c r="E78" s="171"/>
      <c r="F78" s="171"/>
      <c r="G78" s="171"/>
      <c r="I78" s="176">
        <v>59.6</v>
      </c>
      <c r="J78" s="168">
        <v>4</v>
      </c>
      <c r="L78" s="177">
        <v>11449</v>
      </c>
      <c r="M78" s="178">
        <v>94.6</v>
      </c>
      <c r="N78" s="178">
        <f t="shared" si="0"/>
        <v>256.40144854586129</v>
      </c>
      <c r="V78" s="171" t="s">
        <v>83</v>
      </c>
      <c r="W78" s="171"/>
      <c r="X78" s="180">
        <f>X72-X77-X76-X75-X74</f>
        <v>3312.1347832713509</v>
      </c>
      <c r="Y78" s="180">
        <f>Y72-Y77-Y76-Y75-Y74</f>
        <v>3457.6917967443956</v>
      </c>
      <c r="Z78" s="180">
        <f>Z72-Z77-Z76-Z75-Z74</f>
        <v>3834.3043381488228</v>
      </c>
    </row>
    <row r="79" spans="1:26" x14ac:dyDescent="0.2">
      <c r="A79" s="171">
        <v>1</v>
      </c>
      <c r="B79" s="171">
        <v>1985</v>
      </c>
      <c r="C79" s="171">
        <v>123.4</v>
      </c>
      <c r="D79" s="171">
        <v>100.8</v>
      </c>
      <c r="E79" s="171"/>
      <c r="F79" s="171"/>
      <c r="G79" s="171"/>
      <c r="I79" s="176">
        <v>60.4</v>
      </c>
      <c r="J79" s="168">
        <v>1</v>
      </c>
      <c r="K79" s="168">
        <v>1985</v>
      </c>
      <c r="L79" s="177">
        <v>16918</v>
      </c>
      <c r="M79" s="178">
        <v>103.6</v>
      </c>
      <c r="N79" s="178">
        <f t="shared" si="0"/>
        <v>277.07568432671081</v>
      </c>
      <c r="V79" s="171"/>
      <c r="W79" s="171"/>
      <c r="X79" s="171"/>
      <c r="Y79" s="171"/>
      <c r="Z79" s="171"/>
    </row>
    <row r="80" spans="1:26" x14ac:dyDescent="0.2">
      <c r="A80" s="171">
        <v>2</v>
      </c>
      <c r="B80" s="171"/>
      <c r="C80" s="171">
        <v>102</v>
      </c>
      <c r="D80" s="171">
        <v>81.099999999999994</v>
      </c>
      <c r="E80" s="171"/>
      <c r="F80" s="171"/>
      <c r="G80" s="171"/>
      <c r="I80" s="176">
        <v>61.5</v>
      </c>
      <c r="J80" s="168">
        <v>2</v>
      </c>
      <c r="L80" s="177">
        <v>14237</v>
      </c>
      <c r="M80" s="178">
        <v>115.3</v>
      </c>
      <c r="N80" s="178">
        <f t="shared" si="0"/>
        <v>302.85154200542007</v>
      </c>
      <c r="V80" s="170" t="s">
        <v>162</v>
      </c>
      <c r="W80" s="171"/>
      <c r="X80" s="171"/>
      <c r="Y80" s="171"/>
    </row>
    <row r="81" spans="1:25" x14ac:dyDescent="0.2">
      <c r="A81" s="171">
        <v>3</v>
      </c>
      <c r="B81" s="171"/>
      <c r="C81" s="171">
        <v>108.4</v>
      </c>
      <c r="D81" s="171">
        <v>86</v>
      </c>
      <c r="E81" s="171"/>
      <c r="F81" s="171"/>
      <c r="G81" s="171"/>
      <c r="I81" s="176">
        <v>62</v>
      </c>
      <c r="J81" s="168">
        <v>3</v>
      </c>
      <c r="L81" s="177">
        <v>14329</v>
      </c>
      <c r="M81" s="178">
        <v>103</v>
      </c>
      <c r="N81" s="178">
        <f t="shared" si="0"/>
        <v>268.36206989247319</v>
      </c>
      <c r="V81" s="171"/>
      <c r="W81" s="171"/>
      <c r="X81" s="171"/>
      <c r="Y81" s="171"/>
    </row>
    <row r="82" spans="1:25" x14ac:dyDescent="0.2">
      <c r="A82" s="171">
        <v>4</v>
      </c>
      <c r="B82" s="171"/>
      <c r="C82" s="171">
        <v>109.6</v>
      </c>
      <c r="D82" s="171">
        <v>87.1</v>
      </c>
      <c r="E82" s="171"/>
      <c r="F82" s="171"/>
      <c r="G82" s="171"/>
      <c r="I82" s="176">
        <v>63</v>
      </c>
      <c r="J82" s="168">
        <v>4</v>
      </c>
      <c r="L82" s="177">
        <v>13060</v>
      </c>
      <c r="M82" s="178">
        <v>118.7</v>
      </c>
      <c r="N82" s="178">
        <f t="shared" si="0"/>
        <v>304.35873280423283</v>
      </c>
      <c r="V82" s="171"/>
      <c r="W82" s="175" t="str">
        <f>+'Tab4'!C6</f>
        <v>2020</v>
      </c>
      <c r="X82" s="175" t="str">
        <f>+'Tab4'!D6</f>
        <v>2021</v>
      </c>
      <c r="Y82" s="175" t="str">
        <f>+'Tab4'!E6</f>
        <v>2022</v>
      </c>
    </row>
    <row r="83" spans="1:25" x14ac:dyDescent="0.2">
      <c r="A83" s="171">
        <v>1</v>
      </c>
      <c r="B83" s="171">
        <v>1986</v>
      </c>
      <c r="C83" s="171">
        <v>141</v>
      </c>
      <c r="D83" s="171">
        <v>115.2</v>
      </c>
      <c r="E83" s="171"/>
      <c r="F83" s="171"/>
      <c r="G83" s="171"/>
      <c r="I83" s="176">
        <v>64</v>
      </c>
      <c r="J83" s="168">
        <v>1</v>
      </c>
      <c r="K83" s="168">
        <v>1986</v>
      </c>
      <c r="L83" s="177">
        <v>14314</v>
      </c>
      <c r="M83" s="178">
        <v>111.8</v>
      </c>
      <c r="N83" s="178">
        <f t="shared" si="0"/>
        <v>282.18727604166668</v>
      </c>
      <c r="V83" s="171" t="s">
        <v>84</v>
      </c>
      <c r="W83" s="179">
        <f>IF('Tab4'!C14="",'Tab4'!C13,'Tab4'!C14)</f>
        <v>2229.8794272830219</v>
      </c>
      <c r="X83" s="179">
        <f>IF('Tab4'!D14="",'Tab4'!D13,'Tab4'!D14)</f>
        <v>2965.4204490303</v>
      </c>
      <c r="Y83" s="179">
        <f>IF('Tab4'!E14="",'Tab4'!E13,'Tab4'!E14)</f>
        <v>2505.6769390314967</v>
      </c>
    </row>
    <row r="84" spans="1:25" x14ac:dyDescent="0.2">
      <c r="A84" s="171">
        <v>2</v>
      </c>
      <c r="B84" s="171"/>
      <c r="C84" s="171">
        <v>120.5</v>
      </c>
      <c r="D84" s="171">
        <v>93.2</v>
      </c>
      <c r="E84" s="171"/>
      <c r="F84" s="171"/>
      <c r="G84" s="171"/>
      <c r="I84" s="176">
        <v>65</v>
      </c>
      <c r="J84" s="168">
        <v>2</v>
      </c>
      <c r="L84" s="177">
        <v>13505</v>
      </c>
      <c r="M84" s="178">
        <v>121.5</v>
      </c>
      <c r="N84" s="178">
        <f t="shared" si="0"/>
        <v>301.95242307692314</v>
      </c>
      <c r="V84" s="171" t="s">
        <v>169</v>
      </c>
      <c r="W84" s="179">
        <f>IF('Tab4'!C16="",'Tab4'!C15,'Tab4'!C16)</f>
        <v>1959.3996641893941</v>
      </c>
      <c r="X84" s="179">
        <f>IF('Tab4'!D16="",'Tab4'!D15,'Tab4'!D16)</f>
        <v>1585.4037215067142</v>
      </c>
      <c r="Y84" s="179">
        <f>IF('Tab4'!E16="",'Tab4'!E15,'Tab4'!E16)</f>
        <v>1689.9175000707487</v>
      </c>
    </row>
    <row r="85" spans="1:25" x14ac:dyDescent="0.2">
      <c r="A85" s="171">
        <v>3</v>
      </c>
      <c r="B85" s="171"/>
      <c r="C85" s="171">
        <v>115.7</v>
      </c>
      <c r="D85" s="171">
        <v>91.1</v>
      </c>
      <c r="E85" s="171"/>
      <c r="F85" s="171"/>
      <c r="G85" s="171"/>
      <c r="I85" s="176">
        <v>67</v>
      </c>
      <c r="J85" s="168">
        <v>3</v>
      </c>
      <c r="L85" s="177">
        <v>12132</v>
      </c>
      <c r="M85" s="178">
        <v>100.8</v>
      </c>
      <c r="N85" s="178">
        <f t="shared" si="0"/>
        <v>243.03080597014929</v>
      </c>
      <c r="V85" s="171" t="s">
        <v>7</v>
      </c>
      <c r="W85" s="179">
        <f>IF('Tab4'!C18="",'Tab4'!C17,'Tab4'!C18)</f>
        <v>488.6673083519845</v>
      </c>
      <c r="X85" s="179">
        <f>IF('Tab4'!D18="",'Tab4'!D17,'Tab4'!D18)</f>
        <v>482.14262646559507</v>
      </c>
      <c r="Y85" s="179">
        <f>IF('Tab4'!E18="",'Tab4'!E17,'Tab4'!E18)</f>
        <v>455.45258046041744</v>
      </c>
    </row>
    <row r="86" spans="1:25" x14ac:dyDescent="0.2">
      <c r="A86" s="171">
        <v>4</v>
      </c>
      <c r="B86" s="171"/>
      <c r="C86" s="171">
        <v>114.4</v>
      </c>
      <c r="D86" s="171">
        <v>90.8</v>
      </c>
      <c r="E86" s="171"/>
      <c r="F86" s="171"/>
      <c r="G86" s="171"/>
      <c r="I86" s="176">
        <v>68.5</v>
      </c>
      <c r="J86" s="168">
        <v>4</v>
      </c>
      <c r="L86" s="177">
        <v>11763</v>
      </c>
      <c r="M86" s="178">
        <v>120.6</v>
      </c>
      <c r="N86" s="178">
        <f t="shared" si="0"/>
        <v>284.40179562043795</v>
      </c>
      <c r="V86" s="168" t="s">
        <v>8</v>
      </c>
      <c r="W86" s="179">
        <f>IF('Tab4'!C20="",'Tab4'!C19,'Tab4'!C20)</f>
        <v>502.10305881512238</v>
      </c>
      <c r="X86" s="179">
        <f>IF('Tab4'!D20="",'Tab4'!D19,'Tab4'!D20)</f>
        <v>609.6751307627203</v>
      </c>
      <c r="Y86" s="179">
        <f>IF('Tab4'!E20="",'Tab4'!E19,'Tab4'!E20)</f>
        <v>759.55744125825504</v>
      </c>
    </row>
    <row r="87" spans="1:25" x14ac:dyDescent="0.2">
      <c r="A87" s="171">
        <v>1</v>
      </c>
      <c r="B87" s="171">
        <v>1987</v>
      </c>
      <c r="C87" s="171">
        <v>152.19999999999999</v>
      </c>
      <c r="D87" s="171">
        <v>121.3</v>
      </c>
      <c r="E87" s="171"/>
      <c r="F87" s="171"/>
      <c r="G87" s="171"/>
      <c r="I87" s="176">
        <v>70.5</v>
      </c>
      <c r="J87" s="168">
        <v>1</v>
      </c>
      <c r="K87" s="168">
        <v>1987</v>
      </c>
      <c r="L87" s="177">
        <v>17280</v>
      </c>
      <c r="M87" s="178">
        <v>135.6</v>
      </c>
      <c r="N87" s="178">
        <f t="shared" si="0"/>
        <v>310.70351773049646</v>
      </c>
      <c r="V87" s="171" t="s">
        <v>9</v>
      </c>
      <c r="W87" s="179">
        <f>IF('Tab4'!C20="",'Tab4'!C21,'Tab4'!C22)</f>
        <v>218.00562808048574</v>
      </c>
      <c r="X87" s="179">
        <f>IF('Tab4'!D20="",'Tab4'!D21,'Tab4'!D22)</f>
        <v>254.93649516953667</v>
      </c>
      <c r="Y87" s="179">
        <f>IF('Tab4'!E20="",'Tab4'!E21,'Tab4'!E22)</f>
        <v>283.75611025797389</v>
      </c>
    </row>
    <row r="88" spans="1:25" x14ac:dyDescent="0.2">
      <c r="A88" s="171">
        <v>2</v>
      </c>
      <c r="B88" s="171"/>
      <c r="C88" s="171">
        <v>109.2</v>
      </c>
      <c r="D88" s="171">
        <v>86.1</v>
      </c>
      <c r="E88" s="171"/>
      <c r="F88" s="171"/>
      <c r="G88" s="171"/>
      <c r="I88" s="176">
        <v>71.599999999999994</v>
      </c>
      <c r="J88" s="168">
        <v>2</v>
      </c>
      <c r="L88" s="177">
        <v>12241</v>
      </c>
      <c r="M88" s="178">
        <v>135.9</v>
      </c>
      <c r="N88" s="178">
        <f t="shared" si="0"/>
        <v>306.60697625698333</v>
      </c>
      <c r="V88" s="171" t="s">
        <v>10</v>
      </c>
      <c r="W88" s="179">
        <f>IF('Tab4'!C22="",'Tab4'!C29,'Tab4'!C30)</f>
        <v>1302.9366576102254</v>
      </c>
      <c r="X88" s="179">
        <f>IF('Tab4'!D22="",'Tab4'!D29,'Tab4'!D30)</f>
        <v>110.55182730182818</v>
      </c>
      <c r="Y88" s="179">
        <f>IF('Tab4'!E22="",'Tab4'!E29,'Tab4'!E30)</f>
        <v>414.36619515244865</v>
      </c>
    </row>
    <row r="89" spans="1:25" x14ac:dyDescent="0.2">
      <c r="A89" s="171">
        <v>3</v>
      </c>
      <c r="B89" s="171"/>
      <c r="C89" s="171">
        <v>110.1</v>
      </c>
      <c r="D89" s="171">
        <v>87.3</v>
      </c>
      <c r="E89" s="171"/>
      <c r="F89" s="171"/>
      <c r="G89" s="171"/>
      <c r="I89" s="176">
        <v>72.3</v>
      </c>
      <c r="J89" s="168">
        <v>3</v>
      </c>
      <c r="L89" s="177">
        <v>11506</v>
      </c>
      <c r="M89" s="178">
        <v>112.3</v>
      </c>
      <c r="N89" s="178">
        <f t="shared" si="0"/>
        <v>250.90947210696177</v>
      </c>
      <c r="V89" s="171" t="s">
        <v>11</v>
      </c>
      <c r="W89" s="179">
        <f>IF('Tab4'!C30="",'Tab4'!C31,'Tab4'!C32)</f>
        <v>66.026009004013829</v>
      </c>
      <c r="X89" s="179">
        <f>IF('Tab4'!D30="",'Tab4'!D31,'Tab4'!D32)</f>
        <v>64.208836868916421</v>
      </c>
      <c r="Y89" s="179">
        <f>IF('Tab4'!E30="",'Tab4'!E31,'Tab4'!E32)</f>
        <v>81.147399862018034</v>
      </c>
    </row>
    <row r="90" spans="1:25" x14ac:dyDescent="0.2">
      <c r="A90" s="171">
        <v>4</v>
      </c>
      <c r="B90" s="171"/>
      <c r="C90" s="171">
        <v>112</v>
      </c>
      <c r="D90" s="171">
        <v>89.8</v>
      </c>
      <c r="E90" s="171"/>
      <c r="F90" s="171"/>
      <c r="G90" s="171"/>
      <c r="I90" s="176">
        <v>73.599999999999994</v>
      </c>
      <c r="J90" s="168">
        <v>4</v>
      </c>
      <c r="L90" s="177">
        <v>12860</v>
      </c>
      <c r="M90" s="178">
        <v>134.5</v>
      </c>
      <c r="N90" s="178">
        <f t="shared" si="0"/>
        <v>295.20252490942033</v>
      </c>
      <c r="V90" s="171" t="s">
        <v>12</v>
      </c>
      <c r="W90" s="179">
        <f>IF('Tab4'!C32="",'Tab4'!C33,'Tab4'!C34)</f>
        <v>374.9547510546671</v>
      </c>
      <c r="X90" s="179">
        <f>IF('Tab4'!D32="",'Tab4'!D33,'Tab4'!D34)</f>
        <v>398.64248721138262</v>
      </c>
      <c r="Y90" s="179">
        <f>IF('Tab4'!E32="",'Tab4'!E33,'Tab4'!E34)</f>
        <v>414.92680469493013</v>
      </c>
    </row>
    <row r="91" spans="1:25" x14ac:dyDescent="0.2">
      <c r="A91" s="171">
        <v>1</v>
      </c>
      <c r="B91" s="171">
        <v>1988</v>
      </c>
      <c r="C91" s="171">
        <v>134.1</v>
      </c>
      <c r="D91" s="171">
        <v>107.5</v>
      </c>
      <c r="E91" s="171"/>
      <c r="F91" s="171"/>
      <c r="G91" s="171"/>
      <c r="I91" s="176">
        <v>75.2</v>
      </c>
      <c r="J91" s="168">
        <v>1</v>
      </c>
      <c r="K91" s="168">
        <v>1988</v>
      </c>
      <c r="L91" s="177">
        <v>10180</v>
      </c>
      <c r="M91" s="178">
        <v>130.80000000000001</v>
      </c>
      <c r="N91" s="178">
        <f t="shared" si="0"/>
        <v>280.973590425532</v>
      </c>
      <c r="V91" s="171" t="s">
        <v>13</v>
      </c>
      <c r="W91" s="179">
        <f>IF('Tab4'!C34="",'Tab4'!C35,'Tab4'!C36)</f>
        <v>35.680164690636182</v>
      </c>
      <c r="X91" s="179">
        <f>IF('Tab4'!D34="",'Tab4'!D35,'Tab4'!D36)</f>
        <v>25.507322123697413</v>
      </c>
      <c r="Y91" s="179">
        <f>IF('Tab4'!E34="",'Tab4'!E35,'Tab4'!E36)</f>
        <v>25.872207222590546</v>
      </c>
    </row>
    <row r="92" spans="1:25" x14ac:dyDescent="0.2">
      <c r="A92" s="171">
        <v>2</v>
      </c>
      <c r="B92" s="171"/>
      <c r="C92" s="171">
        <v>113.7</v>
      </c>
      <c r="D92" s="171">
        <v>90</v>
      </c>
      <c r="E92" s="171"/>
      <c r="F92" s="171"/>
      <c r="G92" s="171"/>
      <c r="I92" s="176">
        <v>76.7</v>
      </c>
      <c r="J92" s="168">
        <v>2</v>
      </c>
      <c r="L92" s="177">
        <v>11081</v>
      </c>
      <c r="M92" s="178">
        <v>95.1</v>
      </c>
      <c r="N92" s="178">
        <f t="shared" si="0"/>
        <v>200.29068448500655</v>
      </c>
      <c r="V92" s="171" t="s">
        <v>14</v>
      </c>
      <c r="W92" s="179">
        <f>IF('Tab4'!C38="",'Tab4'!C37,'Tab4'!C38)</f>
        <v>253.99079153284541</v>
      </c>
      <c r="X92" s="179">
        <f>IF('Tab4'!D38="",'Tab4'!D37,'Tab4'!D38)</f>
        <v>319.62647437515631</v>
      </c>
      <c r="Y92" s="179">
        <f>IF('Tab4'!E38="",'Tab4'!E37,'Tab4'!E38)</f>
        <v>360.98911460955628</v>
      </c>
    </row>
    <row r="93" spans="1:25" x14ac:dyDescent="0.2">
      <c r="A93" s="171">
        <v>3</v>
      </c>
      <c r="B93" s="171"/>
      <c r="C93" s="171">
        <v>116.3</v>
      </c>
      <c r="D93" s="171">
        <v>93.1</v>
      </c>
      <c r="E93" s="171"/>
      <c r="F93" s="171"/>
      <c r="G93" s="171"/>
      <c r="I93" s="176">
        <v>77</v>
      </c>
      <c r="J93" s="168">
        <v>3</v>
      </c>
      <c r="L93" s="177">
        <v>15987</v>
      </c>
      <c r="M93" s="178">
        <v>148.69999999999999</v>
      </c>
      <c r="N93" s="178">
        <f t="shared" si="0"/>
        <v>311.95779437229442</v>
      </c>
      <c r="V93" s="171" t="s">
        <v>85</v>
      </c>
      <c r="W93" s="180">
        <f>SUM(W83:W92)</f>
        <v>7431.6434606123967</v>
      </c>
      <c r="X93" s="180">
        <f>SUM(X83:X92)</f>
        <v>6816.1153708158472</v>
      </c>
      <c r="Y93" s="180">
        <f>SUM(Y83:Y92)</f>
        <v>6991.6622926204354</v>
      </c>
    </row>
    <row r="94" spans="1:25" x14ac:dyDescent="0.2">
      <c r="A94" s="171">
        <v>4</v>
      </c>
      <c r="B94" s="171"/>
      <c r="C94" s="171">
        <v>115.2</v>
      </c>
      <c r="D94" s="171">
        <v>93.4</v>
      </c>
      <c r="E94" s="171"/>
      <c r="F94" s="171"/>
      <c r="G94" s="171"/>
      <c r="I94" s="176">
        <v>78.099999999999994</v>
      </c>
      <c r="J94" s="168">
        <v>4</v>
      </c>
      <c r="L94" s="177">
        <v>12493</v>
      </c>
      <c r="M94" s="178">
        <v>199.8</v>
      </c>
      <c r="N94" s="178">
        <f t="shared" si="0"/>
        <v>413.25683738796425</v>
      </c>
      <c r="V94" s="171"/>
      <c r="W94" s="171"/>
      <c r="X94" s="171"/>
      <c r="Y94" s="171"/>
    </row>
    <row r="95" spans="1:25" x14ac:dyDescent="0.2">
      <c r="A95" s="171">
        <v>1</v>
      </c>
      <c r="B95" s="171">
        <v>1989</v>
      </c>
      <c r="C95" s="171">
        <v>106.6</v>
      </c>
      <c r="D95" s="171">
        <v>86.4</v>
      </c>
      <c r="E95" s="171"/>
      <c r="F95" s="171"/>
      <c r="G95" s="171"/>
      <c r="I95" s="176">
        <v>78.900000000000006</v>
      </c>
      <c r="J95" s="168">
        <v>1</v>
      </c>
      <c r="K95" s="168">
        <v>1989</v>
      </c>
      <c r="L95" s="177">
        <v>10988</v>
      </c>
      <c r="M95" s="178">
        <v>142.6</v>
      </c>
      <c r="N95" s="178">
        <f t="shared" si="0"/>
        <v>291.9564807773553</v>
      </c>
      <c r="V95" s="171" t="s">
        <v>170</v>
      </c>
      <c r="W95" s="181">
        <f>+W93+X72</f>
        <v>11853.774795534864</v>
      </c>
      <c r="X95" s="181">
        <f>+X93+Y72</f>
        <v>11162.696302855069</v>
      </c>
      <c r="Y95" s="181">
        <f>+Y93+Z72</f>
        <v>11828.403963126244</v>
      </c>
    </row>
    <row r="96" spans="1:25" x14ac:dyDescent="0.2">
      <c r="A96" s="171">
        <v>2</v>
      </c>
      <c r="B96" s="171"/>
      <c r="C96" s="171">
        <v>98</v>
      </c>
      <c r="D96" s="171">
        <v>79.599999999999994</v>
      </c>
      <c r="E96" s="171"/>
      <c r="F96" s="171"/>
      <c r="G96" s="171"/>
      <c r="I96" s="176">
        <v>80.3</v>
      </c>
      <c r="J96" s="168">
        <v>2</v>
      </c>
      <c r="L96" s="177">
        <v>10292</v>
      </c>
      <c r="M96" s="178">
        <v>117.3</v>
      </c>
      <c r="N96" s="178">
        <f t="shared" si="0"/>
        <v>235.97069115815697</v>
      </c>
    </row>
    <row r="97" spans="1:25" x14ac:dyDescent="0.2">
      <c r="A97" s="171">
        <v>3</v>
      </c>
      <c r="B97" s="171"/>
      <c r="C97" s="171">
        <v>96.9</v>
      </c>
      <c r="D97" s="171">
        <v>79</v>
      </c>
      <c r="E97" s="171"/>
      <c r="F97" s="171"/>
      <c r="G97" s="171"/>
      <c r="I97" s="176">
        <v>80.599999999999994</v>
      </c>
      <c r="J97" s="168">
        <v>3</v>
      </c>
      <c r="L97" s="177">
        <v>11352</v>
      </c>
      <c r="M97" s="178">
        <v>103.6</v>
      </c>
      <c r="N97" s="178">
        <f t="shared" si="0"/>
        <v>207.63488006617041</v>
      </c>
      <c r="Y97" s="171"/>
    </row>
    <row r="98" spans="1:25" x14ac:dyDescent="0.2">
      <c r="A98" s="171">
        <v>4</v>
      </c>
      <c r="B98" s="171"/>
      <c r="C98" s="171">
        <v>93.4</v>
      </c>
      <c r="D98" s="171">
        <v>76.8</v>
      </c>
      <c r="E98" s="171"/>
      <c r="F98" s="171"/>
      <c r="G98" s="171"/>
      <c r="I98" s="176">
        <v>81.400000000000006</v>
      </c>
      <c r="J98" s="168">
        <v>4</v>
      </c>
      <c r="L98" s="177">
        <v>11958</v>
      </c>
      <c r="M98" s="178">
        <v>132</v>
      </c>
      <c r="N98" s="178">
        <f t="shared" si="0"/>
        <v>261.95405405405404</v>
      </c>
      <c r="V98" s="170" t="s">
        <v>185</v>
      </c>
      <c r="W98" s="171"/>
      <c r="X98" s="171"/>
      <c r="Y98" s="171"/>
    </row>
    <row r="99" spans="1:25" x14ac:dyDescent="0.2">
      <c r="A99" s="171">
        <v>1</v>
      </c>
      <c r="B99" s="171">
        <v>1990</v>
      </c>
      <c r="C99" s="171">
        <v>99.4</v>
      </c>
      <c r="D99" s="171">
        <v>81.3</v>
      </c>
      <c r="E99" s="171"/>
      <c r="F99" s="171"/>
      <c r="G99" s="171"/>
      <c r="I99" s="176">
        <v>82.3</v>
      </c>
      <c r="J99" s="168">
        <v>1</v>
      </c>
      <c r="K99" s="168">
        <v>1990</v>
      </c>
      <c r="L99" s="177">
        <v>13741</v>
      </c>
      <c r="M99" s="178">
        <v>142.9</v>
      </c>
      <c r="N99" s="178">
        <f t="shared" si="0"/>
        <v>280.48393479141362</v>
      </c>
      <c r="V99" s="171"/>
      <c r="X99" s="171"/>
      <c r="Y99" s="171"/>
    </row>
    <row r="100" spans="1:25" x14ac:dyDescent="0.2">
      <c r="A100" s="171">
        <v>2</v>
      </c>
      <c r="B100" s="171"/>
      <c r="C100" s="171">
        <v>88.6</v>
      </c>
      <c r="D100" s="171">
        <v>73.099999999999994</v>
      </c>
      <c r="E100" s="171"/>
      <c r="F100" s="171"/>
      <c r="G100" s="171"/>
      <c r="I100" s="176">
        <v>83.4</v>
      </c>
      <c r="J100" s="168">
        <v>2</v>
      </c>
      <c r="L100" s="177">
        <v>10045</v>
      </c>
      <c r="M100" s="178">
        <v>116.5</v>
      </c>
      <c r="N100" s="178">
        <f t="shared" si="0"/>
        <v>225.65006994404479</v>
      </c>
      <c r="V100" s="171"/>
      <c r="W100" s="175" t="str">
        <f>+W82</f>
        <v>2020</v>
      </c>
      <c r="X100" s="175" t="str">
        <f>+X82</f>
        <v>2021</v>
      </c>
      <c r="Y100" s="175" t="str">
        <f>+Y82</f>
        <v>2022</v>
      </c>
    </row>
    <row r="101" spans="1:25" x14ac:dyDescent="0.2">
      <c r="A101" s="171">
        <v>3</v>
      </c>
      <c r="B101" s="171"/>
      <c r="C101" s="171">
        <v>88.2</v>
      </c>
      <c r="D101" s="171">
        <v>72.5</v>
      </c>
      <c r="E101" s="171"/>
      <c r="F101" s="171"/>
      <c r="G101" s="171"/>
      <c r="I101" s="176">
        <v>83.7</v>
      </c>
      <c r="J101" s="168">
        <v>3</v>
      </c>
      <c r="L101" s="177">
        <v>10870</v>
      </c>
      <c r="M101" s="178">
        <v>101.4</v>
      </c>
      <c r="N101" s="178">
        <f t="shared" si="0"/>
        <v>195.69876941457591</v>
      </c>
      <c r="V101" s="171" t="s">
        <v>18</v>
      </c>
      <c r="W101" s="182">
        <f>IF('Tab7'!C10="",+'Tab7'!C9+'Tab11'!C9,+'Tab7'!C10+'Tab11'!C10)</f>
        <v>7767.2878601449274</v>
      </c>
      <c r="X101" s="182">
        <f>IF('Tab7'!D10="",+'Tab7'!D9+'Tab11'!D9,+'Tab7'!D10+'Tab11'!D10)</f>
        <v>8185.2405021739132</v>
      </c>
      <c r="Y101" s="182">
        <f>IF('Tab7'!E10="",+'Tab7'!E9+'Tab11'!E9,+'Tab7'!E10+'Tab11'!E10)</f>
        <v>6900.0468369565224</v>
      </c>
    </row>
    <row r="102" spans="1:25" x14ac:dyDescent="0.2">
      <c r="A102" s="171">
        <v>4</v>
      </c>
      <c r="B102" s="171"/>
      <c r="C102" s="171">
        <v>84.8</v>
      </c>
      <c r="D102" s="171">
        <v>70.2</v>
      </c>
      <c r="E102" s="171"/>
      <c r="F102" s="171"/>
      <c r="G102" s="171"/>
      <c r="I102" s="176">
        <v>85.1</v>
      </c>
      <c r="J102" s="168">
        <v>4</v>
      </c>
      <c r="L102" s="177">
        <v>11076</v>
      </c>
      <c r="M102" s="178">
        <v>120</v>
      </c>
      <c r="N102" s="178">
        <f t="shared" si="0"/>
        <v>227.78613396004707</v>
      </c>
      <c r="V102" s="171" t="s">
        <v>86</v>
      </c>
      <c r="W102" s="182">
        <f>IF('Tab7'!C12="",+'Tab7'!C11+'Tab11'!C11,+'Tab7'!C12+'Tab11'!C12)</f>
        <v>22180.308750988144</v>
      </c>
      <c r="X102" s="182">
        <f>IF('Tab7'!D12="",+'Tab7'!D11+'Tab11'!D11,+'Tab7'!D12+'Tab11'!D12)</f>
        <v>34994.274094861663</v>
      </c>
      <c r="Y102" s="182">
        <f>IF('Tab7'!E12="",+'Tab7'!E11+'Tab11'!E11,+'Tab7'!E12+'Tab11'!E12)</f>
        <v>24505.067470355731</v>
      </c>
    </row>
    <row r="103" spans="1:25" x14ac:dyDescent="0.2">
      <c r="A103" s="171">
        <v>1</v>
      </c>
      <c r="B103" s="171">
        <v>1991</v>
      </c>
      <c r="C103" s="171">
        <v>97.5</v>
      </c>
      <c r="D103" s="171">
        <v>82.4</v>
      </c>
      <c r="E103" s="171"/>
      <c r="F103" s="171"/>
      <c r="G103" s="171"/>
      <c r="I103" s="176">
        <v>85.5</v>
      </c>
      <c r="J103" s="168">
        <v>1</v>
      </c>
      <c r="K103" s="168">
        <v>1991</v>
      </c>
      <c r="L103" s="177">
        <v>10172</v>
      </c>
      <c r="M103" s="178">
        <v>130.10000000000002</v>
      </c>
      <c r="N103" s="178">
        <f t="shared" ref="N103:N106" si="1">M103/I103*$I$69</f>
        <v>245.80277387914236</v>
      </c>
      <c r="O103" s="177">
        <v>6727</v>
      </c>
      <c r="P103" s="178">
        <v>376.9</v>
      </c>
      <c r="Q103" s="178">
        <f>P103/I103*$I$69</f>
        <v>712.09120272904488</v>
      </c>
      <c r="R103" s="177">
        <v>9077</v>
      </c>
      <c r="S103" s="178">
        <v>139.9</v>
      </c>
      <c r="T103" s="178">
        <f>S103/I103*$I$69</f>
        <v>264.3182787524367</v>
      </c>
      <c r="V103" s="171" t="s">
        <v>63</v>
      </c>
      <c r="W103" s="182">
        <f>IF('Tab7'!C14="",+'Tab7'!C13+'Tab11'!C13,+'Tab7'!C14+'Tab11'!C14)</f>
        <v>8117.2696444099374</v>
      </c>
      <c r="X103" s="182">
        <f>IF('Tab7'!D14="",+'Tab7'!D13+'Tab11'!D13,+'Tab7'!D14+'Tab11'!D14)</f>
        <v>6121.5967593167707</v>
      </c>
      <c r="Y103" s="182">
        <f>IF('Tab7'!E14="",+'Tab7'!E13+'Tab11'!E13,+'Tab7'!E14+'Tab11'!E14)</f>
        <v>6778.6444332298142</v>
      </c>
    </row>
    <row r="104" spans="1:25" x14ac:dyDescent="0.2">
      <c r="A104" s="171">
        <v>2</v>
      </c>
      <c r="B104" s="171"/>
      <c r="C104" s="171">
        <v>93.9</v>
      </c>
      <c r="D104" s="171">
        <v>78</v>
      </c>
      <c r="E104" s="171"/>
      <c r="F104" s="171"/>
      <c r="G104" s="171"/>
      <c r="I104" s="176">
        <v>86.6</v>
      </c>
      <c r="J104" s="168">
        <v>2</v>
      </c>
      <c r="L104" s="177">
        <v>10188</v>
      </c>
      <c r="M104" s="178">
        <v>126.69999999999993</v>
      </c>
      <c r="N104" s="178">
        <f t="shared" si="1"/>
        <v>236.33841608929939</v>
      </c>
      <c r="O104" s="177">
        <v>5864</v>
      </c>
      <c r="P104" s="178">
        <v>369.29999999999995</v>
      </c>
      <c r="Q104" s="178">
        <f t="shared" ref="Q104:Q167" si="2">P104/I104*$I$69</f>
        <v>688.86959006928407</v>
      </c>
      <c r="R104" s="177">
        <v>12525</v>
      </c>
      <c r="S104" s="178">
        <v>176.29999999999998</v>
      </c>
      <c r="T104" s="178">
        <f t="shared" ref="T104:T167" si="3">S104/I104*$I$69</f>
        <v>328.85921670515785</v>
      </c>
      <c r="V104" s="171" t="s">
        <v>14</v>
      </c>
      <c r="W104" s="183">
        <f>+W106-SUM(W101:W103)</f>
        <v>79263.819190509559</v>
      </c>
      <c r="X104" s="183">
        <f>+X106-SUM(X101:X103)</f>
        <v>83362.541784050933</v>
      </c>
      <c r="Y104" s="183">
        <f>+Y106-SUM(Y101:Y103)</f>
        <v>71207.251964443843</v>
      </c>
    </row>
    <row r="105" spans="1:25" x14ac:dyDescent="0.2">
      <c r="A105" s="171">
        <v>3</v>
      </c>
      <c r="B105" s="171"/>
      <c r="C105" s="171">
        <v>90.2</v>
      </c>
      <c r="D105" s="171">
        <v>76.099999999999994</v>
      </c>
      <c r="E105" s="171"/>
      <c r="F105" s="171"/>
      <c r="G105" s="171"/>
      <c r="I105" s="176">
        <v>86.6</v>
      </c>
      <c r="J105" s="168">
        <v>3</v>
      </c>
      <c r="L105" s="177">
        <v>10621</v>
      </c>
      <c r="M105" s="178">
        <v>132.60000000000002</v>
      </c>
      <c r="N105" s="178">
        <f t="shared" si="1"/>
        <v>247.34391454965365</v>
      </c>
      <c r="O105" s="177">
        <v>7951</v>
      </c>
      <c r="P105" s="178">
        <v>430.9</v>
      </c>
      <c r="Q105" s="178">
        <f t="shared" si="2"/>
        <v>803.77445535026948</v>
      </c>
      <c r="R105" s="177">
        <v>14126</v>
      </c>
      <c r="S105" s="178">
        <v>204.90000000000003</v>
      </c>
      <c r="T105" s="178">
        <f t="shared" si="3"/>
        <v>382.20790415704397</v>
      </c>
      <c r="V105" s="171"/>
      <c r="W105" s="171"/>
      <c r="X105" s="171"/>
      <c r="Y105" s="171"/>
    </row>
    <row r="106" spans="1:25" x14ac:dyDescent="0.2">
      <c r="A106" s="171">
        <v>4</v>
      </c>
      <c r="B106" s="171"/>
      <c r="C106" s="171">
        <v>92.6</v>
      </c>
      <c r="D106" s="171">
        <v>78.099999999999994</v>
      </c>
      <c r="E106" s="171"/>
      <c r="F106" s="171"/>
      <c r="G106" s="171"/>
      <c r="I106" s="176">
        <v>87.3</v>
      </c>
      <c r="J106" s="168">
        <v>4</v>
      </c>
      <c r="L106" s="177">
        <v>11640</v>
      </c>
      <c r="M106" s="178">
        <v>138.20000000000005</v>
      </c>
      <c r="N106" s="178">
        <f t="shared" si="1"/>
        <v>255.7227682321498</v>
      </c>
      <c r="O106" s="177">
        <v>13048</v>
      </c>
      <c r="P106" s="178">
        <v>427.00000000000023</v>
      </c>
      <c r="Q106" s="178">
        <f t="shared" si="2"/>
        <v>790.11303932798842</v>
      </c>
      <c r="R106" s="177">
        <v>13048</v>
      </c>
      <c r="S106" s="178">
        <v>185</v>
      </c>
      <c r="T106" s="178">
        <f t="shared" si="3"/>
        <v>342.32063764795731</v>
      </c>
      <c r="V106" s="171" t="s">
        <v>87</v>
      </c>
      <c r="W106" s="182">
        <f>IF('Tab7'!C8="",+'Tab7'!C7+'Tab11'!C7,+'Tab7'!C8+'Tab11'!C8)</f>
        <v>117328.68544605256</v>
      </c>
      <c r="X106" s="182">
        <f>IF('Tab7'!D8="",+'Tab7'!D7+'Tab11'!D7,+'Tab7'!D8+'Tab11'!D8)</f>
        <v>132663.65314040327</v>
      </c>
      <c r="Y106" s="182">
        <f>IF('Tab7'!E8="",+'Tab7'!E7+'Tab11'!E7,+'Tab7'!E8+'Tab11'!E8)</f>
        <v>109391.01070498591</v>
      </c>
    </row>
    <row r="107" spans="1:25" x14ac:dyDescent="0.2">
      <c r="A107" s="171">
        <v>1</v>
      </c>
      <c r="B107" s="171">
        <v>1992</v>
      </c>
      <c r="C107" s="171">
        <v>102</v>
      </c>
      <c r="D107" s="171">
        <v>87.1</v>
      </c>
      <c r="E107" s="171"/>
      <c r="F107" s="171"/>
      <c r="G107" s="171"/>
      <c r="I107" s="176">
        <v>87.5</v>
      </c>
      <c r="J107" s="168">
        <v>1</v>
      </c>
      <c r="K107" s="168">
        <v>1992</v>
      </c>
      <c r="L107" s="177">
        <v>10520</v>
      </c>
      <c r="M107" s="178">
        <v>129.4</v>
      </c>
      <c r="N107" s="178">
        <f>M107/I107*$I$69</f>
        <v>238.89211809523812</v>
      </c>
      <c r="O107" s="177">
        <v>6509</v>
      </c>
      <c r="P107" s="178">
        <v>409.5</v>
      </c>
      <c r="Q107" s="178">
        <f t="shared" si="2"/>
        <v>755.99940000000004</v>
      </c>
      <c r="R107" s="177">
        <v>11030</v>
      </c>
      <c r="S107" s="178">
        <v>180.5</v>
      </c>
      <c r="T107" s="178">
        <f t="shared" si="3"/>
        <v>333.2305047619048</v>
      </c>
    </row>
    <row r="108" spans="1:25" x14ac:dyDescent="0.2">
      <c r="A108" s="171">
        <v>2</v>
      </c>
      <c r="B108" s="171"/>
      <c r="C108" s="171">
        <v>92.2</v>
      </c>
      <c r="D108" s="171">
        <v>78.900000000000006</v>
      </c>
      <c r="E108" s="171"/>
      <c r="F108" s="171"/>
      <c r="G108" s="171"/>
      <c r="I108" s="176">
        <v>88.6</v>
      </c>
      <c r="J108" s="168">
        <v>2</v>
      </c>
      <c r="L108" s="177">
        <v>10661</v>
      </c>
      <c r="M108" s="178">
        <v>112.9</v>
      </c>
      <c r="N108" s="178">
        <f t="shared" ref="N108:N171" si="4">M108/I108*$I$69</f>
        <v>205.84286493604222</v>
      </c>
      <c r="O108" s="177">
        <v>5632</v>
      </c>
      <c r="P108" s="178">
        <v>412</v>
      </c>
      <c r="Q108" s="178">
        <f t="shared" si="2"/>
        <v>751.17148231753208</v>
      </c>
      <c r="R108" s="177">
        <v>13252</v>
      </c>
      <c r="S108" s="178">
        <v>167</v>
      </c>
      <c r="T108" s="178">
        <f t="shared" si="3"/>
        <v>304.47970278404824</v>
      </c>
    </row>
    <row r="109" spans="1:25" x14ac:dyDescent="0.2">
      <c r="A109" s="171">
        <v>3</v>
      </c>
      <c r="B109" s="171"/>
      <c r="C109" s="171">
        <v>93.3</v>
      </c>
      <c r="D109" s="171">
        <v>79.900000000000006</v>
      </c>
      <c r="E109" s="171"/>
      <c r="F109" s="171"/>
      <c r="G109" s="171"/>
      <c r="I109" s="176">
        <v>88.7</v>
      </c>
      <c r="J109" s="168">
        <v>3</v>
      </c>
      <c r="L109" s="177">
        <v>11590</v>
      </c>
      <c r="M109" s="178">
        <v>130.59999999999997</v>
      </c>
      <c r="N109" s="178">
        <f t="shared" si="4"/>
        <v>237.84561818865083</v>
      </c>
      <c r="O109" s="177">
        <v>8642</v>
      </c>
      <c r="P109" s="178">
        <v>440.40000000000009</v>
      </c>
      <c r="Q109" s="178">
        <f t="shared" si="2"/>
        <v>802.04602029312321</v>
      </c>
      <c r="R109" s="177">
        <v>15450</v>
      </c>
      <c r="S109" s="178">
        <v>219.10000000000002</v>
      </c>
      <c r="T109" s="178">
        <f t="shared" si="3"/>
        <v>399.0197162720782</v>
      </c>
      <c r="V109" s="170" t="s">
        <v>186</v>
      </c>
      <c r="W109" s="171"/>
      <c r="X109" s="171"/>
      <c r="Y109" s="171"/>
    </row>
    <row r="110" spans="1:25" x14ac:dyDescent="0.2">
      <c r="A110" s="171">
        <v>4</v>
      </c>
      <c r="B110" s="171"/>
      <c r="C110" s="171">
        <v>90.8</v>
      </c>
      <c r="D110" s="171">
        <v>77.599999999999994</v>
      </c>
      <c r="E110" s="171"/>
      <c r="F110" s="171"/>
      <c r="G110" s="171"/>
      <c r="I110" s="176">
        <v>89.3</v>
      </c>
      <c r="J110" s="168">
        <v>4</v>
      </c>
      <c r="L110" s="177">
        <v>11917</v>
      </c>
      <c r="M110" s="178">
        <v>108.50000000000006</v>
      </c>
      <c r="N110" s="178">
        <f t="shared" si="4"/>
        <v>196.26997946995161</v>
      </c>
      <c r="O110" s="177">
        <v>7139</v>
      </c>
      <c r="P110" s="178">
        <v>425.59999999999991</v>
      </c>
      <c r="Q110" s="178">
        <f t="shared" si="2"/>
        <v>769.88482269503538</v>
      </c>
      <c r="R110" s="177">
        <v>12309</v>
      </c>
      <c r="S110" s="178">
        <v>109.39999999999998</v>
      </c>
      <c r="T110" s="178">
        <f t="shared" si="3"/>
        <v>197.89802538260545</v>
      </c>
      <c r="V110" s="171"/>
      <c r="W110" s="171"/>
      <c r="X110" s="171"/>
      <c r="Y110" s="171"/>
    </row>
    <row r="111" spans="1:25" x14ac:dyDescent="0.2">
      <c r="A111" s="171">
        <v>1</v>
      </c>
      <c r="B111" s="171">
        <v>1993</v>
      </c>
      <c r="C111" s="171">
        <v>112.6</v>
      </c>
      <c r="D111" s="171">
        <v>96.5</v>
      </c>
      <c r="E111" s="171"/>
      <c r="F111" s="171"/>
      <c r="G111" s="171"/>
      <c r="I111" s="176">
        <v>89.8</v>
      </c>
      <c r="J111" s="168">
        <v>1</v>
      </c>
      <c r="K111" s="168">
        <v>1993</v>
      </c>
      <c r="L111" s="177">
        <v>11275</v>
      </c>
      <c r="M111" s="178">
        <v>136.89999999999998</v>
      </c>
      <c r="N111" s="178">
        <f t="shared" si="4"/>
        <v>246.26500927988121</v>
      </c>
      <c r="O111" s="177">
        <v>6982</v>
      </c>
      <c r="P111" s="178">
        <v>449.4</v>
      </c>
      <c r="Q111" s="178">
        <f t="shared" si="2"/>
        <v>808.41121380846334</v>
      </c>
      <c r="R111" s="177">
        <v>10571</v>
      </c>
      <c r="S111" s="178">
        <v>175.5</v>
      </c>
      <c r="T111" s="178">
        <f t="shared" si="3"/>
        <v>315.70130846325173</v>
      </c>
      <c r="V111" s="171"/>
      <c r="W111" s="175" t="str">
        <f>+W100</f>
        <v>2020</v>
      </c>
      <c r="X111" s="175" t="str">
        <f>+X100</f>
        <v>2021</v>
      </c>
      <c r="Y111" s="175" t="str">
        <f>+Y100</f>
        <v>2022</v>
      </c>
    </row>
    <row r="112" spans="1:25" x14ac:dyDescent="0.2">
      <c r="A112" s="171">
        <v>2</v>
      </c>
      <c r="B112" s="171"/>
      <c r="C112" s="171">
        <f>205.6-C111</f>
        <v>93</v>
      </c>
      <c r="D112" s="171">
        <f>176.6-D111</f>
        <v>80.099999999999994</v>
      </c>
      <c r="E112" s="171"/>
      <c r="F112" s="171"/>
      <c r="G112" s="171"/>
      <c r="I112" s="176">
        <v>90.8</v>
      </c>
      <c r="J112" s="168">
        <v>2</v>
      </c>
      <c r="L112" s="177">
        <v>10076</v>
      </c>
      <c r="M112" s="178">
        <v>115.20000000000002</v>
      </c>
      <c r="N112" s="178">
        <f t="shared" si="4"/>
        <v>204.94731277533049</v>
      </c>
      <c r="O112" s="177">
        <v>6332</v>
      </c>
      <c r="P112" s="178">
        <v>352.9</v>
      </c>
      <c r="Q112" s="178">
        <f t="shared" si="2"/>
        <v>627.82905102790028</v>
      </c>
      <c r="R112" s="177">
        <v>12919</v>
      </c>
      <c r="S112" s="178">
        <v>191.20000000000005</v>
      </c>
      <c r="T112" s="178">
        <f t="shared" si="3"/>
        <v>340.15560939794432</v>
      </c>
      <c r="V112" s="171" t="s">
        <v>171</v>
      </c>
      <c r="W112" s="181">
        <f>IF('Tab7'!C38="",+'Tab7'!C37+'Tab11'!C37,+'Tab7'!C38+'Tab11'!C38)</f>
        <v>1769.0740395034677</v>
      </c>
      <c r="X112" s="181">
        <f>IF('Tab7'!D38="",+'Tab7'!D37+'Tab11'!D37,+'Tab7'!D38+'Tab11'!D38)</f>
        <v>1464.197591740502</v>
      </c>
      <c r="Y112" s="181">
        <f>IF('Tab7'!E38="",+'Tab7'!E37+'Tab11'!E37,+'Tab7'!E38+'Tab11'!E38)</f>
        <v>1583.5781374260632</v>
      </c>
    </row>
    <row r="113" spans="1:25" x14ac:dyDescent="0.2">
      <c r="A113" s="171">
        <v>3</v>
      </c>
      <c r="B113" s="171"/>
      <c r="C113" s="171">
        <f>293.1-C112-C111</f>
        <v>87.500000000000028</v>
      </c>
      <c r="D113" s="171">
        <f>250.2-D112-D111</f>
        <v>73.599999999999994</v>
      </c>
      <c r="E113" s="171"/>
      <c r="F113" s="171"/>
      <c r="G113" s="171"/>
      <c r="I113" s="176">
        <v>90.6</v>
      </c>
      <c r="J113" s="168">
        <v>3</v>
      </c>
      <c r="L113" s="177">
        <v>11766</v>
      </c>
      <c r="M113" s="178">
        <v>132.79999999999998</v>
      </c>
      <c r="N113" s="178">
        <f t="shared" si="4"/>
        <v>236.78025018395883</v>
      </c>
      <c r="O113" s="177">
        <v>6675</v>
      </c>
      <c r="P113" s="178">
        <v>388.50000000000023</v>
      </c>
      <c r="Q113" s="178">
        <f t="shared" si="2"/>
        <v>692.68921081677752</v>
      </c>
      <c r="R113" s="177">
        <v>14800</v>
      </c>
      <c r="S113" s="178">
        <v>216.89999999999998</v>
      </c>
      <c r="T113" s="178">
        <f t="shared" si="3"/>
        <v>386.72918874172188</v>
      </c>
      <c r="V113" s="171" t="s">
        <v>86</v>
      </c>
      <c r="W113" s="181">
        <f>IF('Tab7'!C40="",+'Tab7'!C39+'Tab11'!C39,+'Tab7'!C40+'Tab11'!C40)</f>
        <v>1168.8644293205766</v>
      </c>
      <c r="X113" s="181">
        <f>IF('Tab7'!D40="",+'Tab7'!D39+'Tab11'!D39,+'Tab7'!D40+'Tab11'!D40)</f>
        <v>1823.5241188431364</v>
      </c>
      <c r="Y113" s="181">
        <f>IF('Tab7'!E40="",+'Tab7'!E39+'Tab11'!E39,+'Tab7'!E40+'Tab11'!E40)</f>
        <v>1376.8794156428476</v>
      </c>
    </row>
    <row r="114" spans="1:25" x14ac:dyDescent="0.2">
      <c r="A114" s="171">
        <v>4</v>
      </c>
      <c r="B114" s="171"/>
      <c r="C114" s="171">
        <f>413.2-C113-C112-C111</f>
        <v>120.09999999999994</v>
      </c>
      <c r="D114" s="171">
        <f>356.8-D113-D112-D111</f>
        <v>106.60000000000005</v>
      </c>
      <c r="E114" s="171"/>
      <c r="F114" s="171"/>
      <c r="G114" s="171"/>
      <c r="I114" s="176">
        <v>91</v>
      </c>
      <c r="J114" s="168">
        <v>4</v>
      </c>
      <c r="L114" s="177">
        <v>12707</v>
      </c>
      <c r="M114" s="178">
        <v>157.79999999999995</v>
      </c>
      <c r="N114" s="178">
        <f t="shared" si="4"/>
        <v>280.1181208791208</v>
      </c>
      <c r="O114" s="177">
        <v>6319</v>
      </c>
      <c r="P114" s="178">
        <v>466.99999999999977</v>
      </c>
      <c r="Q114" s="178">
        <f t="shared" si="2"/>
        <v>828.99342490842469</v>
      </c>
      <c r="R114" s="177">
        <v>11391</v>
      </c>
      <c r="S114" s="178">
        <v>164.5</v>
      </c>
      <c r="T114" s="178">
        <f t="shared" si="3"/>
        <v>292.01160256410259</v>
      </c>
      <c r="V114" s="171" t="s">
        <v>63</v>
      </c>
      <c r="W114" s="181">
        <f>IF('Tab7'!C42="",+'Tab7'!C41+'Tab11'!C41,+'Tab7'!C42+'Tab11'!C42)</f>
        <v>145.45299812029876</v>
      </c>
      <c r="X114" s="181">
        <f>IF('Tab7'!D42="",+'Tab7'!D41+'Tab11'!D41,+'Tab7'!D42+'Tab11'!D42)</f>
        <v>112.87324166947005</v>
      </c>
      <c r="Y114" s="181">
        <f>IF('Tab7'!E42="",+'Tab7'!E41+'Tab11'!E41,+'Tab7'!E42+'Tab11'!E42)</f>
        <v>123.13727232676555</v>
      </c>
    </row>
    <row r="115" spans="1:25" x14ac:dyDescent="0.2">
      <c r="A115" s="171">
        <v>1</v>
      </c>
      <c r="B115" s="171">
        <v>1994</v>
      </c>
      <c r="C115" s="171">
        <v>138.4</v>
      </c>
      <c r="D115" s="171">
        <v>120</v>
      </c>
      <c r="E115" s="171"/>
      <c r="F115" s="171"/>
      <c r="G115" s="171"/>
      <c r="I115" s="176">
        <v>91</v>
      </c>
      <c r="J115" s="168">
        <v>1</v>
      </c>
      <c r="K115" s="168">
        <v>1994</v>
      </c>
      <c r="L115" s="177">
        <v>15224</v>
      </c>
      <c r="M115" s="178">
        <v>189</v>
      </c>
      <c r="N115" s="178">
        <f t="shared" si="4"/>
        <v>335.50269230769237</v>
      </c>
      <c r="O115" s="177">
        <v>6291</v>
      </c>
      <c r="P115" s="178">
        <v>427.6</v>
      </c>
      <c r="Q115" s="178">
        <f t="shared" si="2"/>
        <v>759.05265201465215</v>
      </c>
      <c r="R115" s="177">
        <v>8795</v>
      </c>
      <c r="S115" s="178">
        <v>161.69999999999999</v>
      </c>
      <c r="T115" s="178">
        <f t="shared" si="3"/>
        <v>287.04119230769231</v>
      </c>
      <c r="V115" s="171" t="s">
        <v>14</v>
      </c>
      <c r="W115" s="184">
        <f>+W117-SUM(W112:W114)</f>
        <v>1105.8876245280726</v>
      </c>
      <c r="X115" s="184">
        <f>+X117-SUM(X112:X114)</f>
        <v>1150.229218283906</v>
      </c>
      <c r="Y115" s="184">
        <f>+Y117-SUM(Y112:Y114)</f>
        <v>1111.9996137065696</v>
      </c>
    </row>
    <row r="116" spans="1:25" x14ac:dyDescent="0.2">
      <c r="A116" s="171">
        <v>2</v>
      </c>
      <c r="B116" s="171"/>
      <c r="C116" s="171">
        <f>252.9-C115</f>
        <v>114.5</v>
      </c>
      <c r="D116" s="171">
        <f>218.1-D115</f>
        <v>98.1</v>
      </c>
      <c r="E116" s="171"/>
      <c r="F116" s="171"/>
      <c r="G116" s="171"/>
      <c r="I116" s="176">
        <v>91.7</v>
      </c>
      <c r="J116" s="168">
        <v>2</v>
      </c>
      <c r="L116" s="177">
        <v>13585</v>
      </c>
      <c r="M116" s="178">
        <v>166.5</v>
      </c>
      <c r="N116" s="178">
        <f t="shared" si="4"/>
        <v>293.30569792802618</v>
      </c>
      <c r="O116" s="177">
        <v>5517</v>
      </c>
      <c r="P116" s="178">
        <v>494.30000000000007</v>
      </c>
      <c r="Q116" s="178">
        <f t="shared" si="2"/>
        <v>870.75679571065086</v>
      </c>
      <c r="R116" s="177">
        <v>13449</v>
      </c>
      <c r="S116" s="178">
        <v>196.2</v>
      </c>
      <c r="T116" s="178">
        <f t="shared" si="3"/>
        <v>345.62509269356605</v>
      </c>
      <c r="V116" s="171"/>
      <c r="W116" s="181"/>
      <c r="X116" s="181"/>
      <c r="Y116" s="181"/>
    </row>
    <row r="117" spans="1:25" x14ac:dyDescent="0.2">
      <c r="A117" s="171">
        <v>3</v>
      </c>
      <c r="B117" s="171"/>
      <c r="C117" s="171">
        <f>365.7-C115-C116</f>
        <v>112.79999999999998</v>
      </c>
      <c r="D117" s="171">
        <f>316.9-D115-D116</f>
        <v>98.799999999999983</v>
      </c>
      <c r="E117" s="171"/>
      <c r="F117" s="171"/>
      <c r="G117" s="171"/>
      <c r="I117" s="176">
        <v>92.1</v>
      </c>
      <c r="J117" s="168">
        <v>3</v>
      </c>
      <c r="L117" s="177">
        <v>13956</v>
      </c>
      <c r="M117" s="178">
        <v>169.89999999999998</v>
      </c>
      <c r="N117" s="178">
        <f t="shared" si="4"/>
        <v>297.99525334781038</v>
      </c>
      <c r="O117" s="177">
        <v>8952</v>
      </c>
      <c r="P117" s="178">
        <v>425.5</v>
      </c>
      <c r="Q117" s="178">
        <f t="shared" si="2"/>
        <v>746.30359211002553</v>
      </c>
      <c r="R117" s="177">
        <v>15669</v>
      </c>
      <c r="S117" s="178">
        <v>219.80000000000007</v>
      </c>
      <c r="T117" s="178">
        <f t="shared" si="3"/>
        <v>385.51710821570776</v>
      </c>
      <c r="V117" s="171" t="s">
        <v>87</v>
      </c>
      <c r="W117" s="181">
        <f>IF('Tab7'!C36="",+'Tab7'!C35+'Tab11'!C35,+'Tab7'!C36+'Tab11'!C36)</f>
        <v>4189.2790914724155</v>
      </c>
      <c r="X117" s="181">
        <f>IF('Tab7'!D36="",+'Tab7'!D35+'Tab11'!D35,+'Tab7'!D36+'Tab11'!D36)</f>
        <v>4550.8241705370147</v>
      </c>
      <c r="Y117" s="181">
        <f>IF('Tab7'!E36="",+'Tab7'!E35+'Tab11'!E35,+'Tab7'!E36+'Tab11'!E36)</f>
        <v>4195.5944391022458</v>
      </c>
    </row>
    <row r="118" spans="1:25" x14ac:dyDescent="0.2">
      <c r="A118" s="171">
        <v>4</v>
      </c>
      <c r="B118" s="171"/>
      <c r="C118" s="171">
        <f>480.2-C115-C116-C117</f>
        <v>114.49999999999997</v>
      </c>
      <c r="D118" s="171">
        <f>417.1-D115-D116-D117</f>
        <v>100.20000000000005</v>
      </c>
      <c r="E118" s="171"/>
      <c r="F118" s="171"/>
      <c r="G118" s="171"/>
      <c r="I118" s="176">
        <v>92.6</v>
      </c>
      <c r="J118" s="168">
        <v>4</v>
      </c>
      <c r="L118" s="177">
        <v>14006</v>
      </c>
      <c r="M118" s="178">
        <v>140.80000000000007</v>
      </c>
      <c r="N118" s="178">
        <f t="shared" si="4"/>
        <v>245.62200143988497</v>
      </c>
      <c r="O118" s="177">
        <v>8189</v>
      </c>
      <c r="P118" s="178">
        <v>390.59999999999991</v>
      </c>
      <c r="Q118" s="178">
        <f t="shared" si="2"/>
        <v>681.39171706263505</v>
      </c>
      <c r="R118" s="177">
        <v>14139</v>
      </c>
      <c r="S118" s="178">
        <v>214.39999999999998</v>
      </c>
      <c r="T118" s="178">
        <f t="shared" si="3"/>
        <v>374.01532037437011</v>
      </c>
      <c r="V118" s="171"/>
      <c r="X118" s="171"/>
    </row>
    <row r="119" spans="1:25" x14ac:dyDescent="0.2">
      <c r="A119" s="171">
        <v>1</v>
      </c>
      <c r="B119" s="171">
        <v>1995</v>
      </c>
      <c r="C119" s="171">
        <v>137.19999999999999</v>
      </c>
      <c r="D119" s="171">
        <v>119.3</v>
      </c>
      <c r="E119" s="171"/>
      <c r="F119" s="171"/>
      <c r="G119" s="171"/>
      <c r="I119" s="176">
        <v>93.4</v>
      </c>
      <c r="J119" s="168">
        <v>1</v>
      </c>
      <c r="K119" s="168">
        <v>1995</v>
      </c>
      <c r="L119" s="177">
        <v>13188</v>
      </c>
      <c r="M119" s="178">
        <v>171.1</v>
      </c>
      <c r="N119" s="178">
        <f t="shared" si="4"/>
        <v>295.92300678087082</v>
      </c>
      <c r="O119" s="177">
        <v>7699</v>
      </c>
      <c r="P119" s="178">
        <v>543</v>
      </c>
      <c r="Q119" s="178">
        <f t="shared" si="2"/>
        <v>939.13613490364037</v>
      </c>
      <c r="R119" s="177">
        <v>11007</v>
      </c>
      <c r="S119" s="178">
        <v>183.1</v>
      </c>
      <c r="T119" s="178">
        <f t="shared" si="3"/>
        <v>316.67739650249825</v>
      </c>
      <c r="V119" s="170" t="s">
        <v>180</v>
      </c>
    </row>
    <row r="120" spans="1:25" x14ac:dyDescent="0.2">
      <c r="A120" s="171">
        <v>2</v>
      </c>
      <c r="B120" s="171"/>
      <c r="C120" s="171">
        <f>248.2-C119</f>
        <v>111</v>
      </c>
      <c r="D120" s="171">
        <f>214.7-D119</f>
        <v>95.399999999999991</v>
      </c>
      <c r="E120" s="171"/>
      <c r="F120" s="171"/>
      <c r="G120" s="171"/>
      <c r="I120" s="176">
        <v>94.1</v>
      </c>
      <c r="J120" s="168">
        <v>2</v>
      </c>
      <c r="L120" s="177">
        <v>11077</v>
      </c>
      <c r="M120" s="178">
        <v>148.30000000000004</v>
      </c>
      <c r="N120" s="178">
        <f t="shared" si="4"/>
        <v>254.58166666666679</v>
      </c>
      <c r="O120" s="177">
        <v>5465</v>
      </c>
      <c r="P120" s="178">
        <v>462.40000000000009</v>
      </c>
      <c r="Q120" s="178">
        <f t="shared" si="2"/>
        <v>793.78666666666697</v>
      </c>
      <c r="R120" s="177">
        <v>13915</v>
      </c>
      <c r="S120" s="178">
        <v>213.4</v>
      </c>
      <c r="T120" s="178">
        <f t="shared" si="3"/>
        <v>366.33666666666676</v>
      </c>
    </row>
    <row r="121" spans="1:25" x14ac:dyDescent="0.2">
      <c r="A121" s="171">
        <v>3</v>
      </c>
      <c r="B121" s="171"/>
      <c r="C121" s="171">
        <f>364.1-C119-C120</f>
        <v>115.90000000000003</v>
      </c>
      <c r="D121" s="171">
        <f>315.7-D119-D120</f>
        <v>100.99999999999999</v>
      </c>
      <c r="E121" s="171"/>
      <c r="F121" s="171"/>
      <c r="G121" s="171"/>
      <c r="I121" s="176">
        <v>94.1</v>
      </c>
      <c r="J121" s="168">
        <v>3</v>
      </c>
      <c r="L121" s="177">
        <v>13937</v>
      </c>
      <c r="M121" s="178">
        <v>180.19999999999993</v>
      </c>
      <c r="N121" s="178">
        <f t="shared" si="4"/>
        <v>309.34333333333331</v>
      </c>
      <c r="O121" s="177">
        <v>9139</v>
      </c>
      <c r="P121" s="178">
        <v>487.89999999999986</v>
      </c>
      <c r="Q121" s="178">
        <f t="shared" si="2"/>
        <v>837.5616666666665</v>
      </c>
      <c r="R121" s="177">
        <v>17436</v>
      </c>
      <c r="S121" s="178">
        <v>224.09999999999991</v>
      </c>
      <c r="T121" s="178">
        <f t="shared" si="3"/>
        <v>384.70499999999993</v>
      </c>
      <c r="V121" s="171"/>
      <c r="W121" s="175" t="str">
        <f>+'Tab3'!C6</f>
        <v>2020</v>
      </c>
      <c r="X121" s="175" t="str">
        <f>+'Tab3'!D6</f>
        <v>2021</v>
      </c>
      <c r="Y121" s="175" t="str">
        <f>+'Tab3'!E6</f>
        <v>2022</v>
      </c>
    </row>
    <row r="122" spans="1:25" x14ac:dyDescent="0.2">
      <c r="A122" s="171">
        <v>4</v>
      </c>
      <c r="B122" s="171"/>
      <c r="C122" s="171">
        <f>482.9-C119-C120-C121</f>
        <v>118.79999999999995</v>
      </c>
      <c r="D122" s="171">
        <f>420.1-D119-D120-D121</f>
        <v>104.40000000000005</v>
      </c>
      <c r="E122" s="171"/>
      <c r="F122" s="171"/>
      <c r="G122" s="171"/>
      <c r="I122" s="176">
        <v>94.6</v>
      </c>
      <c r="J122" s="168">
        <v>4</v>
      </c>
      <c r="L122" s="177">
        <v>13920</v>
      </c>
      <c r="M122" s="178">
        <v>172.00000000000006</v>
      </c>
      <c r="N122" s="178">
        <f t="shared" si="4"/>
        <v>293.70606060606076</v>
      </c>
      <c r="O122" s="177">
        <v>7500</v>
      </c>
      <c r="P122" s="178">
        <v>369.89999999999986</v>
      </c>
      <c r="Q122" s="178">
        <f t="shared" si="2"/>
        <v>631.63878964059188</v>
      </c>
      <c r="R122" s="177">
        <v>15130</v>
      </c>
      <c r="S122" s="178">
        <v>206.30000000000018</v>
      </c>
      <c r="T122" s="178">
        <f t="shared" si="3"/>
        <v>352.2765133897114</v>
      </c>
      <c r="V122" s="171" t="s">
        <v>10</v>
      </c>
      <c r="W122" s="175">
        <f>IF('Tab3'!C22="",'Tab3'!C29,'Tab3'!C30)</f>
        <v>161525</v>
      </c>
      <c r="X122" s="175">
        <f>IF('Tab3'!D22="",'Tab3'!D29,'Tab3'!D30)</f>
        <v>34290.493589743593</v>
      </c>
      <c r="Y122" s="175">
        <f>IF('Tab3'!E22="",'Tab3'!E29,'Tab3'!E30)</f>
        <v>66033.36538461539</v>
      </c>
    </row>
    <row r="123" spans="1:25" x14ac:dyDescent="0.2">
      <c r="A123" s="171">
        <v>1</v>
      </c>
      <c r="B123" s="171">
        <v>1996</v>
      </c>
      <c r="C123" s="171">
        <v>143.9</v>
      </c>
      <c r="D123" s="171">
        <v>126.9</v>
      </c>
      <c r="E123" s="171"/>
      <c r="F123" s="171"/>
      <c r="G123" s="171"/>
      <c r="I123" s="176">
        <v>94.2</v>
      </c>
      <c r="J123" s="168">
        <v>1</v>
      </c>
      <c r="K123" s="168">
        <v>1996</v>
      </c>
      <c r="L123" s="177">
        <v>29850</v>
      </c>
      <c r="M123" s="178">
        <v>375.59999999999997</v>
      </c>
      <c r="N123" s="178">
        <f t="shared" si="4"/>
        <v>644.0955201698514</v>
      </c>
      <c r="O123" s="177">
        <v>7239</v>
      </c>
      <c r="P123" s="178">
        <v>479.9</v>
      </c>
      <c r="Q123" s="178">
        <f t="shared" si="2"/>
        <v>822.95378096249124</v>
      </c>
      <c r="R123" s="177">
        <v>11785</v>
      </c>
      <c r="S123" s="178">
        <v>198.60000000000002</v>
      </c>
      <c r="T123" s="178">
        <f t="shared" si="3"/>
        <v>340.56807855626334</v>
      </c>
      <c r="V123" s="168" t="s">
        <v>112</v>
      </c>
      <c r="W123" s="175">
        <f>IF('Tab9'!C8="",'Tab9'!C7,'Tab9'!C8)</f>
        <v>33779.378607928287</v>
      </c>
      <c r="X123" s="175">
        <f>IF('Tab9'!D8="",'Tab9'!D7,'Tab9'!D8)</f>
        <v>44786.944784527106</v>
      </c>
      <c r="Y123" s="175">
        <f>IF('Tab9'!E8="",'Tab9'!E7,'Tab9'!E8)</f>
        <v>34271.789724271439</v>
      </c>
    </row>
    <row r="124" spans="1:25" x14ac:dyDescent="0.2">
      <c r="A124" s="171">
        <v>2</v>
      </c>
      <c r="B124" s="171"/>
      <c r="C124" s="171">
        <f>275.5-C123</f>
        <v>131.6</v>
      </c>
      <c r="D124" s="171">
        <f>242.6-D123</f>
        <v>115.69999999999999</v>
      </c>
      <c r="E124" s="171"/>
      <c r="F124" s="171"/>
      <c r="G124" s="171"/>
      <c r="I124" s="176">
        <v>95.1</v>
      </c>
      <c r="J124" s="168">
        <v>2</v>
      </c>
      <c r="L124" s="177">
        <v>17799</v>
      </c>
      <c r="M124" s="178">
        <v>234.8</v>
      </c>
      <c r="N124" s="178">
        <f t="shared" si="4"/>
        <v>398.83491763056441</v>
      </c>
      <c r="O124" s="177">
        <v>6503</v>
      </c>
      <c r="P124" s="178">
        <v>585.30000000000007</v>
      </c>
      <c r="Q124" s="178">
        <f t="shared" si="2"/>
        <v>994.19964773922209</v>
      </c>
      <c r="R124" s="177">
        <v>14642</v>
      </c>
      <c r="S124" s="178">
        <v>220.09999999999997</v>
      </c>
      <c r="T124" s="178">
        <f t="shared" si="3"/>
        <v>373.86526989134245</v>
      </c>
      <c r="V124" s="168" t="s">
        <v>111</v>
      </c>
      <c r="W124" s="175">
        <f>IF('Tab8'!C8="",'Tab8'!C7,'Tab8'!C8)</f>
        <v>50338.839690263172</v>
      </c>
      <c r="X124" s="175">
        <f>IF('Tab8'!D8="",'Tab8'!D7,'Tab8'!D8)</f>
        <v>57244.673067196847</v>
      </c>
      <c r="Y124" s="175">
        <f>IF('Tab8'!E8="",'Tab8'!E7,'Tab8'!E8)</f>
        <v>55060.821866443432</v>
      </c>
    </row>
    <row r="125" spans="1:25" x14ac:dyDescent="0.2">
      <c r="A125" s="171">
        <v>3</v>
      </c>
      <c r="B125" s="171"/>
      <c r="C125" s="171">
        <f>387.5-C123-C124</f>
        <v>112</v>
      </c>
      <c r="D125" s="171">
        <f>339.3-D123-D124</f>
        <v>96.700000000000017</v>
      </c>
      <c r="E125" s="171"/>
      <c r="F125" s="171"/>
      <c r="G125" s="171"/>
      <c r="I125" s="176">
        <v>95.5</v>
      </c>
      <c r="J125" s="168">
        <v>3</v>
      </c>
      <c r="L125" s="177">
        <v>16263</v>
      </c>
      <c r="M125" s="178">
        <v>240.00000000000011</v>
      </c>
      <c r="N125" s="178">
        <f t="shared" si="4"/>
        <v>405.96020942408404</v>
      </c>
      <c r="O125" s="177">
        <v>8934</v>
      </c>
      <c r="P125" s="178">
        <v>581.89999999999986</v>
      </c>
      <c r="Q125" s="178">
        <f t="shared" si="2"/>
        <v>984.2843577661431</v>
      </c>
      <c r="R125" s="177">
        <v>17198</v>
      </c>
      <c r="S125" s="178">
        <v>233.2</v>
      </c>
      <c r="T125" s="178">
        <f t="shared" si="3"/>
        <v>394.45800349040144</v>
      </c>
      <c r="V125" s="171" t="s">
        <v>169</v>
      </c>
      <c r="W125" s="175">
        <f>IF('Tab3'!C16="",'Tab3'!C15,'Tab3'!C16)</f>
        <v>11707.421245421247</v>
      </c>
      <c r="X125" s="175">
        <f>IF('Tab3'!D16="",'Tab3'!D15,'Tab3'!D16)</f>
        <v>14184.867654085045</v>
      </c>
      <c r="Y125" s="175">
        <f>IF('Tab3'!E16="",'Tab3'!E15,'Tab3'!E16)</f>
        <v>11825.08552317248</v>
      </c>
    </row>
    <row r="126" spans="1:25" x14ac:dyDescent="0.2">
      <c r="A126" s="171">
        <v>4</v>
      </c>
      <c r="B126" s="171"/>
      <c r="C126" s="171">
        <f>520-C123-C124-C125</f>
        <v>132.50000000000003</v>
      </c>
      <c r="D126" s="171">
        <f>452.4-D123-D124-D125</f>
        <v>113.1</v>
      </c>
      <c r="E126" s="171"/>
      <c r="F126" s="171"/>
      <c r="G126" s="171"/>
      <c r="I126" s="176">
        <v>96.3</v>
      </c>
      <c r="J126" s="168">
        <v>4</v>
      </c>
      <c r="L126" s="177">
        <v>16638</v>
      </c>
      <c r="M126" s="178">
        <v>233.40000000000009</v>
      </c>
      <c r="N126" s="178">
        <f t="shared" si="4"/>
        <v>391.51658359293896</v>
      </c>
      <c r="O126" s="177">
        <v>7966</v>
      </c>
      <c r="P126" s="178">
        <v>665.80000000000018</v>
      </c>
      <c r="Q126" s="178">
        <f t="shared" si="2"/>
        <v>1116.8455070958814</v>
      </c>
      <c r="R126" s="177">
        <v>13841</v>
      </c>
      <c r="S126" s="178">
        <v>188.00000000000011</v>
      </c>
      <c r="T126" s="178">
        <f t="shared" si="3"/>
        <v>315.3604015230186</v>
      </c>
    </row>
    <row r="127" spans="1:25" x14ac:dyDescent="0.2">
      <c r="A127" s="171">
        <v>1</v>
      </c>
      <c r="B127" s="171">
        <v>1997</v>
      </c>
      <c r="C127" s="171">
        <v>142.6</v>
      </c>
      <c r="D127" s="171">
        <v>124.8</v>
      </c>
      <c r="E127" s="171"/>
      <c r="F127" s="171"/>
      <c r="G127" s="171"/>
      <c r="I127" s="176">
        <v>97.3</v>
      </c>
      <c r="J127" s="168">
        <v>1</v>
      </c>
      <c r="K127" s="168">
        <v>1997</v>
      </c>
      <c r="L127" s="177">
        <v>17837</v>
      </c>
      <c r="M127" s="178">
        <v>255.29999999999998</v>
      </c>
      <c r="N127" s="178">
        <f t="shared" si="4"/>
        <v>423.85135149023642</v>
      </c>
      <c r="O127" s="177">
        <v>7574</v>
      </c>
      <c r="P127" s="178">
        <v>625.70000000000005</v>
      </c>
      <c r="Q127" s="178">
        <f t="shared" si="2"/>
        <v>1038.7927560808498</v>
      </c>
      <c r="R127" s="177">
        <v>10571</v>
      </c>
      <c r="S127" s="178">
        <v>187.8</v>
      </c>
      <c r="T127" s="178">
        <f t="shared" si="3"/>
        <v>311.78724563206583</v>
      </c>
      <c r="V127" s="170" t="s">
        <v>181</v>
      </c>
    </row>
    <row r="128" spans="1:25" x14ac:dyDescent="0.2">
      <c r="A128" s="171">
        <v>2</v>
      </c>
      <c r="B128" s="171"/>
      <c r="C128" s="171">
        <f>284.4-C127</f>
        <v>141.79999999999998</v>
      </c>
      <c r="D128" s="171">
        <f>247.3-D127</f>
        <v>122.50000000000001</v>
      </c>
      <c r="E128" s="171"/>
      <c r="F128" s="171"/>
      <c r="G128" s="171"/>
      <c r="I128" s="176">
        <v>97.7</v>
      </c>
      <c r="J128" s="168">
        <v>2</v>
      </c>
      <c r="L128" s="177">
        <v>16872</v>
      </c>
      <c r="M128" s="178">
        <v>281.30000000000007</v>
      </c>
      <c r="N128" s="178">
        <f t="shared" si="4"/>
        <v>465.10474070283198</v>
      </c>
      <c r="O128" s="177">
        <v>7284</v>
      </c>
      <c r="P128" s="178">
        <v>664.39999999999986</v>
      </c>
      <c r="Q128" s="178">
        <f t="shared" si="2"/>
        <v>1098.5268031388603</v>
      </c>
      <c r="R128" s="177">
        <v>14837</v>
      </c>
      <c r="S128" s="178">
        <v>224.59999999999997</v>
      </c>
      <c r="T128" s="178">
        <f t="shared" si="3"/>
        <v>371.35629136813372</v>
      </c>
      <c r="W128" s="175" t="str">
        <f>+'Tab3'!C6</f>
        <v>2020</v>
      </c>
      <c r="X128" s="175" t="str">
        <f>+'Tab3'!D6</f>
        <v>2021</v>
      </c>
      <c r="Y128" s="175" t="str">
        <f>+'Tab3'!E6</f>
        <v>2022</v>
      </c>
    </row>
    <row r="129" spans="1:25" x14ac:dyDescent="0.2">
      <c r="A129" s="171">
        <v>3</v>
      </c>
      <c r="B129" s="171"/>
      <c r="C129" s="171">
        <f>419.8-C127-C128</f>
        <v>135.40000000000006</v>
      </c>
      <c r="D129" s="171">
        <f>364.6-D127-D128</f>
        <v>117.3</v>
      </c>
      <c r="E129" s="171"/>
      <c r="F129" s="171" t="s">
        <v>74</v>
      </c>
      <c r="G129" s="171"/>
      <c r="I129" s="176">
        <v>97.7</v>
      </c>
      <c r="J129" s="168">
        <v>3</v>
      </c>
      <c r="L129" s="177">
        <v>17873</v>
      </c>
      <c r="M129" s="178">
        <v>297.89999999999998</v>
      </c>
      <c r="N129" s="178">
        <f t="shared" si="4"/>
        <v>492.55137666325487</v>
      </c>
      <c r="O129" s="177">
        <v>14581</v>
      </c>
      <c r="P129" s="178">
        <v>720.30000000000018</v>
      </c>
      <c r="Q129" s="178">
        <f t="shared" si="2"/>
        <v>1190.9525230296831</v>
      </c>
      <c r="R129" s="177">
        <v>15670</v>
      </c>
      <c r="S129" s="178">
        <v>198.80000000000007</v>
      </c>
      <c r="T129" s="178">
        <f t="shared" si="3"/>
        <v>328.69826680313901</v>
      </c>
      <c r="V129" s="171" t="s">
        <v>11</v>
      </c>
      <c r="W129" s="175">
        <f>IF('Tab3'!C30="",'Tab3'!C31,'Tab3'!C32)</f>
        <v>1428.2980049875312</v>
      </c>
      <c r="X129" s="175">
        <f>IF('Tab3'!D30="",'Tab3'!D31,'Tab3'!D32)</f>
        <v>1433.3104738154614</v>
      </c>
      <c r="Y129" s="175">
        <f>IF('Tab3'!E30="",'Tab3'!E31,'Tab3'!E32)</f>
        <v>1816.3347880299252</v>
      </c>
    </row>
    <row r="130" spans="1:25" x14ac:dyDescent="0.2">
      <c r="A130" s="171">
        <v>4</v>
      </c>
      <c r="B130" s="171"/>
      <c r="C130" s="171">
        <f>550.4-C127-C128-C129</f>
        <v>130.59999999999994</v>
      </c>
      <c r="D130" s="171">
        <f>478.3-D127-D128-D129</f>
        <v>113.7</v>
      </c>
      <c r="E130" s="171"/>
      <c r="F130" s="171"/>
      <c r="G130" s="171"/>
      <c r="I130" s="176">
        <v>98.4</v>
      </c>
      <c r="J130" s="168">
        <v>4</v>
      </c>
      <c r="L130" s="177">
        <v>15493</v>
      </c>
      <c r="M130" s="178">
        <v>267.70000000000005</v>
      </c>
      <c r="N130" s="178">
        <f t="shared" si="4"/>
        <v>439.46963245257461</v>
      </c>
      <c r="O130" s="177">
        <v>9445</v>
      </c>
      <c r="P130" s="178">
        <v>564</v>
      </c>
      <c r="Q130" s="178">
        <f t="shared" si="2"/>
        <v>925.89044715447164</v>
      </c>
      <c r="R130" s="177">
        <v>13087</v>
      </c>
      <c r="S130" s="178">
        <v>185.09999999999991</v>
      </c>
      <c r="T130" s="178">
        <f t="shared" si="3"/>
        <v>303.86936483739822</v>
      </c>
      <c r="V130" s="171" t="s">
        <v>12</v>
      </c>
      <c r="W130" s="175">
        <f>IF('Tab3'!C32="",'Tab3'!C33,'Tab3'!C34)</f>
        <v>4087.944</v>
      </c>
      <c r="X130" s="175">
        <f>IF('Tab3'!D32="",'Tab3'!D33,'Tab3'!D34)</f>
        <v>3104.3150039000002</v>
      </c>
      <c r="Y130" s="175">
        <f>IF('Tab3'!E32="",'Tab3'!E33,'Tab3'!E34)</f>
        <v>3173.5819999999999</v>
      </c>
    </row>
    <row r="131" spans="1:25" x14ac:dyDescent="0.2">
      <c r="A131" s="171">
        <v>1</v>
      </c>
      <c r="B131" s="171">
        <v>1998</v>
      </c>
      <c r="C131" s="171">
        <v>150</v>
      </c>
      <c r="D131" s="171">
        <v>131.9</v>
      </c>
      <c r="E131" s="171"/>
      <c r="F131" s="171" t="s">
        <v>78</v>
      </c>
      <c r="G131" s="171"/>
      <c r="I131" s="176">
        <v>99.3</v>
      </c>
      <c r="J131" s="168">
        <v>1</v>
      </c>
      <c r="K131" s="168">
        <v>1998</v>
      </c>
      <c r="L131" s="177">
        <v>17629</v>
      </c>
      <c r="M131" s="178">
        <v>285</v>
      </c>
      <c r="N131" s="178">
        <f t="shared" si="4"/>
        <v>463.6296576032226</v>
      </c>
      <c r="O131" s="177">
        <v>7614</v>
      </c>
      <c r="P131" s="178">
        <v>599.6</v>
      </c>
      <c r="Q131" s="178">
        <f t="shared" si="2"/>
        <v>975.41172876804308</v>
      </c>
      <c r="R131" s="177">
        <v>11958</v>
      </c>
      <c r="S131" s="178">
        <v>185.4</v>
      </c>
      <c r="T131" s="178">
        <f t="shared" si="3"/>
        <v>301.60329305135957</v>
      </c>
      <c r="V131" s="171" t="s">
        <v>7</v>
      </c>
      <c r="W131" s="175">
        <f>IF('Tab3'!C18="",'Tab3'!C17,'Tab3'!C18)</f>
        <v>2497.8568816326533</v>
      </c>
      <c r="X131" s="175">
        <f>IF('Tab3'!D18="",'Tab3'!D17,'Tab3'!D18)</f>
        <v>2405.7066122448982</v>
      </c>
      <c r="Y131" s="175">
        <f>IF('Tab3'!E18="",'Tab3'!E17,'Tab3'!E18)</f>
        <v>2424.5147755102039</v>
      </c>
    </row>
    <row r="132" spans="1:25" x14ac:dyDescent="0.2">
      <c r="A132" s="171">
        <v>2</v>
      </c>
      <c r="B132" s="171"/>
      <c r="C132" s="171">
        <f>289.8-C131</f>
        <v>139.80000000000001</v>
      </c>
      <c r="D132" s="171">
        <f>253.9-D131</f>
        <v>122</v>
      </c>
      <c r="E132" s="171"/>
      <c r="F132" s="171" t="s">
        <v>79</v>
      </c>
      <c r="G132" s="171" t="s">
        <v>80</v>
      </c>
      <c r="I132" s="176">
        <v>99.7</v>
      </c>
      <c r="J132" s="168">
        <v>2</v>
      </c>
      <c r="L132" s="177">
        <v>14484</v>
      </c>
      <c r="M132" s="178">
        <v>253.5</v>
      </c>
      <c r="N132" s="178">
        <f t="shared" si="4"/>
        <v>410.73187061183557</v>
      </c>
      <c r="O132" s="177">
        <v>6009</v>
      </c>
      <c r="P132" s="178">
        <v>576.9</v>
      </c>
      <c r="Q132" s="178">
        <f t="shared" si="2"/>
        <v>934.71880140421274</v>
      </c>
      <c r="R132" s="177">
        <v>15060</v>
      </c>
      <c r="S132" s="178">
        <v>204.20000000000002</v>
      </c>
      <c r="T132" s="178">
        <f t="shared" si="3"/>
        <v>330.85383818121034</v>
      </c>
      <c r="V132" s="168" t="s">
        <v>113</v>
      </c>
      <c r="W132" s="175">
        <f>IF('Tab10'!C8="",'Tab10'!C7,'Tab10'!C8)</f>
        <v>3848.8858368649608</v>
      </c>
      <c r="X132" s="175">
        <f>IF('Tab10'!D8="",'Tab10'!D7,'Tab10'!D8)</f>
        <v>6189.8587348924812</v>
      </c>
      <c r="Y132" s="175">
        <f>IF('Tab10'!E8="",'Tab10'!E7,'Tab10'!E8)</f>
        <v>4575</v>
      </c>
    </row>
    <row r="133" spans="1:25" x14ac:dyDescent="0.2">
      <c r="A133" s="171">
        <v>3</v>
      </c>
      <c r="B133" s="171"/>
      <c r="C133" s="171">
        <f>+E133-C131-C132</f>
        <v>128.09999999999997</v>
      </c>
      <c r="D133" s="171">
        <f>+G133-D131-D132</f>
        <v>112.1</v>
      </c>
      <c r="E133" s="171">
        <v>417.9</v>
      </c>
      <c r="G133" s="171">
        <v>366</v>
      </c>
      <c r="I133" s="185">
        <v>99.8</v>
      </c>
      <c r="J133" s="168">
        <v>3</v>
      </c>
      <c r="L133" s="177">
        <v>15693</v>
      </c>
      <c r="M133" s="178">
        <v>257.89999999999998</v>
      </c>
      <c r="N133" s="178">
        <f t="shared" si="4"/>
        <v>417.44224615898469</v>
      </c>
      <c r="O133" s="177">
        <v>8328</v>
      </c>
      <c r="P133" s="178">
        <v>432.80000000000018</v>
      </c>
      <c r="Q133" s="178">
        <f t="shared" si="2"/>
        <v>700.53898463593896</v>
      </c>
      <c r="R133" s="177">
        <v>17098</v>
      </c>
      <c r="S133" s="178">
        <v>209.60000000000002</v>
      </c>
      <c r="T133" s="178">
        <f t="shared" si="3"/>
        <v>339.26287241148975</v>
      </c>
      <c r="V133" s="171" t="s">
        <v>9</v>
      </c>
      <c r="W133" s="175">
        <f>IF('Tab3'!C22="",'Tab3'!C21,'Tab3'!C22)</f>
        <v>7537.45</v>
      </c>
      <c r="X133" s="175">
        <f>IF('Tab3'!D22="",'Tab3'!D21,'Tab3'!D22)</f>
        <v>7214.3441666666668</v>
      </c>
      <c r="Y133" s="175">
        <f>IF('Tab3'!E22="",'Tab3'!E21,'Tab3'!E22)</f>
        <v>10160.966666666667</v>
      </c>
    </row>
    <row r="134" spans="1:25" x14ac:dyDescent="0.2">
      <c r="A134" s="171">
        <v>4</v>
      </c>
      <c r="B134" s="171"/>
      <c r="C134" s="171">
        <f>+E134-E133</f>
        <v>141.80000000000007</v>
      </c>
      <c r="D134" s="171">
        <f>+G134-G133</f>
        <v>125.60000000000002</v>
      </c>
      <c r="E134" s="171">
        <v>559.70000000000005</v>
      </c>
      <c r="G134" s="171">
        <v>491.6</v>
      </c>
      <c r="I134" s="185">
        <v>100.7</v>
      </c>
      <c r="J134" s="168">
        <v>4</v>
      </c>
      <c r="L134" s="177">
        <v>16502</v>
      </c>
      <c r="M134" s="178">
        <v>299.10000000000002</v>
      </c>
      <c r="N134" s="178">
        <f t="shared" si="4"/>
        <v>479.80253723932481</v>
      </c>
      <c r="O134" s="177">
        <v>7526</v>
      </c>
      <c r="P134" s="178">
        <v>738.59999999999945</v>
      </c>
      <c r="Q134" s="178">
        <f t="shared" si="2"/>
        <v>1184.8283316782515</v>
      </c>
      <c r="R134" s="177">
        <v>14647</v>
      </c>
      <c r="S134" s="178">
        <v>205.79999999999995</v>
      </c>
      <c r="T134" s="178">
        <f t="shared" si="3"/>
        <v>330.13494538232374</v>
      </c>
    </row>
    <row r="135" spans="1:25" x14ac:dyDescent="0.2">
      <c r="A135" s="171">
        <v>1</v>
      </c>
      <c r="B135" s="171">
        <v>1999</v>
      </c>
      <c r="C135" s="171">
        <f>+E135</f>
        <v>154.19999999999999</v>
      </c>
      <c r="D135" s="171">
        <f>+G135</f>
        <v>137.1</v>
      </c>
      <c r="E135" s="171">
        <v>154.19999999999999</v>
      </c>
      <c r="G135" s="171">
        <v>137.1</v>
      </c>
      <c r="I135" s="185">
        <v>101.4</v>
      </c>
      <c r="J135" s="168">
        <v>1</v>
      </c>
      <c r="K135" s="168">
        <v>1999</v>
      </c>
      <c r="L135" s="177">
        <v>18095</v>
      </c>
      <c r="M135" s="178">
        <v>328.50000000000006</v>
      </c>
      <c r="N135" s="178">
        <f t="shared" si="4"/>
        <v>523.3268491124262</v>
      </c>
      <c r="O135" s="177">
        <v>8863</v>
      </c>
      <c r="P135" s="178">
        <v>689.1</v>
      </c>
      <c r="Q135" s="178">
        <f t="shared" si="2"/>
        <v>1097.791572978304</v>
      </c>
      <c r="R135" s="177">
        <v>11175</v>
      </c>
      <c r="S135" s="178">
        <v>162.80000000000001</v>
      </c>
      <c r="T135" s="178">
        <f t="shared" si="3"/>
        <v>259.35345825115058</v>
      </c>
    </row>
    <row r="136" spans="1:25" x14ac:dyDescent="0.2">
      <c r="A136" s="171">
        <v>2</v>
      </c>
      <c r="B136" s="171"/>
      <c r="C136" s="171">
        <f>+E136-E135</f>
        <v>159.30000000000001</v>
      </c>
      <c r="D136" s="171">
        <f>+G136-G135</f>
        <v>140.70000000000002</v>
      </c>
      <c r="E136" s="171">
        <v>313.5</v>
      </c>
      <c r="G136" s="171">
        <v>277.8</v>
      </c>
      <c r="I136" s="185">
        <v>102.2</v>
      </c>
      <c r="J136" s="168">
        <v>2</v>
      </c>
      <c r="L136" s="177">
        <v>12899</v>
      </c>
      <c r="M136" s="178">
        <v>332.7</v>
      </c>
      <c r="N136" s="178">
        <f t="shared" si="4"/>
        <v>525.8689187866928</v>
      </c>
      <c r="O136" s="177">
        <v>5920</v>
      </c>
      <c r="P136" s="178">
        <v>874.6</v>
      </c>
      <c r="Q136" s="178">
        <f t="shared" si="2"/>
        <v>1382.4014318330073</v>
      </c>
      <c r="R136" s="177">
        <v>12451</v>
      </c>
      <c r="S136" s="178">
        <v>199.09999999999997</v>
      </c>
      <c r="T136" s="178">
        <f t="shared" si="3"/>
        <v>314.69943411611217</v>
      </c>
    </row>
    <row r="137" spans="1:25" x14ac:dyDescent="0.2">
      <c r="A137" s="171">
        <v>3</v>
      </c>
      <c r="B137" s="171"/>
      <c r="C137" s="171">
        <f>+E137-E136</f>
        <v>146.30000000000001</v>
      </c>
      <c r="D137" s="171">
        <f>+G137-G136</f>
        <v>128.69999999999999</v>
      </c>
      <c r="E137" s="171">
        <v>459.8</v>
      </c>
      <c r="G137" s="171">
        <v>406.5</v>
      </c>
      <c r="I137" s="185">
        <v>101.7</v>
      </c>
      <c r="J137" s="168">
        <v>3</v>
      </c>
      <c r="L137" s="177">
        <v>23305</v>
      </c>
      <c r="M137" s="178">
        <v>445.5</v>
      </c>
      <c r="N137" s="178">
        <f t="shared" si="4"/>
        <v>707.62367256637174</v>
      </c>
      <c r="O137" s="177">
        <v>11181</v>
      </c>
      <c r="P137" s="178">
        <v>566.99999999999977</v>
      </c>
      <c r="Q137" s="178">
        <f t="shared" si="2"/>
        <v>900.61194690265461</v>
      </c>
      <c r="R137" s="177">
        <v>18817</v>
      </c>
      <c r="S137" s="178">
        <v>227.70000000000005</v>
      </c>
      <c r="T137" s="178">
        <f t="shared" si="3"/>
        <v>361.67432153392343</v>
      </c>
    </row>
    <row r="138" spans="1:25" x14ac:dyDescent="0.2">
      <c r="A138" s="171">
        <v>4</v>
      </c>
      <c r="B138" s="171"/>
      <c r="C138" s="171">
        <f>+E138-E137</f>
        <v>141.90000000000003</v>
      </c>
      <c r="D138" s="171">
        <f>+G138-G137</f>
        <v>126.39999999999998</v>
      </c>
      <c r="E138" s="171">
        <v>601.70000000000005</v>
      </c>
      <c r="G138" s="171">
        <v>532.9</v>
      </c>
      <c r="I138" s="176">
        <v>103.5</v>
      </c>
      <c r="J138" s="168">
        <v>4</v>
      </c>
      <c r="L138" s="177">
        <v>18359</v>
      </c>
      <c r="M138" s="178">
        <v>410.59999999999968</v>
      </c>
      <c r="N138" s="178">
        <f t="shared" si="4"/>
        <v>640.8467600644118</v>
      </c>
      <c r="O138" s="177">
        <v>9544</v>
      </c>
      <c r="P138" s="178">
        <v>935.5</v>
      </c>
      <c r="Q138" s="178">
        <f t="shared" si="2"/>
        <v>1460.0880273752016</v>
      </c>
      <c r="R138" s="177">
        <v>13692</v>
      </c>
      <c r="S138" s="178">
        <v>192.19999999999993</v>
      </c>
      <c r="T138" s="178">
        <f t="shared" si="3"/>
        <v>299.97746537842181</v>
      </c>
    </row>
    <row r="139" spans="1:25" x14ac:dyDescent="0.2">
      <c r="A139" s="171">
        <v>1</v>
      </c>
      <c r="B139" s="171">
        <v>2000</v>
      </c>
      <c r="C139" s="171">
        <f>+E139</f>
        <v>169.1</v>
      </c>
      <c r="D139" s="171">
        <f>+G139</f>
        <v>150.9</v>
      </c>
      <c r="E139" s="171">
        <v>169.1</v>
      </c>
      <c r="G139" s="171">
        <v>150.9</v>
      </c>
      <c r="I139" s="176">
        <v>104.6</v>
      </c>
      <c r="J139" s="168">
        <v>1</v>
      </c>
      <c r="K139" s="168">
        <v>2000</v>
      </c>
      <c r="L139" s="177">
        <v>17570</v>
      </c>
      <c r="M139" s="178">
        <v>345.9</v>
      </c>
      <c r="N139" s="178">
        <f t="shared" si="4"/>
        <v>534.18842734225632</v>
      </c>
      <c r="O139" s="177">
        <v>9154</v>
      </c>
      <c r="P139" s="178">
        <v>819.9</v>
      </c>
      <c r="Q139" s="178">
        <f t="shared" si="2"/>
        <v>1266.2072609942641</v>
      </c>
      <c r="R139" s="177">
        <v>12421</v>
      </c>
      <c r="S139" s="178">
        <v>198</v>
      </c>
      <c r="T139" s="178">
        <f t="shared" si="3"/>
        <v>305.78001912045892</v>
      </c>
    </row>
    <row r="140" spans="1:25" x14ac:dyDescent="0.2">
      <c r="A140" s="171">
        <v>2</v>
      </c>
      <c r="B140" s="171"/>
      <c r="C140" s="171">
        <f>+E140-E139</f>
        <v>151.50000000000003</v>
      </c>
      <c r="D140" s="171">
        <f>+G140-G139</f>
        <v>133.4</v>
      </c>
      <c r="E140" s="171">
        <v>320.60000000000002</v>
      </c>
      <c r="G140" s="171">
        <v>284.3</v>
      </c>
      <c r="I140" s="176">
        <v>105.1</v>
      </c>
      <c r="J140" s="168">
        <v>2</v>
      </c>
      <c r="L140" s="177">
        <v>14069</v>
      </c>
      <c r="M140" s="178">
        <v>252.39999999999998</v>
      </c>
      <c r="N140" s="178">
        <f t="shared" si="4"/>
        <v>387.93791944180151</v>
      </c>
      <c r="O140" s="177">
        <v>10238</v>
      </c>
      <c r="P140" s="178">
        <v>674.19999999999993</v>
      </c>
      <c r="Q140" s="178">
        <f t="shared" si="2"/>
        <v>1036.2430478908977</v>
      </c>
      <c r="R140" s="177">
        <v>13950</v>
      </c>
      <c r="S140" s="178">
        <v>184.5</v>
      </c>
      <c r="T140" s="178">
        <f t="shared" si="3"/>
        <v>283.57585632730735</v>
      </c>
    </row>
    <row r="141" spans="1:25" x14ac:dyDescent="0.2">
      <c r="A141" s="171">
        <v>3</v>
      </c>
      <c r="B141" s="171"/>
      <c r="C141" s="171">
        <f>+E141-E140</f>
        <v>139</v>
      </c>
      <c r="D141" s="171">
        <f>+G141-G140</f>
        <v>123.5</v>
      </c>
      <c r="E141" s="171">
        <v>459.6</v>
      </c>
      <c r="G141" s="171">
        <v>407.8</v>
      </c>
      <c r="I141" s="176">
        <v>105.3</v>
      </c>
      <c r="J141" s="168">
        <v>3</v>
      </c>
      <c r="L141" s="177">
        <v>16329</v>
      </c>
      <c r="M141" s="178">
        <v>313.5</v>
      </c>
      <c r="N141" s="178">
        <f t="shared" si="4"/>
        <v>480.93321462488137</v>
      </c>
      <c r="O141" s="177">
        <v>13877</v>
      </c>
      <c r="P141" s="178">
        <v>706.20000000000027</v>
      </c>
      <c r="Q141" s="178">
        <f t="shared" si="2"/>
        <v>1083.3653466286805</v>
      </c>
      <c r="R141" s="177">
        <v>14850</v>
      </c>
      <c r="S141" s="178">
        <v>193.89999999999998</v>
      </c>
      <c r="T141" s="178">
        <f t="shared" si="3"/>
        <v>297.457576764799</v>
      </c>
    </row>
    <row r="142" spans="1:25" x14ac:dyDescent="0.2">
      <c r="A142" s="171">
        <v>4</v>
      </c>
      <c r="B142" s="171"/>
      <c r="C142" s="171">
        <f>+E142-E141</f>
        <v>135.10000000000002</v>
      </c>
      <c r="D142" s="171">
        <f>+G142-G141</f>
        <v>121.40000000000003</v>
      </c>
      <c r="E142" s="171">
        <v>594.70000000000005</v>
      </c>
      <c r="G142" s="171">
        <v>529.20000000000005</v>
      </c>
      <c r="I142" s="176">
        <v>106.8</v>
      </c>
      <c r="J142" s="168">
        <v>4</v>
      </c>
      <c r="L142" s="177">
        <v>21735</v>
      </c>
      <c r="M142" s="178">
        <v>484.79999999999995</v>
      </c>
      <c r="N142" s="178">
        <f t="shared" si="4"/>
        <v>733.27513108614232</v>
      </c>
      <c r="O142" s="177">
        <v>9978</v>
      </c>
      <c r="P142" s="178">
        <v>739.19999999999982</v>
      </c>
      <c r="Q142" s="178">
        <f t="shared" si="2"/>
        <v>1118.0630711610486</v>
      </c>
      <c r="R142" s="177">
        <v>13212</v>
      </c>
      <c r="S142" s="178">
        <v>215</v>
      </c>
      <c r="T142" s="178">
        <f t="shared" si="3"/>
        <v>325.1942103620475</v>
      </c>
    </row>
    <row r="143" spans="1:25" x14ac:dyDescent="0.2">
      <c r="A143" s="171">
        <v>1</v>
      </c>
      <c r="B143" s="171">
        <v>2001</v>
      </c>
      <c r="C143" s="171">
        <f>+E143</f>
        <v>158.5</v>
      </c>
      <c r="D143" s="171">
        <f>+G143</f>
        <v>143.1</v>
      </c>
      <c r="E143" s="171">
        <v>158.5</v>
      </c>
      <c r="G143" s="171">
        <v>143.1</v>
      </c>
      <c r="I143" s="176">
        <v>108.4</v>
      </c>
      <c r="J143" s="168">
        <v>1</v>
      </c>
      <c r="K143" s="168">
        <v>2001</v>
      </c>
      <c r="L143" s="177">
        <v>27280</v>
      </c>
      <c r="M143" s="178">
        <v>675.3</v>
      </c>
      <c r="N143" s="178">
        <f t="shared" si="4"/>
        <v>1006.3361300738007</v>
      </c>
      <c r="O143" s="177">
        <v>7776</v>
      </c>
      <c r="P143" s="178">
        <v>877</v>
      </c>
      <c r="Q143" s="178">
        <f t="shared" si="2"/>
        <v>1306.9106857318573</v>
      </c>
      <c r="R143" s="177">
        <v>10538</v>
      </c>
      <c r="S143" s="178">
        <v>164.1</v>
      </c>
      <c r="T143" s="178">
        <f t="shared" si="3"/>
        <v>244.54280904059041</v>
      </c>
    </row>
    <row r="144" spans="1:25" x14ac:dyDescent="0.2">
      <c r="A144" s="171">
        <v>2</v>
      </c>
      <c r="B144" s="171"/>
      <c r="C144" s="171">
        <f>+E144-E143</f>
        <v>140.45999999999998</v>
      </c>
      <c r="D144" s="171">
        <f>+G144-G143</f>
        <v>125.70000000000002</v>
      </c>
      <c r="E144" s="171">
        <v>298.95999999999998</v>
      </c>
      <c r="G144" s="171">
        <v>268.8</v>
      </c>
      <c r="I144" s="176">
        <v>109.6</v>
      </c>
      <c r="J144" s="168">
        <v>2</v>
      </c>
      <c r="L144" s="177">
        <v>17111</v>
      </c>
      <c r="M144" s="178">
        <v>452</v>
      </c>
      <c r="N144" s="178">
        <f t="shared" si="4"/>
        <v>666.19823600973245</v>
      </c>
      <c r="O144" s="177">
        <v>5711</v>
      </c>
      <c r="P144" s="178">
        <v>923</v>
      </c>
      <c r="Q144" s="178">
        <f t="shared" si="2"/>
        <v>1360.4003801703163</v>
      </c>
      <c r="R144" s="177">
        <v>11841</v>
      </c>
      <c r="S144" s="178">
        <v>190.29999999999998</v>
      </c>
      <c r="T144" s="178">
        <f t="shared" si="3"/>
        <v>280.48124847931877</v>
      </c>
    </row>
    <row r="145" spans="1:20" x14ac:dyDescent="0.2">
      <c r="A145" s="171">
        <v>3</v>
      </c>
      <c r="C145" s="171">
        <f>+E145-E144</f>
        <v>134.24</v>
      </c>
      <c r="D145" s="171">
        <f>+G145-G144</f>
        <v>119.19999999999999</v>
      </c>
      <c r="E145" s="171">
        <v>433.2</v>
      </c>
      <c r="G145" s="171">
        <v>388</v>
      </c>
      <c r="I145" s="176">
        <v>108.1</v>
      </c>
      <c r="J145" s="168">
        <v>3</v>
      </c>
      <c r="L145" s="177">
        <v>16407</v>
      </c>
      <c r="M145" s="178">
        <v>400.40000000000009</v>
      </c>
      <c r="N145" s="178">
        <f t="shared" si="4"/>
        <v>598.33440024668539</v>
      </c>
      <c r="O145" s="177">
        <v>15359</v>
      </c>
      <c r="P145" s="178">
        <v>1172.1999999999998</v>
      </c>
      <c r="Q145" s="178">
        <f t="shared" si="2"/>
        <v>1751.6672926302808</v>
      </c>
      <c r="R145" s="177">
        <v>13534</v>
      </c>
      <c r="S145" s="178">
        <v>158.5</v>
      </c>
      <c r="T145" s="178">
        <f t="shared" si="3"/>
        <v>236.85315294480421</v>
      </c>
    </row>
    <row r="146" spans="1:20" x14ac:dyDescent="0.2">
      <c r="A146" s="171">
        <v>4</v>
      </c>
      <c r="C146" s="171">
        <f>+E146-E145</f>
        <v>137.49520000000001</v>
      </c>
      <c r="D146" s="171">
        <f>+G146-G145</f>
        <v>124.07220000000007</v>
      </c>
      <c r="E146" s="180">
        <v>570.6952</v>
      </c>
      <c r="F146" s="186"/>
      <c r="G146" s="180">
        <v>512.07220000000007</v>
      </c>
      <c r="I146" s="176">
        <v>108.7</v>
      </c>
      <c r="J146" s="168">
        <v>4</v>
      </c>
      <c r="L146" s="177">
        <v>16945</v>
      </c>
      <c r="M146" s="178">
        <v>509.39999999999986</v>
      </c>
      <c r="N146" s="178">
        <f t="shared" si="4"/>
        <v>757.01588776448921</v>
      </c>
      <c r="O146" s="177">
        <v>9601</v>
      </c>
      <c r="P146" s="178">
        <v>803.30000000000018</v>
      </c>
      <c r="Q146" s="178">
        <f t="shared" si="2"/>
        <v>1193.7786859858943</v>
      </c>
      <c r="R146" s="177">
        <v>12341</v>
      </c>
      <c r="S146" s="178">
        <v>258.5</v>
      </c>
      <c r="T146" s="178">
        <f t="shared" si="3"/>
        <v>384.1550981294082</v>
      </c>
    </row>
    <row r="147" spans="1:20" x14ac:dyDescent="0.2">
      <c r="A147" s="171">
        <v>1</v>
      </c>
      <c r="B147" s="171">
        <v>2002</v>
      </c>
      <c r="C147" s="171">
        <f>+E147</f>
        <v>155.81399999999999</v>
      </c>
      <c r="D147" s="171">
        <f>+G147</f>
        <v>141.72399999999999</v>
      </c>
      <c r="E147" s="180">
        <v>155.81399999999999</v>
      </c>
      <c r="F147" s="186"/>
      <c r="G147" s="180">
        <v>141.72399999999999</v>
      </c>
      <c r="I147" s="176">
        <v>109.3</v>
      </c>
      <c r="J147" s="168">
        <v>1</v>
      </c>
      <c r="K147" s="168">
        <v>2002</v>
      </c>
      <c r="L147" s="177">
        <v>17523</v>
      </c>
      <c r="M147" s="178">
        <v>466.5</v>
      </c>
      <c r="N147" s="178">
        <f t="shared" si="4"/>
        <v>689.45683897529739</v>
      </c>
      <c r="O147" s="177">
        <v>6856</v>
      </c>
      <c r="P147" s="178">
        <v>820.40000000000009</v>
      </c>
      <c r="Q147" s="178">
        <f t="shared" si="2"/>
        <v>1212.4981579749926</v>
      </c>
      <c r="R147" s="177">
        <v>9371</v>
      </c>
      <c r="S147" s="178">
        <v>197.9</v>
      </c>
      <c r="T147" s="178">
        <f t="shared" si="3"/>
        <v>292.48340500152489</v>
      </c>
    </row>
    <row r="148" spans="1:20" x14ac:dyDescent="0.2">
      <c r="A148" s="171">
        <v>2</v>
      </c>
      <c r="B148" s="171"/>
      <c r="C148" s="171">
        <f>+E148-E147</f>
        <v>146.54300000000003</v>
      </c>
      <c r="D148" s="171">
        <f>+G148-G147</f>
        <v>133.19</v>
      </c>
      <c r="E148" s="171">
        <v>302.35700000000003</v>
      </c>
      <c r="G148" s="171">
        <v>274.91399999999999</v>
      </c>
      <c r="I148" s="176">
        <v>110</v>
      </c>
      <c r="J148" s="168">
        <v>2</v>
      </c>
      <c r="L148" s="177">
        <v>17469</v>
      </c>
      <c r="M148" s="178">
        <v>408.5</v>
      </c>
      <c r="N148" s="178">
        <f t="shared" si="4"/>
        <v>599.8946287878789</v>
      </c>
      <c r="O148" s="177">
        <v>9323</v>
      </c>
      <c r="P148" s="178">
        <v>689.09999999999991</v>
      </c>
      <c r="Q148" s="178">
        <f t="shared" si="2"/>
        <v>1011.9642318181818</v>
      </c>
      <c r="R148" s="177">
        <v>14749</v>
      </c>
      <c r="S148" s="178">
        <v>233.49999999999997</v>
      </c>
      <c r="T148" s="178">
        <f t="shared" si="3"/>
        <v>342.90182575757581</v>
      </c>
    </row>
    <row r="149" spans="1:20" x14ac:dyDescent="0.2">
      <c r="A149" s="171">
        <v>3</v>
      </c>
      <c r="C149" s="171">
        <f>+E149-E148</f>
        <v>146.23099999999999</v>
      </c>
      <c r="D149" s="171">
        <f>+G149-G148</f>
        <v>127.14100000000002</v>
      </c>
      <c r="E149" s="171">
        <v>448.58800000000002</v>
      </c>
      <c r="G149" s="171">
        <v>402.05500000000001</v>
      </c>
      <c r="I149" s="176">
        <v>109.6</v>
      </c>
      <c r="J149" s="168">
        <v>3</v>
      </c>
      <c r="L149" s="177">
        <v>19641</v>
      </c>
      <c r="M149" s="178">
        <v>503</v>
      </c>
      <c r="N149" s="178">
        <f t="shared" si="4"/>
        <v>741.36662104622883</v>
      </c>
      <c r="O149" s="177">
        <v>17422</v>
      </c>
      <c r="P149" s="178">
        <v>895.90000000000009</v>
      </c>
      <c r="Q149" s="178">
        <f t="shared" si="2"/>
        <v>1320.4579638077862</v>
      </c>
      <c r="R149" s="177">
        <v>14722</v>
      </c>
      <c r="S149" s="178">
        <v>184.5</v>
      </c>
      <c r="T149" s="178">
        <f t="shared" si="3"/>
        <v>271.93268704379568</v>
      </c>
    </row>
    <row r="150" spans="1:20" x14ac:dyDescent="0.2">
      <c r="A150" s="171">
        <v>4</v>
      </c>
      <c r="C150" s="171">
        <f>+E150-E149</f>
        <v>137.96699999999993</v>
      </c>
      <c r="D150" s="171">
        <f>+G150-G149</f>
        <v>124.64100000000002</v>
      </c>
      <c r="E150" s="180">
        <v>586.55499999999995</v>
      </c>
      <c r="F150" s="186"/>
      <c r="G150" s="180">
        <v>526.69600000000003</v>
      </c>
      <c r="I150" s="176">
        <v>111</v>
      </c>
      <c r="J150" s="168">
        <v>4</v>
      </c>
      <c r="L150" s="177">
        <v>17442</v>
      </c>
      <c r="M150" s="178">
        <v>464.20000000000005</v>
      </c>
      <c r="N150" s="178">
        <f t="shared" si="4"/>
        <v>675.55039939939957</v>
      </c>
      <c r="O150" s="177">
        <v>8123</v>
      </c>
      <c r="P150" s="178">
        <v>938.5</v>
      </c>
      <c r="Q150" s="178">
        <f t="shared" si="2"/>
        <v>1365.799331831832</v>
      </c>
      <c r="R150" s="177">
        <v>14689</v>
      </c>
      <c r="S150" s="178">
        <v>194.00000000000011</v>
      </c>
      <c r="T150" s="178">
        <f t="shared" si="3"/>
        <v>282.32825825825847</v>
      </c>
    </row>
    <row r="151" spans="1:20" x14ac:dyDescent="0.2">
      <c r="A151" s="171">
        <v>1</v>
      </c>
      <c r="B151" s="171">
        <v>2003</v>
      </c>
      <c r="C151" s="180">
        <f>+E151</f>
        <v>165.679</v>
      </c>
      <c r="D151" s="171">
        <f>+G151</f>
        <v>150.81100000000001</v>
      </c>
      <c r="E151" s="180">
        <v>165.679</v>
      </c>
      <c r="F151" s="186"/>
      <c r="G151" s="180">
        <v>150.81100000000001</v>
      </c>
      <c r="I151" s="176">
        <v>114.6</v>
      </c>
      <c r="J151" s="168">
        <v>1</v>
      </c>
      <c r="K151" s="168">
        <v>2003</v>
      </c>
      <c r="L151" s="177">
        <v>22781</v>
      </c>
      <c r="M151" s="178">
        <v>626.79999999999995</v>
      </c>
      <c r="N151" s="178">
        <f t="shared" si="4"/>
        <v>883.52728912158238</v>
      </c>
      <c r="O151" s="177">
        <v>6823</v>
      </c>
      <c r="P151" s="178">
        <v>1087.2</v>
      </c>
      <c r="Q151" s="178">
        <f t="shared" si="2"/>
        <v>1532.4997905759167</v>
      </c>
      <c r="R151" s="177">
        <v>10626</v>
      </c>
      <c r="S151" s="178">
        <v>183</v>
      </c>
      <c r="T151" s="178">
        <f t="shared" si="3"/>
        <v>257.95388307155326</v>
      </c>
    </row>
    <row r="152" spans="1:20" x14ac:dyDescent="0.2">
      <c r="A152" s="171">
        <v>2</v>
      </c>
      <c r="B152" s="171"/>
      <c r="C152" s="180">
        <f>+E152-E151</f>
        <v>135.02099999999999</v>
      </c>
      <c r="D152" s="171">
        <f>+G152-G151</f>
        <v>121.10099999999997</v>
      </c>
      <c r="E152" s="171">
        <v>300.7</v>
      </c>
      <c r="G152" s="171">
        <v>271.91199999999998</v>
      </c>
      <c r="I152" s="176">
        <v>112.3</v>
      </c>
      <c r="J152" s="168">
        <v>2</v>
      </c>
      <c r="L152" s="177">
        <v>15417</v>
      </c>
      <c r="M152" s="178">
        <v>406.10000000000014</v>
      </c>
      <c r="N152" s="178">
        <f t="shared" si="4"/>
        <v>584.15598545562511</v>
      </c>
      <c r="O152" s="177">
        <v>5618</v>
      </c>
      <c r="P152" s="178">
        <v>817.8</v>
      </c>
      <c r="Q152" s="178">
        <f t="shared" si="2"/>
        <v>1176.3673107747106</v>
      </c>
      <c r="R152" s="177">
        <v>12719</v>
      </c>
      <c r="S152" s="178">
        <v>203.2</v>
      </c>
      <c r="T152" s="178">
        <f t="shared" si="3"/>
        <v>292.29376075986943</v>
      </c>
    </row>
    <row r="153" spans="1:20" x14ac:dyDescent="0.2">
      <c r="A153" s="171">
        <v>3</v>
      </c>
      <c r="B153" s="171"/>
      <c r="C153" s="180">
        <f>+E153-E152</f>
        <v>134.11099999999999</v>
      </c>
      <c r="D153" s="171">
        <f>+G153-G152</f>
        <v>119.49100000000004</v>
      </c>
      <c r="E153" s="171">
        <v>434.81099999999998</v>
      </c>
      <c r="G153" s="171">
        <v>391.40300000000002</v>
      </c>
      <c r="I153" s="176">
        <v>111.9</v>
      </c>
      <c r="J153" s="168">
        <v>3</v>
      </c>
      <c r="L153" s="177">
        <v>18848</v>
      </c>
      <c r="M153" s="178">
        <v>430.5</v>
      </c>
      <c r="N153" s="178">
        <f t="shared" si="4"/>
        <v>621.46785075960679</v>
      </c>
      <c r="O153" s="177">
        <v>16056</v>
      </c>
      <c r="P153" s="178">
        <v>860.19999999999982</v>
      </c>
      <c r="Q153" s="178">
        <f t="shared" si="2"/>
        <v>1241.7808251414951</v>
      </c>
      <c r="R153" s="177">
        <v>13690</v>
      </c>
      <c r="S153" s="178">
        <v>188.8</v>
      </c>
      <c r="T153" s="178">
        <f t="shared" si="3"/>
        <v>272.55082514149541</v>
      </c>
    </row>
    <row r="154" spans="1:20" x14ac:dyDescent="0.2">
      <c r="A154" s="171">
        <v>4</v>
      </c>
      <c r="B154" s="171"/>
      <c r="C154" s="180">
        <f>+E154-E153</f>
        <v>142.01299999999998</v>
      </c>
      <c r="D154" s="171">
        <f>+G154-G153</f>
        <v>125.95899999999995</v>
      </c>
      <c r="E154" s="171">
        <v>576.82399999999996</v>
      </c>
      <c r="G154" s="171">
        <v>517.36199999999997</v>
      </c>
      <c r="I154" s="176">
        <v>112.6</v>
      </c>
      <c r="J154" s="168">
        <v>4</v>
      </c>
      <c r="L154" s="177">
        <v>16096</v>
      </c>
      <c r="M154" s="178">
        <v>471.89999999999986</v>
      </c>
      <c r="N154" s="178">
        <f t="shared" si="4"/>
        <v>676.99768650088799</v>
      </c>
      <c r="O154" s="177">
        <v>7652</v>
      </c>
      <c r="P154" s="178">
        <v>762.30000000000018</v>
      </c>
      <c r="Q154" s="178">
        <f t="shared" si="2"/>
        <v>1093.6116474245121</v>
      </c>
      <c r="R154" s="177">
        <v>11607</v>
      </c>
      <c r="S154" s="178">
        <v>220.90000000000009</v>
      </c>
      <c r="T154" s="178">
        <f t="shared" si="3"/>
        <v>316.90779603315593</v>
      </c>
    </row>
    <row r="155" spans="1:20" x14ac:dyDescent="0.2">
      <c r="A155" s="171">
        <v>1</v>
      </c>
      <c r="B155" s="171">
        <v>2004</v>
      </c>
      <c r="C155" s="180">
        <f>+E155</f>
        <v>168.309</v>
      </c>
      <c r="D155" s="171">
        <f>+G155</f>
        <v>153.04300000000001</v>
      </c>
      <c r="E155" s="171">
        <v>168.309</v>
      </c>
      <c r="G155" s="171">
        <v>153.04300000000001</v>
      </c>
      <c r="I155" s="176">
        <v>112.6</v>
      </c>
      <c r="J155" s="168">
        <v>1</v>
      </c>
      <c r="K155" s="168">
        <v>2004</v>
      </c>
      <c r="L155" s="177">
        <v>17805</v>
      </c>
      <c r="M155" s="178">
        <v>517.69999999999993</v>
      </c>
      <c r="N155" s="178">
        <f t="shared" si="4"/>
        <v>742.70333185316758</v>
      </c>
      <c r="O155" s="177">
        <v>7033</v>
      </c>
      <c r="P155" s="178">
        <v>735.2</v>
      </c>
      <c r="Q155" s="178">
        <f t="shared" si="2"/>
        <v>1054.7334162226173</v>
      </c>
      <c r="R155" s="177">
        <v>8913</v>
      </c>
      <c r="S155" s="178">
        <v>178.89999999999998</v>
      </c>
      <c r="T155" s="178">
        <f t="shared" si="3"/>
        <v>256.65371077560684</v>
      </c>
    </row>
    <row r="156" spans="1:20" x14ac:dyDescent="0.2">
      <c r="A156" s="171">
        <v>2</v>
      </c>
      <c r="B156" s="171"/>
      <c r="C156" s="180">
        <f>+E156-E155</f>
        <v>140.26700000000002</v>
      </c>
      <c r="D156" s="171">
        <f>+G156-G155</f>
        <v>125.56799999999998</v>
      </c>
      <c r="E156" s="171">
        <v>308.57600000000002</v>
      </c>
      <c r="G156" s="171">
        <v>278.61099999999999</v>
      </c>
      <c r="I156" s="176">
        <v>113.4</v>
      </c>
      <c r="J156" s="168">
        <v>2</v>
      </c>
      <c r="L156" s="177">
        <v>13855</v>
      </c>
      <c r="M156" s="178">
        <v>344.69999999999993</v>
      </c>
      <c r="N156" s="178">
        <f t="shared" si="4"/>
        <v>491.02525132275127</v>
      </c>
      <c r="O156" s="177">
        <v>6436</v>
      </c>
      <c r="P156" s="178">
        <v>708.3</v>
      </c>
      <c r="Q156" s="178">
        <f t="shared" si="2"/>
        <v>1008.9735582010582</v>
      </c>
      <c r="R156" s="177">
        <v>10802</v>
      </c>
      <c r="S156" s="178">
        <v>228.40000000000003</v>
      </c>
      <c r="T156" s="178">
        <f t="shared" si="3"/>
        <v>325.3558671369783</v>
      </c>
    </row>
    <row r="157" spans="1:20" x14ac:dyDescent="0.2">
      <c r="A157" s="171">
        <v>3</v>
      </c>
      <c r="B157" s="171"/>
      <c r="C157" s="180">
        <f>+E157-E156</f>
        <v>137.76999999999998</v>
      </c>
      <c r="D157" s="171">
        <f>+G157-G156</f>
        <v>123.12100000000004</v>
      </c>
      <c r="E157" s="171">
        <v>446.346</v>
      </c>
      <c r="G157" s="171">
        <v>401.73200000000003</v>
      </c>
      <c r="I157" s="176">
        <v>113</v>
      </c>
      <c r="J157" s="168">
        <v>3</v>
      </c>
      <c r="L157" s="177">
        <v>17630</v>
      </c>
      <c r="M157" s="178">
        <v>454.09999999999991</v>
      </c>
      <c r="N157" s="178">
        <f t="shared" si="4"/>
        <v>649.15537315634208</v>
      </c>
      <c r="O157" s="177">
        <v>11805</v>
      </c>
      <c r="P157" s="178">
        <v>652.69999999999982</v>
      </c>
      <c r="Q157" s="178">
        <f t="shared" si="2"/>
        <v>933.06256784660764</v>
      </c>
      <c r="R157" s="177">
        <v>11365</v>
      </c>
      <c r="S157" s="178">
        <v>160.7999999999999</v>
      </c>
      <c r="T157" s="178">
        <f t="shared" si="3"/>
        <v>229.87047787610609</v>
      </c>
    </row>
    <row r="158" spans="1:20" x14ac:dyDescent="0.2">
      <c r="A158" s="171">
        <v>4</v>
      </c>
      <c r="B158" s="171"/>
      <c r="C158" s="180">
        <f>+E158-E157</f>
        <v>137.68499999999995</v>
      </c>
      <c r="D158" s="171">
        <f>+G158-G157</f>
        <v>124.50600000000003</v>
      </c>
      <c r="E158" s="171">
        <v>584.03099999999995</v>
      </c>
      <c r="G158" s="171">
        <v>526.23800000000006</v>
      </c>
      <c r="I158" s="176">
        <v>114</v>
      </c>
      <c r="J158" s="168">
        <v>4</v>
      </c>
      <c r="L158" s="177">
        <v>16674</v>
      </c>
      <c r="M158" s="178">
        <v>428.20000000000027</v>
      </c>
      <c r="N158" s="178">
        <f t="shared" si="4"/>
        <v>606.76065204678412</v>
      </c>
      <c r="O158" s="177">
        <v>10088</v>
      </c>
      <c r="P158" s="178">
        <v>709.40000000000055</v>
      </c>
      <c r="Q158" s="178">
        <f t="shared" si="2"/>
        <v>1005.2218742690068</v>
      </c>
      <c r="R158" s="177">
        <v>9276</v>
      </c>
      <c r="S158" s="178">
        <v>162.90000000000009</v>
      </c>
      <c r="T158" s="178">
        <f t="shared" si="3"/>
        <v>230.82977631578964</v>
      </c>
    </row>
    <row r="159" spans="1:20" x14ac:dyDescent="0.2">
      <c r="A159" s="171">
        <v>1</v>
      </c>
      <c r="B159" s="171">
        <v>2005</v>
      </c>
      <c r="C159" s="180">
        <f>+E159</f>
        <v>147.31100000000001</v>
      </c>
      <c r="D159" s="171">
        <f>+G159</f>
        <v>133.756</v>
      </c>
      <c r="E159" s="171">
        <v>147.31100000000001</v>
      </c>
      <c r="G159" s="171">
        <v>133.756</v>
      </c>
      <c r="I159" s="176">
        <v>113.7</v>
      </c>
      <c r="J159" s="168">
        <v>1</v>
      </c>
      <c r="K159" s="168">
        <v>2005</v>
      </c>
      <c r="L159" s="177">
        <v>15151</v>
      </c>
      <c r="M159" s="178">
        <v>418</v>
      </c>
      <c r="N159" s="178">
        <f t="shared" si="4"/>
        <v>593.87003811199065</v>
      </c>
      <c r="O159" s="177">
        <v>7287</v>
      </c>
      <c r="P159" s="178">
        <v>715.2</v>
      </c>
      <c r="Q159" s="178">
        <f t="shared" si="2"/>
        <v>1016.114476693052</v>
      </c>
      <c r="R159" s="177">
        <v>7498</v>
      </c>
      <c r="S159" s="178">
        <v>159.69999999999999</v>
      </c>
      <c r="T159" s="178">
        <f t="shared" si="3"/>
        <v>226.89245236001176</v>
      </c>
    </row>
    <row r="160" spans="1:20" x14ac:dyDescent="0.2">
      <c r="A160" s="171">
        <v>2</v>
      </c>
      <c r="B160" s="171"/>
      <c r="C160" s="180">
        <f>+E160-E159</f>
        <v>143.51699999999997</v>
      </c>
      <c r="D160" s="171">
        <f>+G160-G159</f>
        <v>128.79</v>
      </c>
      <c r="E160" s="171">
        <v>290.82799999999997</v>
      </c>
      <c r="G160" s="171">
        <v>262.54599999999999</v>
      </c>
      <c r="I160" s="176">
        <v>115.2</v>
      </c>
      <c r="J160" s="168">
        <v>2</v>
      </c>
      <c r="L160" s="177">
        <v>14855</v>
      </c>
      <c r="M160" s="178">
        <v>323.20000000000005</v>
      </c>
      <c r="N160" s="178">
        <f t="shared" si="4"/>
        <v>453.20476851851862</v>
      </c>
      <c r="O160" s="177">
        <v>6172</v>
      </c>
      <c r="P160" s="178">
        <v>745.5</v>
      </c>
      <c r="Q160" s="178">
        <f t="shared" si="2"/>
        <v>1045.3717664930557</v>
      </c>
      <c r="R160" s="177">
        <v>11610</v>
      </c>
      <c r="S160" s="178">
        <v>152.50000000000006</v>
      </c>
      <c r="T160" s="178">
        <f t="shared" si="3"/>
        <v>213.84197771990753</v>
      </c>
    </row>
    <row r="161" spans="1:20" x14ac:dyDescent="0.2">
      <c r="A161" s="171">
        <v>3</v>
      </c>
      <c r="B161" s="171"/>
      <c r="C161" s="180">
        <f>+E161-E160</f>
        <v>134.78300000000002</v>
      </c>
      <c r="D161" s="171">
        <f>+G161-G160</f>
        <v>120.57100000000003</v>
      </c>
      <c r="E161" s="171">
        <v>425.61099999999999</v>
      </c>
      <c r="G161" s="171">
        <v>383.11700000000002</v>
      </c>
      <c r="I161" s="176">
        <v>115.1</v>
      </c>
      <c r="J161" s="168">
        <v>3</v>
      </c>
      <c r="L161" s="177">
        <v>13014</v>
      </c>
      <c r="M161" s="178">
        <v>448.29999999999995</v>
      </c>
      <c r="N161" s="178">
        <f t="shared" si="4"/>
        <v>629.1714581523313</v>
      </c>
      <c r="O161" s="177">
        <v>6734</v>
      </c>
      <c r="P161" s="178">
        <v>832.10000000000014</v>
      </c>
      <c r="Q161" s="178">
        <f t="shared" si="2"/>
        <v>1167.8196973646109</v>
      </c>
      <c r="R161" s="177">
        <v>8742</v>
      </c>
      <c r="S161" s="178">
        <v>152.99999999999994</v>
      </c>
      <c r="T161" s="178">
        <f t="shared" si="3"/>
        <v>214.72949609035615</v>
      </c>
    </row>
    <row r="162" spans="1:20" x14ac:dyDescent="0.2">
      <c r="A162" s="171">
        <v>4</v>
      </c>
      <c r="B162" s="171"/>
      <c r="C162" s="180">
        <f>+E162-E161</f>
        <v>137.37</v>
      </c>
      <c r="D162" s="171">
        <f>+G162-G161</f>
        <v>124.38200000000001</v>
      </c>
      <c r="E162" s="171">
        <v>562.98099999999999</v>
      </c>
      <c r="G162" s="171">
        <v>507.49900000000002</v>
      </c>
      <c r="I162" s="176">
        <v>116</v>
      </c>
      <c r="J162" s="168">
        <v>4</v>
      </c>
      <c r="L162" s="177">
        <v>22745</v>
      </c>
      <c r="M162" s="178">
        <v>478.79999999999995</v>
      </c>
      <c r="N162" s="178">
        <f t="shared" si="4"/>
        <v>666.76339655172421</v>
      </c>
      <c r="O162" s="177">
        <v>8144</v>
      </c>
      <c r="P162" s="178">
        <v>795.79999999999973</v>
      </c>
      <c r="Q162" s="178">
        <f t="shared" si="2"/>
        <v>1108.2086695402297</v>
      </c>
      <c r="R162" s="177">
        <v>11407</v>
      </c>
      <c r="S162" s="178">
        <v>142.00000000000006</v>
      </c>
      <c r="T162" s="178">
        <f t="shared" si="3"/>
        <v>197.74520114942541</v>
      </c>
    </row>
    <row r="163" spans="1:20" x14ac:dyDescent="0.2">
      <c r="A163" s="171">
        <v>1</v>
      </c>
      <c r="B163" s="171">
        <v>2006</v>
      </c>
      <c r="C163" s="180">
        <f>+E163</f>
        <v>155.21299999999999</v>
      </c>
      <c r="D163" s="171">
        <f>+G163</f>
        <v>139.72800000000001</v>
      </c>
      <c r="E163" s="171">
        <v>155.21299999999999</v>
      </c>
      <c r="G163" s="171">
        <v>139.72800000000001</v>
      </c>
      <c r="I163" s="176">
        <v>116.6</v>
      </c>
      <c r="J163" s="168">
        <v>1</v>
      </c>
      <c r="K163" s="168">
        <v>2006</v>
      </c>
      <c r="L163" s="177">
        <v>18196</v>
      </c>
      <c r="M163" s="178">
        <v>585</v>
      </c>
      <c r="N163" s="178">
        <f t="shared" si="4"/>
        <v>810.46247855917682</v>
      </c>
      <c r="O163" s="177">
        <v>6106</v>
      </c>
      <c r="P163" s="178">
        <v>947.2</v>
      </c>
      <c r="Q163" s="178">
        <f t="shared" si="2"/>
        <v>1312.256512292739</v>
      </c>
      <c r="R163" s="177">
        <v>7106</v>
      </c>
      <c r="S163" s="178">
        <v>150.6</v>
      </c>
      <c r="T163" s="178">
        <f t="shared" si="3"/>
        <v>208.64213550600346</v>
      </c>
    </row>
    <row r="164" spans="1:20" x14ac:dyDescent="0.2">
      <c r="A164" s="171">
        <v>2</v>
      </c>
      <c r="B164" s="171"/>
      <c r="C164" s="180">
        <f>+E164-E163</f>
        <v>147.44399999999999</v>
      </c>
      <c r="D164" s="171">
        <f>+G164-G163</f>
        <v>129.572</v>
      </c>
      <c r="E164" s="171">
        <v>302.65699999999998</v>
      </c>
      <c r="G164" s="171">
        <v>269.3</v>
      </c>
      <c r="I164" s="176">
        <v>117.9</v>
      </c>
      <c r="J164" s="168">
        <v>2</v>
      </c>
      <c r="L164" s="177">
        <v>13943</v>
      </c>
      <c r="M164" s="178">
        <v>433.79999999999995</v>
      </c>
      <c r="N164" s="178">
        <f t="shared" si="4"/>
        <v>594.36241730279892</v>
      </c>
      <c r="O164" s="177">
        <v>5246</v>
      </c>
      <c r="P164" s="178">
        <v>811.2</v>
      </c>
      <c r="Q164" s="178">
        <f t="shared" si="2"/>
        <v>1111.4494995759119</v>
      </c>
      <c r="R164" s="177">
        <v>9193</v>
      </c>
      <c r="S164" s="178">
        <v>176.1</v>
      </c>
      <c r="T164" s="178">
        <f t="shared" si="3"/>
        <v>241.27990245971162</v>
      </c>
    </row>
    <row r="165" spans="1:20" x14ac:dyDescent="0.2">
      <c r="A165" s="171">
        <v>3</v>
      </c>
      <c r="B165" s="171"/>
      <c r="C165" s="180">
        <f>+E165-E164</f>
        <v>143.45100000000002</v>
      </c>
      <c r="D165" s="171">
        <f>+G165-G164</f>
        <v>126.00599999999997</v>
      </c>
      <c r="E165" s="171">
        <v>446.108</v>
      </c>
      <c r="G165" s="171">
        <v>395.30599999999998</v>
      </c>
      <c r="I165" s="185">
        <v>117.3</v>
      </c>
      <c r="J165" s="168">
        <v>3</v>
      </c>
      <c r="L165" s="177">
        <v>13690</v>
      </c>
      <c r="M165" s="178">
        <v>496.59999999999991</v>
      </c>
      <c r="N165" s="178">
        <f t="shared" si="4"/>
        <v>683.88692526285877</v>
      </c>
      <c r="O165" s="177">
        <v>9450</v>
      </c>
      <c r="P165" s="178">
        <v>855.90000000000009</v>
      </c>
      <c r="Q165" s="178">
        <f t="shared" si="2"/>
        <v>1178.6927493606142</v>
      </c>
      <c r="R165" s="177">
        <v>10840</v>
      </c>
      <c r="S165" s="178">
        <v>167.10000000000002</v>
      </c>
      <c r="T165" s="178">
        <f t="shared" si="3"/>
        <v>230.11982523444166</v>
      </c>
    </row>
    <row r="166" spans="1:20" x14ac:dyDescent="0.2">
      <c r="A166" s="171">
        <v>4</v>
      </c>
      <c r="B166" s="171"/>
      <c r="C166" s="180">
        <f>+E166-E165</f>
        <v>148.56090999999998</v>
      </c>
      <c r="D166" s="171">
        <f>+G166-G165</f>
        <v>131.19532799999996</v>
      </c>
      <c r="E166" s="171">
        <v>594.66890999999998</v>
      </c>
      <c r="G166" s="171">
        <v>526.50132799999994</v>
      </c>
      <c r="I166" s="185">
        <v>119</v>
      </c>
      <c r="J166" s="168">
        <v>4</v>
      </c>
      <c r="L166" s="177">
        <v>16682</v>
      </c>
      <c r="M166" s="178">
        <v>525.60000000000014</v>
      </c>
      <c r="N166" s="178">
        <f t="shared" si="4"/>
        <v>713.48359663865574</v>
      </c>
      <c r="O166" s="177">
        <v>10233</v>
      </c>
      <c r="P166" s="178">
        <v>826</v>
      </c>
      <c r="Q166" s="178">
        <f t="shared" si="2"/>
        <v>1121.2660784313728</v>
      </c>
      <c r="R166" s="177">
        <v>9520</v>
      </c>
      <c r="S166" s="178">
        <v>144.09999999999997</v>
      </c>
      <c r="T166" s="178">
        <f t="shared" si="3"/>
        <v>195.61070448179268</v>
      </c>
    </row>
    <row r="167" spans="1:20" x14ac:dyDescent="0.2">
      <c r="A167" s="171">
        <v>1</v>
      </c>
      <c r="B167" s="171">
        <v>2007</v>
      </c>
      <c r="C167" s="180">
        <f>+E167</f>
        <v>158.09976</v>
      </c>
      <c r="D167" s="171">
        <f>+G167</f>
        <v>141.08400800000001</v>
      </c>
      <c r="E167" s="171">
        <v>158.09976</v>
      </c>
      <c r="G167" s="171">
        <v>141.08400800000001</v>
      </c>
      <c r="I167" s="185">
        <v>117.5</v>
      </c>
      <c r="J167" s="168">
        <v>1</v>
      </c>
      <c r="K167" s="168">
        <v>2007</v>
      </c>
      <c r="L167" s="177">
        <v>18623</v>
      </c>
      <c r="M167" s="178">
        <v>649.6</v>
      </c>
      <c r="N167" s="178">
        <f t="shared" si="4"/>
        <v>893.06639432624127</v>
      </c>
      <c r="O167" s="177">
        <v>7737</v>
      </c>
      <c r="P167" s="178">
        <v>1092.1999999999998</v>
      </c>
      <c r="Q167" s="178">
        <f t="shared" si="2"/>
        <v>1501.5503631205675</v>
      </c>
      <c r="R167" s="177">
        <v>8112</v>
      </c>
      <c r="S167" s="178">
        <v>167.4</v>
      </c>
      <c r="T167" s="178">
        <f t="shared" si="3"/>
        <v>230.14057021276599</v>
      </c>
    </row>
    <row r="168" spans="1:20" x14ac:dyDescent="0.2">
      <c r="A168" s="171">
        <v>2</v>
      </c>
      <c r="B168" s="171"/>
      <c r="C168" s="180">
        <f>+E168-E167</f>
        <v>161.61276000000004</v>
      </c>
      <c r="D168" s="171">
        <f>+G168-G167</f>
        <v>142.897008</v>
      </c>
      <c r="E168" s="171">
        <v>319.71252000000004</v>
      </c>
      <c r="G168" s="171">
        <v>283.98101600000001</v>
      </c>
      <c r="I168" s="185">
        <v>118.3</v>
      </c>
      <c r="J168" s="168">
        <v>2</v>
      </c>
      <c r="L168" s="177">
        <v>15831</v>
      </c>
      <c r="M168" s="178">
        <v>514.19999999999993</v>
      </c>
      <c r="N168" s="178">
        <f t="shared" si="4"/>
        <v>702.13872358410833</v>
      </c>
      <c r="O168" s="177">
        <v>5067</v>
      </c>
      <c r="P168" s="178">
        <v>1041.6999999999998</v>
      </c>
      <c r="Q168" s="178">
        <f t="shared" ref="Q168:Q189" si="5">P168/I168*$I$69</f>
        <v>1422.4385615666386</v>
      </c>
      <c r="R168" s="177">
        <v>10608</v>
      </c>
      <c r="S168" s="178">
        <v>160.99999999999997</v>
      </c>
      <c r="T168" s="178">
        <f t="shared" ref="T168:T189" si="6">S168/I168*$I$69</f>
        <v>219.84506903353056</v>
      </c>
    </row>
    <row r="169" spans="1:20" x14ac:dyDescent="0.2">
      <c r="A169" s="171">
        <v>3</v>
      </c>
      <c r="B169" s="171"/>
      <c r="C169" s="180">
        <f>+E169-E168</f>
        <v>135.82058024999998</v>
      </c>
      <c r="D169" s="171">
        <f>+G169-G168</f>
        <v>119.75308425000003</v>
      </c>
      <c r="E169" s="171">
        <v>455.53310025000002</v>
      </c>
      <c r="G169" s="171">
        <v>403.73410025000004</v>
      </c>
      <c r="I169" s="185">
        <v>117.8</v>
      </c>
      <c r="J169" s="168">
        <v>3</v>
      </c>
      <c r="L169" s="177">
        <v>18428</v>
      </c>
      <c r="M169" s="178">
        <v>654.20000000000027</v>
      </c>
      <c r="N169" s="178">
        <f t="shared" si="4"/>
        <v>897.09998019241709</v>
      </c>
      <c r="O169" s="177">
        <v>6417</v>
      </c>
      <c r="P169" s="178">
        <v>679.60000000000036</v>
      </c>
      <c r="Q169" s="178">
        <f t="shared" si="5"/>
        <v>931.93082625919703</v>
      </c>
      <c r="R169" s="177">
        <v>10319</v>
      </c>
      <c r="S169" s="178">
        <v>152.89999999999998</v>
      </c>
      <c r="T169" s="178">
        <f t="shared" si="6"/>
        <v>209.67072297679681</v>
      </c>
    </row>
    <row r="170" spans="1:20" x14ac:dyDescent="0.2">
      <c r="A170" s="171">
        <v>4</v>
      </c>
      <c r="B170" s="171"/>
      <c r="C170" s="180">
        <f>+E170-E169</f>
        <v>149.79139924999998</v>
      </c>
      <c r="D170" s="171">
        <f>+G170-G169</f>
        <v>133.49839924999998</v>
      </c>
      <c r="E170" s="171">
        <v>605.3244995</v>
      </c>
      <c r="G170" s="171">
        <v>537.23249950000002</v>
      </c>
      <c r="I170" s="185">
        <v>120.8</v>
      </c>
      <c r="J170" s="168">
        <v>4</v>
      </c>
      <c r="L170" s="177">
        <v>15870</v>
      </c>
      <c r="M170" s="178">
        <v>567.19999999999959</v>
      </c>
      <c r="N170" s="178">
        <f t="shared" si="4"/>
        <v>758.48131346578327</v>
      </c>
      <c r="O170" s="177">
        <v>5114</v>
      </c>
      <c r="P170" s="178">
        <v>911.69999999999982</v>
      </c>
      <c r="Q170" s="178">
        <f t="shared" si="5"/>
        <v>1219.1597557947018</v>
      </c>
      <c r="R170" s="177">
        <v>8645</v>
      </c>
      <c r="S170" s="178">
        <v>142.80000000000007</v>
      </c>
      <c r="T170" s="178">
        <f t="shared" si="6"/>
        <v>190.95756622516569</v>
      </c>
    </row>
    <row r="171" spans="1:20" x14ac:dyDescent="0.2">
      <c r="A171" s="171">
        <v>1</v>
      </c>
      <c r="B171" s="171">
        <v>2008</v>
      </c>
      <c r="C171" s="180">
        <f>+E171</f>
        <v>164.64169099999998</v>
      </c>
      <c r="D171" s="171">
        <f>+G171</f>
        <v>148.61369099999999</v>
      </c>
      <c r="E171" s="171">
        <v>164.64169099999998</v>
      </c>
      <c r="G171" s="171">
        <v>148.61369099999999</v>
      </c>
      <c r="I171" s="185">
        <v>121.9</v>
      </c>
      <c r="J171" s="168">
        <v>1</v>
      </c>
      <c r="K171" s="168">
        <v>2008</v>
      </c>
      <c r="L171" s="177">
        <v>17004</v>
      </c>
      <c r="M171" s="178">
        <v>591.9</v>
      </c>
      <c r="N171" s="178">
        <f t="shared" si="4"/>
        <v>784.36865873666943</v>
      </c>
      <c r="O171" s="177">
        <v>6274</v>
      </c>
      <c r="P171" s="178">
        <v>963.6</v>
      </c>
      <c r="Q171" s="178">
        <f t="shared" si="5"/>
        <v>1276.9346841673505</v>
      </c>
      <c r="R171" s="177">
        <v>7939</v>
      </c>
      <c r="S171" s="178">
        <v>160.1</v>
      </c>
      <c r="T171" s="178">
        <f t="shared" si="6"/>
        <v>212.15986190866832</v>
      </c>
    </row>
    <row r="172" spans="1:20" x14ac:dyDescent="0.2">
      <c r="A172" s="171">
        <v>2</v>
      </c>
      <c r="B172" s="171"/>
      <c r="C172" s="180">
        <f>+E172-E171</f>
        <v>197.28657850000002</v>
      </c>
      <c r="D172" s="171">
        <f>+G172-G171</f>
        <v>175.71357850000001</v>
      </c>
      <c r="E172" s="171">
        <v>361.9282695</v>
      </c>
      <c r="G172" s="171">
        <v>324.3272695</v>
      </c>
      <c r="I172" s="185">
        <v>122</v>
      </c>
      <c r="J172" s="168">
        <v>2</v>
      </c>
      <c r="L172" s="177">
        <v>14987</v>
      </c>
      <c r="M172" s="178">
        <v>548.4</v>
      </c>
      <c r="N172" s="178">
        <f t="shared" ref="N172:N181" si="7">M172/I172*$I$69</f>
        <v>726.12804918032793</v>
      </c>
      <c r="O172" s="177">
        <v>5831</v>
      </c>
      <c r="P172" s="178">
        <v>1153.8000000000002</v>
      </c>
      <c r="Q172" s="178">
        <f t="shared" si="5"/>
        <v>1527.7289262295087</v>
      </c>
      <c r="R172" s="177">
        <v>10207</v>
      </c>
      <c r="S172" s="178">
        <v>188.4</v>
      </c>
      <c r="T172" s="178">
        <f t="shared" si="6"/>
        <v>249.45755737704923</v>
      </c>
    </row>
    <row r="173" spans="1:20" x14ac:dyDescent="0.2">
      <c r="A173" s="171">
        <v>3</v>
      </c>
      <c r="B173" s="171"/>
      <c r="C173" s="180">
        <f>+E173-E172</f>
        <v>159.71767174999997</v>
      </c>
      <c r="D173" s="171">
        <f>+G173-G172</f>
        <v>141.40667174999999</v>
      </c>
      <c r="E173" s="171">
        <v>521.64594124999996</v>
      </c>
      <c r="G173" s="171">
        <v>465.73394124999999</v>
      </c>
      <c r="I173" s="185">
        <v>123.1</v>
      </c>
      <c r="J173" s="168">
        <v>3</v>
      </c>
      <c r="L173" s="177">
        <v>19290</v>
      </c>
      <c r="M173" s="178">
        <v>722.70000000000027</v>
      </c>
      <c r="N173" s="178">
        <f t="shared" si="7"/>
        <v>948.3651787164913</v>
      </c>
      <c r="O173" s="177">
        <v>12252</v>
      </c>
      <c r="P173" s="178">
        <v>1486.4999999999995</v>
      </c>
      <c r="Q173" s="178">
        <f t="shared" si="5"/>
        <v>1950.6639520714864</v>
      </c>
      <c r="R173" s="177">
        <v>11007</v>
      </c>
      <c r="S173" s="178">
        <v>186.29999999999995</v>
      </c>
      <c r="T173" s="178">
        <f t="shared" si="6"/>
        <v>244.47271730300568</v>
      </c>
    </row>
    <row r="174" spans="1:20" x14ac:dyDescent="0.2">
      <c r="A174" s="171">
        <v>4</v>
      </c>
      <c r="B174" s="171"/>
      <c r="C174" s="180">
        <f>+E174-E173</f>
        <v>170.05706974999998</v>
      </c>
      <c r="D174" s="171">
        <f>+G174-G173</f>
        <v>152.54014889999991</v>
      </c>
      <c r="E174" s="171">
        <v>691.70301099999995</v>
      </c>
      <c r="G174" s="171">
        <v>618.27409014999989</v>
      </c>
      <c r="I174" s="176">
        <v>124.7</v>
      </c>
      <c r="J174" s="168">
        <v>4</v>
      </c>
      <c r="L174" s="177">
        <v>16976</v>
      </c>
      <c r="M174" s="178">
        <v>703.10000000000014</v>
      </c>
      <c r="N174" s="178">
        <f t="shared" si="7"/>
        <v>910.80675354183404</v>
      </c>
      <c r="O174" s="177">
        <v>7247</v>
      </c>
      <c r="P174" s="178">
        <v>1160</v>
      </c>
      <c r="Q174" s="178">
        <f t="shared" si="5"/>
        <v>1502.682170542636</v>
      </c>
      <c r="R174" s="177">
        <v>10145</v>
      </c>
      <c r="S174" s="178">
        <v>269.60000000000014</v>
      </c>
      <c r="T174" s="178">
        <f t="shared" si="6"/>
        <v>349.24406308473692</v>
      </c>
    </row>
    <row r="175" spans="1:20" x14ac:dyDescent="0.2">
      <c r="A175" s="171">
        <v>1</v>
      </c>
      <c r="B175" s="171">
        <v>2009</v>
      </c>
      <c r="C175" s="180">
        <f>+E175</f>
        <v>191.37959499999999</v>
      </c>
      <c r="D175" s="171">
        <f>+G175</f>
        <v>172.55938714999999</v>
      </c>
      <c r="E175" s="171">
        <v>191.37959499999999</v>
      </c>
      <c r="G175" s="171">
        <v>172.55938714999999</v>
      </c>
      <c r="I175" s="176">
        <v>125</v>
      </c>
      <c r="J175" s="168">
        <v>1</v>
      </c>
      <c r="K175" s="168">
        <v>2009</v>
      </c>
      <c r="L175" s="177">
        <v>18865</v>
      </c>
      <c r="M175" s="178">
        <v>739.59999999999991</v>
      </c>
      <c r="N175" s="178">
        <f t="shared" si="7"/>
        <v>955.79001066666672</v>
      </c>
      <c r="O175" s="177">
        <v>6194</v>
      </c>
      <c r="P175" s="178">
        <v>1049.9000000000001</v>
      </c>
      <c r="Q175" s="178">
        <f t="shared" si="5"/>
        <v>1356.7927693333336</v>
      </c>
      <c r="R175" s="177">
        <v>8619</v>
      </c>
      <c r="S175" s="178">
        <v>213.2</v>
      </c>
      <c r="T175" s="178">
        <f t="shared" si="6"/>
        <v>275.51978133333336</v>
      </c>
    </row>
    <row r="176" spans="1:20" x14ac:dyDescent="0.2">
      <c r="A176" s="171">
        <v>2</v>
      </c>
      <c r="B176" s="171"/>
      <c r="C176" s="180">
        <f>+E176-E175</f>
        <v>178.90604250000001</v>
      </c>
      <c r="D176" s="171">
        <f>+G176-G175</f>
        <v>160.765232725</v>
      </c>
      <c r="E176" s="171">
        <v>370.28563750000001</v>
      </c>
      <c r="G176" s="171">
        <v>333.324619875</v>
      </c>
      <c r="I176" s="176">
        <v>125.7</v>
      </c>
      <c r="J176" s="168">
        <v>2</v>
      </c>
      <c r="L176" s="177">
        <v>14610</v>
      </c>
      <c r="M176" s="178">
        <v>603.80000000000018</v>
      </c>
      <c r="N176" s="178">
        <f t="shared" si="7"/>
        <v>775.94944842216944</v>
      </c>
      <c r="O176" s="177">
        <v>5486</v>
      </c>
      <c r="P176" s="178">
        <v>1077.9000000000001</v>
      </c>
      <c r="Q176" s="178">
        <f t="shared" si="5"/>
        <v>1385.2201233094672</v>
      </c>
      <c r="R176" s="177">
        <v>11296</v>
      </c>
      <c r="S176" s="178">
        <v>235.3</v>
      </c>
      <c r="T176" s="178">
        <f t="shared" si="6"/>
        <v>302.38639485547606</v>
      </c>
    </row>
    <row r="177" spans="1:20" x14ac:dyDescent="0.2">
      <c r="A177" s="171">
        <v>3</v>
      </c>
      <c r="B177" s="171"/>
      <c r="C177" s="180">
        <f>+E177-E176</f>
        <v>160.23377500000004</v>
      </c>
      <c r="D177" s="171">
        <f>+G177-G176</f>
        <v>142.31202375000004</v>
      </c>
      <c r="E177" s="171">
        <v>530.51941250000004</v>
      </c>
      <c r="G177" s="171">
        <v>475.63664362500003</v>
      </c>
      <c r="I177" s="176">
        <v>125.4</v>
      </c>
      <c r="J177" s="168">
        <v>3</v>
      </c>
      <c r="L177" s="177">
        <v>19220</v>
      </c>
      <c r="M177" s="178">
        <v>795.69999999999982</v>
      </c>
      <c r="N177" s="178">
        <f t="shared" si="7"/>
        <v>1025.0083878256246</v>
      </c>
      <c r="O177" s="177">
        <v>13278</v>
      </c>
      <c r="P177" s="178">
        <v>1278.0999999999999</v>
      </c>
      <c r="Q177" s="178">
        <f t="shared" si="5"/>
        <v>1646.4285792131845</v>
      </c>
      <c r="R177" s="177">
        <v>11383</v>
      </c>
      <c r="S177" s="178">
        <v>231.79999999999995</v>
      </c>
      <c r="T177" s="178">
        <f t="shared" si="6"/>
        <v>298.60116161616156</v>
      </c>
    </row>
    <row r="178" spans="1:20" x14ac:dyDescent="0.2">
      <c r="A178" s="171">
        <v>4</v>
      </c>
      <c r="B178" s="171"/>
      <c r="C178" s="180">
        <f>+E178-E177</f>
        <v>179.8571388695641</v>
      </c>
      <c r="D178" s="171">
        <f>+G178-G177</f>
        <v>163.53199924456408</v>
      </c>
      <c r="E178" s="171">
        <v>710.37655136956414</v>
      </c>
      <c r="G178" s="171">
        <v>639.16864286956411</v>
      </c>
      <c r="I178" s="176">
        <v>126.6</v>
      </c>
      <c r="J178" s="168">
        <v>4</v>
      </c>
      <c r="L178" s="177">
        <v>16838</v>
      </c>
      <c r="M178" s="178">
        <v>759.30000000000018</v>
      </c>
      <c r="N178" s="178">
        <f t="shared" si="7"/>
        <v>968.8472077409167</v>
      </c>
      <c r="O178" s="177">
        <v>6227</v>
      </c>
      <c r="P178" s="178">
        <v>1192.2000000000003</v>
      </c>
      <c r="Q178" s="178">
        <f t="shared" si="5"/>
        <v>1521.216437598737</v>
      </c>
      <c r="R178" s="177">
        <v>10409</v>
      </c>
      <c r="S178" s="178">
        <v>276.40000000000009</v>
      </c>
      <c r="T178" s="178">
        <f t="shared" si="6"/>
        <v>352.67926803580849</v>
      </c>
    </row>
    <row r="179" spans="1:20" x14ac:dyDescent="0.2">
      <c r="A179" s="171">
        <v>1</v>
      </c>
      <c r="B179" s="171">
        <v>2010</v>
      </c>
      <c r="C179" s="180">
        <f>+E179</f>
        <v>204.63648875000001</v>
      </c>
      <c r="D179" s="171">
        <f>+G179</f>
        <v>186.506571025</v>
      </c>
      <c r="E179" s="171">
        <v>204.63648875000001</v>
      </c>
      <c r="G179" s="171">
        <v>186.506571025</v>
      </c>
      <c r="I179" s="176">
        <v>128.69999999999999</v>
      </c>
      <c r="J179" s="168">
        <v>1</v>
      </c>
      <c r="K179" s="168">
        <v>2010</v>
      </c>
      <c r="L179" s="177">
        <v>40484.70904761905</v>
      </c>
      <c r="M179" s="178">
        <v>1693.2251146266974</v>
      </c>
      <c r="N179" s="178">
        <f t="shared" si="7"/>
        <v>2125.2584535737296</v>
      </c>
      <c r="O179" s="177">
        <v>6690</v>
      </c>
      <c r="P179" s="178">
        <v>1648.5</v>
      </c>
      <c r="Q179" s="178">
        <f t="shared" si="5"/>
        <v>2069.1215423465428</v>
      </c>
      <c r="R179" s="177">
        <v>7227</v>
      </c>
      <c r="S179" s="178">
        <v>243.10000000000002</v>
      </c>
      <c r="T179" s="178">
        <f t="shared" si="6"/>
        <v>305.12796296296307</v>
      </c>
    </row>
    <row r="180" spans="1:20" x14ac:dyDescent="0.2">
      <c r="A180" s="171">
        <v>2</v>
      </c>
      <c r="B180" s="171"/>
      <c r="C180" s="180">
        <f>+E180-E179</f>
        <v>188.95691625000001</v>
      </c>
      <c r="D180" s="171">
        <f>+G180-G179</f>
        <v>170.46253197500002</v>
      </c>
      <c r="E180" s="171">
        <v>393.59340500000002</v>
      </c>
      <c r="G180" s="171">
        <v>356.96910300000002</v>
      </c>
      <c r="I180" s="176">
        <v>128.9</v>
      </c>
      <c r="J180" s="168">
        <v>2</v>
      </c>
      <c r="L180" s="177">
        <v>20633.79583333333</v>
      </c>
      <c r="M180" s="178">
        <v>864.97098885712671</v>
      </c>
      <c r="N180" s="178">
        <f t="shared" si="7"/>
        <v>1083.9873694465905</v>
      </c>
      <c r="O180" s="177">
        <v>5716</v>
      </c>
      <c r="P180" s="178">
        <v>1381.6999999999998</v>
      </c>
      <c r="Q180" s="178">
        <f t="shared" si="5"/>
        <v>1731.5555870183605</v>
      </c>
      <c r="R180" s="177">
        <v>10696</v>
      </c>
      <c r="S180" s="178">
        <v>201.60000000000002</v>
      </c>
      <c r="T180" s="178">
        <f t="shared" si="6"/>
        <v>252.64645461598144</v>
      </c>
    </row>
    <row r="181" spans="1:20" x14ac:dyDescent="0.2">
      <c r="A181" s="171">
        <v>3</v>
      </c>
      <c r="B181" s="171"/>
      <c r="C181" s="180">
        <f>+E181-E180</f>
        <v>172.07737875000004</v>
      </c>
      <c r="D181" s="171">
        <f>+G181-G180</f>
        <v>154.15607493749997</v>
      </c>
      <c r="E181" s="171">
        <v>565.67078375000006</v>
      </c>
      <c r="G181" s="171">
        <v>511.12517793749998</v>
      </c>
      <c r="I181" s="176">
        <v>127.8</v>
      </c>
      <c r="J181" s="168">
        <v>3</v>
      </c>
      <c r="L181" s="177">
        <v>19149.335833333338</v>
      </c>
      <c r="M181" s="178">
        <v>861.71516601647909</v>
      </c>
      <c r="N181" s="178">
        <f t="shared" si="7"/>
        <v>1089.2021261843404</v>
      </c>
      <c r="O181" s="177">
        <v>9089</v>
      </c>
      <c r="P181" s="178">
        <v>1286.1999999999998</v>
      </c>
      <c r="Q181" s="178">
        <f t="shared" si="5"/>
        <v>1625.748077725613</v>
      </c>
      <c r="R181" s="177">
        <v>11532</v>
      </c>
      <c r="S181" s="178">
        <v>200.69999999999993</v>
      </c>
      <c r="T181" s="178">
        <f t="shared" si="6"/>
        <v>253.68343896713608</v>
      </c>
    </row>
    <row r="182" spans="1:20" x14ac:dyDescent="0.2">
      <c r="A182" s="171">
        <v>4</v>
      </c>
      <c r="B182" s="171"/>
      <c r="C182" s="180">
        <f>+E182-E181</f>
        <v>192.96143124999992</v>
      </c>
      <c r="D182" s="171">
        <f>+G182-G181</f>
        <v>174.39946771249993</v>
      </c>
      <c r="E182" s="171">
        <v>758.63221499999997</v>
      </c>
      <c r="G182" s="171">
        <v>685.52464564999991</v>
      </c>
      <c r="I182" s="176">
        <v>129</v>
      </c>
      <c r="J182" s="168">
        <v>4</v>
      </c>
      <c r="L182" s="177">
        <v>22322.361666666664</v>
      </c>
      <c r="M182" s="178">
        <v>889.84894905372039</v>
      </c>
      <c r="N182" s="178">
        <f t="shared" ref="N182" si="8">M182/I182*$I$69</f>
        <v>1114.3001251826067</v>
      </c>
      <c r="O182" s="177">
        <v>5858</v>
      </c>
      <c r="P182" s="178">
        <v>1310.8000000000011</v>
      </c>
      <c r="Q182" s="178">
        <f t="shared" si="5"/>
        <v>1641.4298242894072</v>
      </c>
      <c r="R182" s="177">
        <v>9548</v>
      </c>
      <c r="S182" s="178">
        <v>205</v>
      </c>
      <c r="T182" s="178">
        <f t="shared" si="6"/>
        <v>256.70820413436695</v>
      </c>
    </row>
    <row r="183" spans="1:20" x14ac:dyDescent="0.2">
      <c r="A183" s="171">
        <v>1</v>
      </c>
      <c r="B183" s="171">
        <v>2011</v>
      </c>
      <c r="C183" s="180">
        <f>+E183</f>
        <v>204.00503875000001</v>
      </c>
      <c r="D183" s="171">
        <f>+G183</f>
        <v>184.8599929625</v>
      </c>
      <c r="E183" s="171">
        <v>204.00503875000001</v>
      </c>
      <c r="G183" s="171">
        <v>184.8599929625</v>
      </c>
      <c r="I183" s="176">
        <v>130.19999999999999</v>
      </c>
      <c r="J183" s="168">
        <v>1</v>
      </c>
      <c r="K183" s="168">
        <v>2011</v>
      </c>
      <c r="L183" s="177">
        <v>26141.662648809524</v>
      </c>
      <c r="M183" s="178">
        <v>1061.4209517567813</v>
      </c>
      <c r="N183" s="178">
        <f t="shared" ref="N183:N186" si="9">M183/I183*$I$69</f>
        <v>1316.8983987086858</v>
      </c>
      <c r="O183" s="177">
        <v>5959</v>
      </c>
      <c r="P183" s="178">
        <v>1698.7</v>
      </c>
      <c r="Q183" s="178">
        <f t="shared" si="5"/>
        <v>2107.5665655401949</v>
      </c>
      <c r="R183" s="177">
        <v>6732</v>
      </c>
      <c r="S183" s="178">
        <v>156.5</v>
      </c>
      <c r="T183" s="178">
        <f t="shared" si="6"/>
        <v>194.16858038914495</v>
      </c>
    </row>
    <row r="184" spans="1:20" x14ac:dyDescent="0.2">
      <c r="A184" s="171">
        <v>2</v>
      </c>
      <c r="B184" s="171"/>
      <c r="C184" s="180">
        <f>+E184-E183</f>
        <v>188.74104374999999</v>
      </c>
      <c r="D184" s="171">
        <f>+G184-G183</f>
        <v>171.33320521249996</v>
      </c>
      <c r="E184" s="168">
        <v>392.7460825</v>
      </c>
      <c r="G184" s="168">
        <v>356.19319817499996</v>
      </c>
      <c r="I184" s="176">
        <v>131</v>
      </c>
      <c r="J184" s="168">
        <v>2</v>
      </c>
      <c r="L184" s="187">
        <v>18851.951101190472</v>
      </c>
      <c r="M184" s="188">
        <v>776.58308820124375</v>
      </c>
      <c r="N184" s="178">
        <f t="shared" si="9"/>
        <v>957.61784551818278</v>
      </c>
      <c r="O184" s="177">
        <v>7524</v>
      </c>
      <c r="P184" s="178">
        <v>1533.4000000000003</v>
      </c>
      <c r="Q184" s="178">
        <f t="shared" si="5"/>
        <v>1890.8616819338429</v>
      </c>
      <c r="R184" s="177">
        <v>10017</v>
      </c>
      <c r="S184" s="178">
        <v>197.79999999999995</v>
      </c>
      <c r="T184" s="178">
        <f t="shared" si="6"/>
        <v>243.91055216284983</v>
      </c>
    </row>
    <row r="185" spans="1:20" x14ac:dyDescent="0.2">
      <c r="A185" s="171">
        <v>3</v>
      </c>
      <c r="C185" s="180">
        <f>+E185-E184</f>
        <v>169.93391749999995</v>
      </c>
      <c r="D185" s="171">
        <f>+G185-G184</f>
        <v>151.69380182500004</v>
      </c>
      <c r="E185" s="168">
        <v>562.67999999999995</v>
      </c>
      <c r="G185" s="168">
        <v>507.887</v>
      </c>
      <c r="I185" s="176">
        <v>129.4</v>
      </c>
      <c r="J185" s="168">
        <v>3</v>
      </c>
      <c r="L185" s="187">
        <v>24107.386250000007</v>
      </c>
      <c r="M185" s="188">
        <v>914.64669811090494</v>
      </c>
      <c r="N185" s="178">
        <f t="shared" si="9"/>
        <v>1141.81223494337</v>
      </c>
      <c r="O185" s="177">
        <v>10171</v>
      </c>
      <c r="P185" s="178">
        <v>1285.3999999999996</v>
      </c>
      <c r="Q185" s="178">
        <f t="shared" si="5"/>
        <v>1604.6474008243172</v>
      </c>
      <c r="R185" s="177">
        <v>10339</v>
      </c>
      <c r="S185" s="178">
        <v>167.29999999999995</v>
      </c>
      <c r="T185" s="178">
        <f t="shared" si="6"/>
        <v>208.85133822771763</v>
      </c>
    </row>
    <row r="186" spans="1:20" x14ac:dyDescent="0.2">
      <c r="A186" s="168">
        <v>4</v>
      </c>
      <c r="C186" s="180">
        <f>+E186-E185</f>
        <v>202.17554500000006</v>
      </c>
      <c r="D186" s="171">
        <f>+G186-G185</f>
        <v>178.91908595000001</v>
      </c>
      <c r="E186" s="168">
        <v>764.85554500000001</v>
      </c>
      <c r="G186" s="168">
        <v>686.80608595000001</v>
      </c>
      <c r="I186" s="176">
        <v>130.5</v>
      </c>
      <c r="J186" s="168">
        <v>4</v>
      </c>
      <c r="L186" s="187">
        <v>18022.572976190484</v>
      </c>
      <c r="M186" s="178">
        <v>777.38419736292576</v>
      </c>
      <c r="N186" s="178">
        <f t="shared" si="9"/>
        <v>962.2785256833572</v>
      </c>
      <c r="O186" s="187">
        <v>8775.7956028314002</v>
      </c>
      <c r="P186" s="178">
        <v>1286.8626975018997</v>
      </c>
      <c r="Q186" s="178">
        <f t="shared" si="5"/>
        <v>1592.9322251593442</v>
      </c>
      <c r="R186" s="187">
        <v>9645.4866500746648</v>
      </c>
      <c r="S186" s="178">
        <v>181.103452008619</v>
      </c>
      <c r="T186" s="178">
        <f t="shared" si="6"/>
        <v>224.17739309107768</v>
      </c>
    </row>
    <row r="187" spans="1:20" x14ac:dyDescent="0.2">
      <c r="A187" s="168">
        <v>1</v>
      </c>
      <c r="B187" s="168">
        <v>2012</v>
      </c>
      <c r="C187" s="180">
        <f>+E187</f>
        <v>195.82938625</v>
      </c>
      <c r="D187" s="171">
        <f>+G187</f>
        <v>177.0717714875</v>
      </c>
      <c r="E187" s="168">
        <v>195.82938625</v>
      </c>
      <c r="G187" s="168">
        <v>177.0717714875</v>
      </c>
      <c r="I187" s="176">
        <v>131.69999999999999</v>
      </c>
      <c r="J187" s="168">
        <v>1</v>
      </c>
      <c r="K187" s="168">
        <v>2012</v>
      </c>
      <c r="L187" s="187">
        <v>18517.39324404762</v>
      </c>
      <c r="M187" s="178">
        <v>869.15461769403078</v>
      </c>
      <c r="N187" s="178">
        <f t="shared" ref="N187:N193" si="10">M187/I187*$I$69</f>
        <v>1066.0728044894781</v>
      </c>
      <c r="O187" s="177">
        <v>6822.44890070785</v>
      </c>
      <c r="P187" s="178">
        <v>1150.314057295883</v>
      </c>
      <c r="Q187" s="178">
        <f t="shared" si="5"/>
        <v>1410.9325408161085</v>
      </c>
      <c r="R187" s="177">
        <v>7564.3716625186662</v>
      </c>
      <c r="S187" s="178">
        <v>175.73767321176348</v>
      </c>
      <c r="T187" s="178">
        <f t="shared" si="6"/>
        <v>215.55330929769369</v>
      </c>
    </row>
    <row r="188" spans="1:20" x14ac:dyDescent="0.2">
      <c r="A188" s="168">
        <v>2</v>
      </c>
      <c r="C188" s="180">
        <f>+E188-E187</f>
        <v>182.75061374999999</v>
      </c>
      <c r="D188" s="171">
        <f>+G188-G187</f>
        <v>165.12822851249999</v>
      </c>
      <c r="E188" s="189">
        <v>378.58</v>
      </c>
      <c r="G188" s="189">
        <v>342.2</v>
      </c>
      <c r="I188" s="176">
        <v>131.69999999999999</v>
      </c>
      <c r="J188" s="168">
        <v>2</v>
      </c>
      <c r="L188" s="187">
        <v>14087.60675595238</v>
      </c>
      <c r="M188" s="178">
        <v>635.43152402028181</v>
      </c>
      <c r="N188" s="178">
        <f t="shared" si="10"/>
        <v>779.39672997491505</v>
      </c>
      <c r="O188" s="177">
        <v>4838.55109929215</v>
      </c>
      <c r="P188" s="178">
        <v>1037.7970664905204</v>
      </c>
      <c r="Q188" s="178">
        <f t="shared" si="5"/>
        <v>1272.9233747843675</v>
      </c>
      <c r="R188" s="177">
        <v>10002.628337481334</v>
      </c>
      <c r="S188" s="178">
        <v>184.20744441885319</v>
      </c>
      <c r="T188" s="178">
        <f t="shared" si="6"/>
        <v>225.94201639342586</v>
      </c>
    </row>
    <row r="189" spans="1:20" x14ac:dyDescent="0.2">
      <c r="A189" s="171">
        <v>3</v>
      </c>
      <c r="C189" s="180">
        <f>+E189-E188</f>
        <v>165.72960875000007</v>
      </c>
      <c r="D189" s="171">
        <f>+G189-G188</f>
        <v>148.24155396250001</v>
      </c>
      <c r="E189" s="168">
        <v>544.30960875000005</v>
      </c>
      <c r="G189" s="168">
        <v>490.4415539625</v>
      </c>
      <c r="I189" s="176">
        <v>130</v>
      </c>
      <c r="J189" s="168">
        <v>3</v>
      </c>
      <c r="L189" s="190">
        <v>20999.460714285713</v>
      </c>
      <c r="M189" s="191">
        <v>864.77367174435972</v>
      </c>
      <c r="N189" s="178">
        <f t="shared" si="10"/>
        <v>1074.5699818779306</v>
      </c>
      <c r="O189" s="190">
        <v>6828.0536397386386</v>
      </c>
      <c r="P189" s="191">
        <v>1132.0609213635664</v>
      </c>
      <c r="Q189" s="178">
        <f t="shared" si="5"/>
        <v>1406.7018036066791</v>
      </c>
      <c r="R189" s="190">
        <v>10877.781177428844</v>
      </c>
      <c r="S189" s="191">
        <v>190.02859425457928</v>
      </c>
      <c r="T189" s="178">
        <f t="shared" si="6"/>
        <v>236.13001847354602</v>
      </c>
    </row>
    <row r="190" spans="1:20" x14ac:dyDescent="0.2">
      <c r="A190" s="171">
        <v>4</v>
      </c>
      <c r="C190" s="180">
        <f>+E190-E189</f>
        <v>166.80539124999996</v>
      </c>
      <c r="D190" s="171">
        <f>+G190-G189</f>
        <v>151.72844603749996</v>
      </c>
      <c r="E190" s="168">
        <v>711.11500000000001</v>
      </c>
      <c r="G190" s="168">
        <v>642.16999999999996</v>
      </c>
      <c r="I190" s="176">
        <v>132</v>
      </c>
      <c r="J190" s="168">
        <v>4</v>
      </c>
      <c r="L190" s="190">
        <v>17946.539285714287</v>
      </c>
      <c r="M190" s="191">
        <v>826.79347775776318</v>
      </c>
      <c r="N190" s="178">
        <f t="shared" si="10"/>
        <v>1011.8093970292384</v>
      </c>
      <c r="O190" s="190">
        <v>5621.9463602613596</v>
      </c>
      <c r="P190" s="191">
        <v>1071.0118577206574</v>
      </c>
      <c r="Q190" s="178">
        <f t="shared" ref="Q190:Q227" si="11">P190/I190*$I$69</f>
        <v>1310.6778066396375</v>
      </c>
      <c r="R190" s="190">
        <v>8525.2188225711561</v>
      </c>
      <c r="S190" s="191">
        <v>190.41732478586363</v>
      </c>
      <c r="T190" s="178">
        <f t="shared" ref="T190:T227" si="12">S190/I190*$I$69</f>
        <v>233.0280097250033</v>
      </c>
    </row>
    <row r="191" spans="1:20" x14ac:dyDescent="0.2">
      <c r="A191" s="168">
        <v>1</v>
      </c>
      <c r="B191" s="168">
        <v>2013</v>
      </c>
      <c r="C191" s="180">
        <f>+E191</f>
        <v>199.180995</v>
      </c>
      <c r="D191" s="171">
        <f>+G191</f>
        <v>183.65288545000001</v>
      </c>
      <c r="E191" s="168">
        <v>199.180995</v>
      </c>
      <c r="G191" s="168">
        <v>183.65288545000001</v>
      </c>
      <c r="I191" s="176">
        <v>133</v>
      </c>
      <c r="J191" s="168">
        <v>1</v>
      </c>
      <c r="K191" s="168">
        <f>B191</f>
        <v>2013</v>
      </c>
      <c r="L191" s="190">
        <v>21974.571815476189</v>
      </c>
      <c r="M191" s="191">
        <v>1023.0812127444322</v>
      </c>
      <c r="N191" s="178">
        <f t="shared" si="10"/>
        <v>1242.60777422091</v>
      </c>
      <c r="O191" s="190">
        <v>5520.4451678348678</v>
      </c>
      <c r="P191" s="191">
        <v>1148.1840804128565</v>
      </c>
      <c r="Q191" s="178">
        <f t="shared" si="11"/>
        <v>1394.5544564643524</v>
      </c>
      <c r="R191" s="190">
        <v>5958.3970505452735</v>
      </c>
      <c r="S191" s="191">
        <v>167.84779905693762</v>
      </c>
      <c r="T191" s="178">
        <f t="shared" si="12"/>
        <v>203.86356175433042</v>
      </c>
    </row>
    <row r="192" spans="1:20" x14ac:dyDescent="0.2">
      <c r="A192" s="168">
        <v>2</v>
      </c>
      <c r="C192" s="180">
        <f>+E192-E191</f>
        <v>205.01500500000003</v>
      </c>
      <c r="D192" s="171">
        <f>+G192-G191</f>
        <v>185.63411454999996</v>
      </c>
      <c r="E192" s="168">
        <v>404.19600000000003</v>
      </c>
      <c r="G192" s="168">
        <v>369.28699999999998</v>
      </c>
      <c r="I192" s="176">
        <v>134.30000000000001</v>
      </c>
      <c r="J192" s="168">
        <v>2</v>
      </c>
      <c r="L192" s="190">
        <v>23960.428184523811</v>
      </c>
      <c r="M192" s="191">
        <v>1011.581560458749</v>
      </c>
      <c r="N192" s="178">
        <f t="shared" si="10"/>
        <v>1216.7475748863656</v>
      </c>
      <c r="O192" s="190">
        <v>6388.5548321651322</v>
      </c>
      <c r="P192" s="191">
        <v>1133.7065185307133</v>
      </c>
      <c r="Q192" s="178">
        <f t="shared" si="11"/>
        <v>1363.6415598852361</v>
      </c>
      <c r="R192" s="190">
        <v>10154.602949454726</v>
      </c>
      <c r="S192" s="191">
        <v>176.1673175310234</v>
      </c>
      <c r="T192" s="178">
        <f t="shared" si="12"/>
        <v>211.89705779423409</v>
      </c>
    </row>
    <row r="193" spans="1:20" x14ac:dyDescent="0.2">
      <c r="A193" s="168">
        <v>3</v>
      </c>
      <c r="C193" s="180">
        <f>+E193-E192</f>
        <v>172.04383408071794</v>
      </c>
      <c r="D193" s="171">
        <f>+G193-G192</f>
        <v>153.21019910313902</v>
      </c>
      <c r="E193" s="168">
        <v>576.23983408071797</v>
      </c>
      <c r="G193" s="168">
        <v>522.497199103139</v>
      </c>
      <c r="I193" s="176">
        <v>134.19999999999999</v>
      </c>
      <c r="J193" s="168">
        <v>3</v>
      </c>
      <c r="L193" s="190">
        <v>18388.581422924897</v>
      </c>
      <c r="M193" s="191">
        <v>735.52528494140915</v>
      </c>
      <c r="N193" s="178">
        <f t="shared" si="10"/>
        <v>885.36161441103093</v>
      </c>
      <c r="O193" s="190">
        <v>11492.955434782609</v>
      </c>
      <c r="P193" s="191">
        <v>1323.3889549928699</v>
      </c>
      <c r="Q193" s="178">
        <f t="shared" si="11"/>
        <v>1592.9809697562587</v>
      </c>
      <c r="R193" s="190">
        <v>11786.02326086957</v>
      </c>
      <c r="S193" s="191">
        <v>172.41802435151402</v>
      </c>
      <c r="T193" s="178">
        <f t="shared" si="12"/>
        <v>207.54187995804517</v>
      </c>
    </row>
    <row r="194" spans="1:20" x14ac:dyDescent="0.2">
      <c r="A194" s="171">
        <v>4</v>
      </c>
      <c r="C194" s="180">
        <f>+E194-E193</f>
        <v>204.099832585949</v>
      </c>
      <c r="D194" s="171">
        <f>+G194-G193</f>
        <v>188.07946756352794</v>
      </c>
      <c r="E194" s="168">
        <v>780.33966666666697</v>
      </c>
      <c r="G194" s="168">
        <v>710.57666666666694</v>
      </c>
      <c r="I194" s="176">
        <v>135.30000000000001</v>
      </c>
      <c r="J194" s="168">
        <v>4</v>
      </c>
      <c r="L194" s="190">
        <v>18420.418577075106</v>
      </c>
      <c r="M194" s="190">
        <v>895.71090498583999</v>
      </c>
      <c r="N194" s="178">
        <f>M194/I194*$I$69</f>
        <v>1069.4135014035794</v>
      </c>
      <c r="O194" s="190">
        <v>7745.0445652173912</v>
      </c>
      <c r="P194" s="190">
        <v>1212.6630411771803</v>
      </c>
      <c r="Q194" s="178">
        <f t="shared" si="11"/>
        <v>1447.8312384825801</v>
      </c>
      <c r="R194" s="190">
        <v>11621.97673913043</v>
      </c>
      <c r="S194" s="190">
        <v>180.100371437175</v>
      </c>
      <c r="T194" s="178">
        <f t="shared" si="12"/>
        <v>215.02670979065428</v>
      </c>
    </row>
    <row r="195" spans="1:20" x14ac:dyDescent="0.2">
      <c r="A195" s="171">
        <v>1</v>
      </c>
      <c r="B195" s="168">
        <v>2014</v>
      </c>
      <c r="C195" s="180">
        <f>E195</f>
        <v>196.17699999999999</v>
      </c>
      <c r="D195" s="171">
        <f>G195</f>
        <v>179.55199999999999</v>
      </c>
      <c r="E195" s="168">
        <v>196.17699999999999</v>
      </c>
      <c r="G195" s="168">
        <v>179.55199999999999</v>
      </c>
      <c r="I195" s="176">
        <v>135.80000000000001</v>
      </c>
      <c r="J195" s="168">
        <f>A195</f>
        <v>1</v>
      </c>
      <c r="K195" s="168">
        <f>B195</f>
        <v>2014</v>
      </c>
      <c r="L195" s="190">
        <v>19713</v>
      </c>
      <c r="M195" s="190">
        <v>886.67647724495987</v>
      </c>
      <c r="N195" s="178">
        <f>M195/I195*$I$69</f>
        <v>1054.729310309441</v>
      </c>
      <c r="O195" s="190">
        <v>7032</v>
      </c>
      <c r="P195" s="190">
        <v>1484.9150299297401</v>
      </c>
      <c r="Q195" s="178">
        <f t="shared" ref="Q195" si="13">P195/I195*$I$69</f>
        <v>1766.3527177943079</v>
      </c>
      <c r="R195" s="190">
        <v>8004</v>
      </c>
      <c r="S195" s="190">
        <v>165.16263465729782</v>
      </c>
      <c r="T195" s="178">
        <f t="shared" ref="T195" si="14">S195/I195*$I$69</f>
        <v>196.46610258823364</v>
      </c>
    </row>
    <row r="196" spans="1:20" x14ac:dyDescent="0.2">
      <c r="A196" s="168">
        <v>2</v>
      </c>
      <c r="C196" s="180">
        <f>+E196-E195</f>
        <v>197.965</v>
      </c>
      <c r="D196" s="171">
        <f>+G196-G195</f>
        <v>179.76700000000002</v>
      </c>
      <c r="E196" s="168">
        <v>394.142</v>
      </c>
      <c r="G196" s="168">
        <v>359.31900000000002</v>
      </c>
      <c r="I196" s="176">
        <v>136.69999999999999</v>
      </c>
      <c r="J196" s="168">
        <v>2</v>
      </c>
      <c r="L196" s="190">
        <v>16691</v>
      </c>
      <c r="M196" s="190">
        <v>732.96206934555016</v>
      </c>
      <c r="N196" s="178">
        <f t="shared" ref="N196:N227" si="15">M196/I196*$I$69</f>
        <v>866.14097350864142</v>
      </c>
      <c r="O196" s="190">
        <v>6228</v>
      </c>
      <c r="P196" s="190">
        <v>1158.7677611998799</v>
      </c>
      <c r="Q196" s="178">
        <f t="shared" si="11"/>
        <v>1369.3153830623748</v>
      </c>
      <c r="R196" s="190">
        <v>11579</v>
      </c>
      <c r="S196" s="190">
        <v>167.32102845142202</v>
      </c>
      <c r="T196" s="178">
        <f t="shared" si="12"/>
        <v>197.72318996095075</v>
      </c>
    </row>
    <row r="197" spans="1:20" x14ac:dyDescent="0.2">
      <c r="A197" s="168">
        <v>3</v>
      </c>
      <c r="C197" s="180">
        <f>+E197-E196</f>
        <v>192.10452006852</v>
      </c>
      <c r="D197" s="171">
        <f>+G197-G196</f>
        <v>173.47352006851992</v>
      </c>
      <c r="E197" s="168">
        <v>586.24652006852</v>
      </c>
      <c r="G197" s="168">
        <v>532.79252006851993</v>
      </c>
      <c r="I197" s="176">
        <v>137</v>
      </c>
      <c r="J197" s="168">
        <v>3</v>
      </c>
      <c r="L197" s="190">
        <v>21817</v>
      </c>
      <c r="M197" s="190">
        <v>1080.59231996894</v>
      </c>
      <c r="N197" s="178">
        <f t="shared" si="15"/>
        <v>1274.1392874495084</v>
      </c>
      <c r="O197" s="190">
        <v>20407</v>
      </c>
      <c r="P197" s="190">
        <v>1259.8740491119995</v>
      </c>
      <c r="Q197" s="178">
        <f t="shared" si="11"/>
        <v>1485.5325117041648</v>
      </c>
      <c r="R197" s="190">
        <v>11684</v>
      </c>
      <c r="S197" s="190">
        <v>177.03184293206914</v>
      </c>
      <c r="T197" s="178">
        <f t="shared" si="12"/>
        <v>208.74035659981678</v>
      </c>
    </row>
    <row r="198" spans="1:20" x14ac:dyDescent="0.2">
      <c r="A198" s="168">
        <v>4</v>
      </c>
      <c r="C198" s="180">
        <f>+E198-E197</f>
        <v>196.808833167682</v>
      </c>
      <c r="D198" s="171">
        <f>+G198-G197</f>
        <v>184.73883316768206</v>
      </c>
      <c r="E198" s="168">
        <v>783.055353236202</v>
      </c>
      <c r="G198" s="168">
        <v>717.53135323620199</v>
      </c>
      <c r="I198" s="176">
        <v>137.9</v>
      </c>
      <c r="J198" s="168">
        <v>4</v>
      </c>
      <c r="L198" s="190">
        <v>20183</v>
      </c>
      <c r="M198" s="190">
        <v>869.67426416194962</v>
      </c>
      <c r="N198" s="178">
        <f t="shared" si="15"/>
        <v>1018.7507699464425</v>
      </c>
      <c r="O198" s="190">
        <v>12863</v>
      </c>
      <c r="P198" s="190">
        <v>1106.850761909501</v>
      </c>
      <c r="Q198" s="178">
        <f t="shared" si="11"/>
        <v>1296.5832293516385</v>
      </c>
      <c r="R198" s="190">
        <v>9690</v>
      </c>
      <c r="S198" s="190">
        <v>175.42101671448501</v>
      </c>
      <c r="T198" s="178">
        <f t="shared" si="12"/>
        <v>205.49107086074488</v>
      </c>
    </row>
    <row r="199" spans="1:20" x14ac:dyDescent="0.2">
      <c r="A199" s="168">
        <v>1</v>
      </c>
      <c r="B199" s="168">
        <v>2015</v>
      </c>
      <c r="C199" s="180">
        <f>E199</f>
        <v>219.418599054541</v>
      </c>
      <c r="D199" s="171">
        <f>G199</f>
        <v>202.59159905454101</v>
      </c>
      <c r="E199" s="168">
        <v>219.418599054541</v>
      </c>
      <c r="G199" s="168">
        <v>202.59159905454101</v>
      </c>
      <c r="I199" s="176">
        <v>138.4</v>
      </c>
      <c r="J199" s="168">
        <v>1</v>
      </c>
      <c r="K199" s="168">
        <v>2015</v>
      </c>
      <c r="L199" s="190">
        <v>19630</v>
      </c>
      <c r="M199" s="190">
        <v>957.60520650282388</v>
      </c>
      <c r="N199" s="178">
        <f t="shared" si="15"/>
        <v>1117.7019440013632</v>
      </c>
      <c r="O199" s="190">
        <v>9848</v>
      </c>
      <c r="P199" s="190">
        <v>1279.8360091262539</v>
      </c>
      <c r="Q199" s="178">
        <f t="shared" si="11"/>
        <v>1493.8047388312129</v>
      </c>
      <c r="R199" s="190">
        <v>7135</v>
      </c>
      <c r="S199" s="190">
        <v>155.36971992416409</v>
      </c>
      <c r="T199" s="178">
        <f t="shared" si="12"/>
        <v>181.34512721832562</v>
      </c>
    </row>
    <row r="200" spans="1:20" x14ac:dyDescent="0.2">
      <c r="A200" s="168">
        <v>2</v>
      </c>
      <c r="C200" s="180">
        <f>+E200-E199</f>
        <v>188.69592411436798</v>
      </c>
      <c r="D200" s="171">
        <f>+G200-G199</f>
        <v>171.45081948058601</v>
      </c>
      <c r="E200" s="168">
        <v>408.11452316890899</v>
      </c>
      <c r="G200" s="168">
        <v>374.04241853512701</v>
      </c>
      <c r="I200" s="176">
        <v>139.6</v>
      </c>
      <c r="J200" s="168">
        <v>2</v>
      </c>
      <c r="L200" s="190">
        <v>15703.949675889351</v>
      </c>
      <c r="M200" s="190">
        <v>739.71582874915612</v>
      </c>
      <c r="N200" s="178">
        <f t="shared" si="15"/>
        <v>855.96319567639046</v>
      </c>
      <c r="O200" s="190">
        <v>5422.7168724637304</v>
      </c>
      <c r="P200" s="190">
        <v>1206.7408437095464</v>
      </c>
      <c r="Q200" s="178">
        <f t="shared" si="11"/>
        <v>1396.3818385250763</v>
      </c>
      <c r="R200" s="190">
        <v>9988.3050621118018</v>
      </c>
      <c r="S200" s="190">
        <v>168.85276765034422</v>
      </c>
      <c r="T200" s="178">
        <f t="shared" si="12"/>
        <v>195.3882139323581</v>
      </c>
    </row>
    <row r="201" spans="1:20" x14ac:dyDescent="0.2">
      <c r="A201" s="168">
        <v>3</v>
      </c>
      <c r="C201" s="180">
        <f>+E201-E200</f>
        <v>180.38826158445403</v>
      </c>
      <c r="D201" s="171">
        <f>+G201-G200</f>
        <v>162.29720926756397</v>
      </c>
      <c r="E201" s="168">
        <v>588.50278475336302</v>
      </c>
      <c r="G201" s="168">
        <v>536.33962780269098</v>
      </c>
      <c r="I201" s="176">
        <v>139.69999999999999</v>
      </c>
      <c r="J201" s="168">
        <v>3</v>
      </c>
      <c r="L201" s="190">
        <v>22728.974837944646</v>
      </c>
      <c r="M201" s="190">
        <v>979.87465749478997</v>
      </c>
      <c r="N201" s="178">
        <f t="shared" si="15"/>
        <v>1133.0516753563297</v>
      </c>
      <c r="O201" s="190">
        <v>8619.8584362319707</v>
      </c>
      <c r="P201" s="190">
        <v>1341.1049733657396</v>
      </c>
      <c r="Q201" s="178">
        <f t="shared" si="11"/>
        <v>1550.7506243560917</v>
      </c>
      <c r="R201" s="190">
        <v>10649.652531055901</v>
      </c>
      <c r="S201" s="190">
        <v>131.16322330640469</v>
      </c>
      <c r="T201" s="178">
        <f t="shared" si="12"/>
        <v>151.66706147132743</v>
      </c>
    </row>
    <row r="202" spans="1:20" x14ac:dyDescent="0.2">
      <c r="A202" s="168">
        <v>4</v>
      </c>
      <c r="C202" s="180">
        <f>+E202-E201</f>
        <v>195.22963867497901</v>
      </c>
      <c r="D202" s="171">
        <f>+G202-G201</f>
        <v>179.89113138755602</v>
      </c>
      <c r="E202" s="168">
        <v>783.73242342834203</v>
      </c>
      <c r="G202" s="168">
        <v>716.230759190247</v>
      </c>
      <c r="I202" s="176">
        <v>141.69999999999999</v>
      </c>
      <c r="J202" s="168">
        <v>4</v>
      </c>
      <c r="L202" s="190">
        <v>17661.404213438705</v>
      </c>
      <c r="M202" s="190">
        <v>882.4718984768997</v>
      </c>
      <c r="N202" s="178">
        <f t="shared" si="15"/>
        <v>1006.020040179682</v>
      </c>
      <c r="O202" s="190">
        <v>7193.856491304301</v>
      </c>
      <c r="P202" s="190">
        <v>1425.3376484527203</v>
      </c>
      <c r="Q202" s="178">
        <f t="shared" si="11"/>
        <v>1624.8882721828163</v>
      </c>
      <c r="R202" s="190">
        <v>9159.825978260902</v>
      </c>
      <c r="S202" s="190">
        <v>158.55842389179503</v>
      </c>
      <c r="T202" s="178">
        <f t="shared" si="12"/>
        <v>180.75697622752827</v>
      </c>
    </row>
    <row r="203" spans="1:20" x14ac:dyDescent="0.2">
      <c r="A203" s="168">
        <v>1</v>
      </c>
      <c r="B203" s="168">
        <v>2016</v>
      </c>
      <c r="C203" s="180">
        <f>E203</f>
        <v>217.297581707322</v>
      </c>
      <c r="D203" s="171">
        <f>G203</f>
        <v>201.19677375494101</v>
      </c>
      <c r="E203" s="168">
        <v>217.297581707322</v>
      </c>
      <c r="G203" s="168">
        <v>201.19677375494101</v>
      </c>
      <c r="I203" s="176">
        <v>142.69999999999999</v>
      </c>
      <c r="J203" s="168">
        <v>1</v>
      </c>
      <c r="K203" s="168">
        <v>2016</v>
      </c>
      <c r="L203" s="190">
        <v>20668.165818181998</v>
      </c>
      <c r="M203" s="190">
        <v>1021.6300324660001</v>
      </c>
      <c r="N203" s="178">
        <f t="shared" si="15"/>
        <v>1156.4990380366987</v>
      </c>
      <c r="O203" s="190">
        <v>6682.5362000000005</v>
      </c>
      <c r="P203" s="190">
        <v>1267.176908724</v>
      </c>
      <c r="Q203" s="178">
        <f t="shared" si="11"/>
        <v>1434.4614286878798</v>
      </c>
      <c r="R203" s="190">
        <v>6340.7358571430004</v>
      </c>
      <c r="S203" s="190">
        <v>128.592957756</v>
      </c>
      <c r="T203" s="178">
        <f t="shared" si="12"/>
        <v>145.56897038758225</v>
      </c>
    </row>
    <row r="204" spans="1:20" x14ac:dyDescent="0.2">
      <c r="A204" s="168">
        <v>2</v>
      </c>
      <c r="C204" s="180">
        <f>+E204-E203</f>
        <v>210.94903078835901</v>
      </c>
      <c r="D204" s="171">
        <f>+G204-G203</f>
        <v>192.89311593057502</v>
      </c>
      <c r="E204" s="168">
        <v>428.24661249568101</v>
      </c>
      <c r="G204" s="168">
        <v>394.08988968551603</v>
      </c>
      <c r="I204" s="176">
        <v>144.30000000000001</v>
      </c>
      <c r="J204" s="168">
        <v>2</v>
      </c>
      <c r="L204" s="190">
        <v>19039.287573122998</v>
      </c>
      <c r="M204" s="190">
        <v>795.20392340999979</v>
      </c>
      <c r="N204" s="178">
        <f t="shared" si="15"/>
        <v>890.20039118349985</v>
      </c>
      <c r="O204" s="190">
        <v>5385.3991579709982</v>
      </c>
      <c r="P204" s="190">
        <v>991.5183596400002</v>
      </c>
      <c r="Q204" s="178">
        <f t="shared" si="11"/>
        <v>1109.9668973364257</v>
      </c>
      <c r="R204" s="190">
        <v>10107.700518632999</v>
      </c>
      <c r="S204" s="190">
        <v>152.61472035099999</v>
      </c>
      <c r="T204" s="178">
        <f t="shared" si="12"/>
        <v>170.84634489004358</v>
      </c>
    </row>
    <row r="205" spans="1:20" x14ac:dyDescent="0.2">
      <c r="A205" s="168">
        <v>3</v>
      </c>
      <c r="C205" s="180">
        <f>+E205-E204</f>
        <v>193.64755294266695</v>
      </c>
      <c r="D205" s="171">
        <f>+G205-G204</f>
        <v>175.641874720337</v>
      </c>
      <c r="E205" s="168">
        <v>621.89416543834795</v>
      </c>
      <c r="G205" s="168">
        <v>569.73176440585303</v>
      </c>
      <c r="I205" s="176">
        <v>145.30000000000001</v>
      </c>
      <c r="J205" s="168">
        <v>3</v>
      </c>
      <c r="L205" s="190">
        <v>25325.005330874006</v>
      </c>
      <c r="M205" s="190">
        <v>1404.3111468839998</v>
      </c>
      <c r="N205" s="178">
        <f t="shared" si="15"/>
        <v>1561.2531462426923</v>
      </c>
      <c r="O205" s="190">
        <v>9666.7747891530034</v>
      </c>
      <c r="P205" s="190">
        <v>1492.4533452979995</v>
      </c>
      <c r="Q205" s="178">
        <f t="shared" si="11"/>
        <v>1659.2458773378987</v>
      </c>
      <c r="R205" s="190">
        <v>10325.156290487997</v>
      </c>
      <c r="S205" s="190">
        <v>149.15188867200001</v>
      </c>
      <c r="T205" s="178">
        <f t="shared" si="12"/>
        <v>165.82069862074164</v>
      </c>
    </row>
    <row r="206" spans="1:20" x14ac:dyDescent="0.2">
      <c r="A206" s="168">
        <v>4</v>
      </c>
      <c r="C206" s="180">
        <f>+E206-E205</f>
        <v>194.66297676649504</v>
      </c>
      <c r="D206" s="171">
        <f>+G206-G205</f>
        <v>178.45454935802093</v>
      </c>
      <c r="E206" s="168">
        <v>816.55714220484299</v>
      </c>
      <c r="G206" s="168">
        <v>748.18631376387395</v>
      </c>
      <c r="I206" s="176">
        <v>146.69999999999999</v>
      </c>
      <c r="J206" s="168">
        <v>4</v>
      </c>
      <c r="L206" s="190">
        <v>18369.446222722992</v>
      </c>
      <c r="M206" s="190">
        <v>962.00640138500057</v>
      </c>
      <c r="N206" s="178">
        <f t="shared" si="15"/>
        <v>1059.3109116273397</v>
      </c>
      <c r="O206" s="190">
        <v>6575.4640743699983</v>
      </c>
      <c r="P206" s="190">
        <v>1222.1149542560006</v>
      </c>
      <c r="Q206" s="178">
        <f t="shared" si="11"/>
        <v>1345.7287856322923</v>
      </c>
      <c r="R206" s="190">
        <v>7957.0224983410008</v>
      </c>
      <c r="S206" s="190">
        <v>147.86469469900001</v>
      </c>
      <c r="T206" s="178">
        <f t="shared" si="12"/>
        <v>162.82083395036562</v>
      </c>
    </row>
    <row r="207" spans="1:20" x14ac:dyDescent="0.2">
      <c r="A207" s="168">
        <v>1</v>
      </c>
      <c r="B207" s="168">
        <v>2017</v>
      </c>
      <c r="C207" s="180">
        <f>E207</f>
        <v>227.02914608932699</v>
      </c>
      <c r="D207" s="171">
        <f>G207</f>
        <v>210.737716871462</v>
      </c>
      <c r="E207" s="168">
        <v>227.02914608932699</v>
      </c>
      <c r="G207" s="168">
        <v>210.737716871462</v>
      </c>
      <c r="I207" s="176">
        <v>146.4</v>
      </c>
      <c r="J207" s="168">
        <v>1</v>
      </c>
      <c r="K207" s="168">
        <v>2017</v>
      </c>
      <c r="L207" s="190">
        <v>20188.970584052</v>
      </c>
      <c r="M207" s="190">
        <v>1029.1484993670001</v>
      </c>
      <c r="N207" s="178">
        <f t="shared" si="15"/>
        <v>1135.5664845645238</v>
      </c>
      <c r="O207" s="190">
        <v>7124.2571060979999</v>
      </c>
      <c r="P207" s="190">
        <v>1296.4468783369998</v>
      </c>
      <c r="Q207" s="178">
        <f t="shared" si="11"/>
        <v>1430.5045627169518</v>
      </c>
      <c r="R207" s="190">
        <v>6121.3819215860003</v>
      </c>
      <c r="S207" s="190">
        <v>141.149656131</v>
      </c>
      <c r="T207" s="178">
        <f t="shared" si="12"/>
        <v>155.74508334682278</v>
      </c>
    </row>
    <row r="208" spans="1:20" x14ac:dyDescent="0.2">
      <c r="A208" s="168">
        <v>2</v>
      </c>
      <c r="C208" s="180">
        <f>+E208-E207</f>
        <v>200.76722202181199</v>
      </c>
      <c r="D208" s="171">
        <f>+G208-G207</f>
        <v>183.70797761744905</v>
      </c>
      <c r="E208" s="168">
        <v>427.79636811113897</v>
      </c>
      <c r="G208" s="168">
        <v>394.44569448891104</v>
      </c>
      <c r="I208" s="176">
        <v>147.4</v>
      </c>
      <c r="J208" s="168">
        <v>2</v>
      </c>
      <c r="L208" s="190">
        <v>16357.538075795001</v>
      </c>
      <c r="M208" s="190">
        <v>768.50776898899994</v>
      </c>
      <c r="N208" s="178">
        <f t="shared" si="15"/>
        <v>842.22160214519283</v>
      </c>
      <c r="O208" s="190">
        <v>5007.3623026510004</v>
      </c>
      <c r="P208" s="190">
        <v>1681.8190342150001</v>
      </c>
      <c r="Q208" s="178">
        <f t="shared" si="11"/>
        <v>1843.1359820581238</v>
      </c>
      <c r="R208" s="190">
        <v>7194.9193664359991</v>
      </c>
      <c r="S208" s="190">
        <v>119.946167266</v>
      </c>
      <c r="T208" s="178">
        <f t="shared" si="12"/>
        <v>131.45118012124061</v>
      </c>
    </row>
    <row r="209" spans="1:20" x14ac:dyDescent="0.2">
      <c r="A209" s="168">
        <v>3</v>
      </c>
      <c r="C209" s="180">
        <f>+E209-E208</f>
        <v>195.05863188886104</v>
      </c>
      <c r="D209" s="171">
        <f>+G209-G208</f>
        <v>176.76630551108894</v>
      </c>
      <c r="E209" s="168">
        <v>622.85500000000002</v>
      </c>
      <c r="G209" s="168">
        <v>571.21199999999999</v>
      </c>
      <c r="I209" s="176">
        <v>147.30000000000001</v>
      </c>
      <c r="J209" s="168">
        <v>3</v>
      </c>
      <c r="L209" s="190">
        <v>19399</v>
      </c>
      <c r="M209" s="190">
        <v>907</v>
      </c>
      <c r="N209" s="178">
        <f t="shared" si="15"/>
        <v>994.67256166553523</v>
      </c>
      <c r="O209" s="190">
        <v>8892</v>
      </c>
      <c r="P209" s="190">
        <v>954</v>
      </c>
      <c r="Q209" s="178">
        <f t="shared" si="11"/>
        <v>1046.2156822810591</v>
      </c>
      <c r="R209" s="190">
        <v>8727</v>
      </c>
      <c r="S209" s="190">
        <v>128</v>
      </c>
      <c r="T209" s="178">
        <f t="shared" si="12"/>
        <v>140.37275401674586</v>
      </c>
    </row>
    <row r="210" spans="1:20" x14ac:dyDescent="0.2">
      <c r="A210" s="168">
        <v>4</v>
      </c>
      <c r="C210" s="180">
        <f>+E210-E209</f>
        <v>225.423</v>
      </c>
      <c r="D210" s="171">
        <f>+G210-G209</f>
        <v>208.21799999999996</v>
      </c>
      <c r="E210" s="168">
        <v>848.27800000000002</v>
      </c>
      <c r="G210" s="168">
        <v>779.43</v>
      </c>
      <c r="I210" s="176">
        <v>148.4</v>
      </c>
      <c r="J210" s="168">
        <v>4</v>
      </c>
      <c r="L210" s="190">
        <v>23333</v>
      </c>
      <c r="M210" s="190">
        <v>1141</v>
      </c>
      <c r="N210" s="178">
        <f t="shared" si="15"/>
        <v>1242.0164308176102</v>
      </c>
      <c r="O210" s="190">
        <v>6366</v>
      </c>
      <c r="P210" s="190">
        <v>1205</v>
      </c>
      <c r="Q210" s="178">
        <f t="shared" si="11"/>
        <v>1311.6825584007188</v>
      </c>
      <c r="R210" s="190">
        <v>7520</v>
      </c>
      <c r="S210" s="190">
        <v>124</v>
      </c>
      <c r="T210" s="178">
        <f t="shared" si="12"/>
        <v>134.97812219227316</v>
      </c>
    </row>
    <row r="211" spans="1:20" x14ac:dyDescent="0.2">
      <c r="A211" s="168">
        <v>1</v>
      </c>
      <c r="B211" s="168">
        <v>2018</v>
      </c>
      <c r="C211" s="180">
        <f>E211</f>
        <v>241.52799999999999</v>
      </c>
      <c r="D211" s="180">
        <f>G211</f>
        <v>222.678</v>
      </c>
      <c r="E211" s="168">
        <v>241.52799999999999</v>
      </c>
      <c r="G211" s="168">
        <v>222.678</v>
      </c>
      <c r="I211" s="176">
        <v>149.69999999999999</v>
      </c>
      <c r="J211" s="168">
        <v>1</v>
      </c>
      <c r="K211" s="168">
        <v>2018</v>
      </c>
      <c r="L211" s="190">
        <v>25111</v>
      </c>
      <c r="M211" s="190">
        <v>1175</v>
      </c>
      <c r="N211" s="178">
        <f t="shared" si="15"/>
        <v>1267.9194500111337</v>
      </c>
      <c r="O211" s="190">
        <v>6317</v>
      </c>
      <c r="P211" s="190">
        <v>1262</v>
      </c>
      <c r="Q211" s="178">
        <f t="shared" si="11"/>
        <v>1361.7994433311071</v>
      </c>
      <c r="R211" s="190">
        <v>5433</v>
      </c>
      <c r="S211" s="190">
        <v>116</v>
      </c>
      <c r="T211" s="178">
        <f t="shared" si="12"/>
        <v>125.17332442663107</v>
      </c>
    </row>
    <row r="212" spans="1:20" x14ac:dyDescent="0.2">
      <c r="A212" s="168">
        <v>2</v>
      </c>
      <c r="C212" s="180">
        <f>+E212-E211</f>
        <v>226.77080239162902</v>
      </c>
      <c r="D212" s="180">
        <f>+G212-G211</f>
        <v>208.83864191330298</v>
      </c>
      <c r="E212" s="168">
        <v>468.29880239162901</v>
      </c>
      <c r="G212" s="168">
        <v>431.51664191330298</v>
      </c>
      <c r="I212" s="176">
        <v>150.80000000000001</v>
      </c>
      <c r="J212" s="168">
        <v>2</v>
      </c>
      <c r="L212" s="190">
        <v>20973.437462450995</v>
      </c>
      <c r="M212" s="190">
        <v>1076.7915513600001</v>
      </c>
      <c r="N212" s="178">
        <f t="shared" si="15"/>
        <v>1153.4689161413053</v>
      </c>
      <c r="O212" s="190">
        <v>5869.5992710140017</v>
      </c>
      <c r="P212" s="190">
        <v>1471.9660798479999</v>
      </c>
      <c r="Q212" s="178">
        <f t="shared" si="11"/>
        <v>1576.7834699061416</v>
      </c>
      <c r="R212" s="190">
        <v>9319.6839472049996</v>
      </c>
      <c r="S212" s="190">
        <v>135.61776245999999</v>
      </c>
      <c r="T212" s="178">
        <f t="shared" si="12"/>
        <v>145.27498221607627</v>
      </c>
    </row>
    <row r="213" spans="1:20" x14ac:dyDescent="0.2">
      <c r="A213" s="168">
        <v>3</v>
      </c>
      <c r="C213" s="180">
        <f>+E213-E212</f>
        <v>230.04425590433516</v>
      </c>
      <c r="D213" s="180">
        <f>+G213-G212</f>
        <v>207.39460472346803</v>
      </c>
      <c r="E213" s="168">
        <v>698.34305829596417</v>
      </c>
      <c r="G213" s="168">
        <v>638.91124663677101</v>
      </c>
      <c r="I213" s="176">
        <v>152.30000000000001</v>
      </c>
      <c r="J213" s="168">
        <v>3</v>
      </c>
      <c r="L213" s="190">
        <v>22635.655438734771</v>
      </c>
      <c r="M213" s="190">
        <v>1212.1884087902995</v>
      </c>
      <c r="N213" s="178">
        <f t="shared" si="15"/>
        <v>1285.7182878658591</v>
      </c>
      <c r="O213" s="190">
        <v>10333.380031159912</v>
      </c>
      <c r="P213" s="190">
        <v>1822.4517080118057</v>
      </c>
      <c r="Q213" s="178">
        <f t="shared" si="11"/>
        <v>1932.9994188622045</v>
      </c>
      <c r="R213" s="190">
        <v>9726.2967189440697</v>
      </c>
      <c r="S213" s="190">
        <v>150.27129325880639</v>
      </c>
      <c r="T213" s="178">
        <f t="shared" si="12"/>
        <v>159.38656770106471</v>
      </c>
    </row>
    <row r="214" spans="1:20" x14ac:dyDescent="0.2">
      <c r="A214" s="168">
        <v>4</v>
      </c>
      <c r="C214" s="180">
        <f>+E214-E213</f>
        <v>212.66674917787782</v>
      </c>
      <c r="D214" s="180">
        <f>+G214-G213</f>
        <v>195.66619934230232</v>
      </c>
      <c r="E214" s="168">
        <v>911.00980747384199</v>
      </c>
      <c r="G214" s="168">
        <v>834.57744597907333</v>
      </c>
      <c r="I214" s="176">
        <v>153.6</v>
      </c>
      <c r="J214" s="168">
        <v>4</v>
      </c>
      <c r="L214" s="190">
        <v>22335.438371541502</v>
      </c>
      <c r="M214" s="190">
        <v>1078.6341079945755</v>
      </c>
      <c r="N214" s="178">
        <f t="shared" si="15"/>
        <v>1134.3799224084012</v>
      </c>
      <c r="O214" s="190">
        <v>7362.2217963768126</v>
      </c>
      <c r="P214" s="190">
        <v>1452.0805351783911</v>
      </c>
      <c r="Q214" s="178">
        <f t="shared" si="11"/>
        <v>1527.1267546776826</v>
      </c>
      <c r="R214" s="190">
        <v>8182.2589673913026</v>
      </c>
      <c r="S214" s="190">
        <v>116.53210966099653</v>
      </c>
      <c r="T214" s="178">
        <f t="shared" si="12"/>
        <v>122.55470556285556</v>
      </c>
    </row>
    <row r="215" spans="1:20" x14ac:dyDescent="0.2">
      <c r="A215" s="168">
        <v>1</v>
      </c>
      <c r="B215" s="168">
        <v>2019</v>
      </c>
      <c r="C215" s="180">
        <f>E215</f>
        <v>242.05576995515696</v>
      </c>
      <c r="D215" s="180">
        <f>G215</f>
        <v>223.58363596412556</v>
      </c>
      <c r="E215" s="168">
        <v>242.05576995515696</v>
      </c>
      <c r="G215" s="168">
        <v>223.58363596412556</v>
      </c>
      <c r="I215" s="176">
        <v>154.1</v>
      </c>
      <c r="J215" s="168">
        <v>1</v>
      </c>
      <c r="K215" s="168">
        <v>2019</v>
      </c>
      <c r="L215" s="190">
        <v>22394.924612648225</v>
      </c>
      <c r="M215" s="190">
        <v>1151.1138601930163</v>
      </c>
      <c r="N215" s="178">
        <f t="shared" si="15"/>
        <v>1206.6775759408147</v>
      </c>
      <c r="O215" s="190">
        <v>6179.0660115942028</v>
      </c>
      <c r="P215" s="190">
        <v>1384.5030606846908</v>
      </c>
      <c r="Q215" s="178">
        <f t="shared" si="11"/>
        <v>1451.332361569785</v>
      </c>
      <c r="R215" s="190">
        <v>6840.1016739130437</v>
      </c>
      <c r="S215" s="190">
        <v>122.43916062391185</v>
      </c>
      <c r="T215" s="178">
        <f t="shared" si="12"/>
        <v>128.34924037585344</v>
      </c>
    </row>
    <row r="216" spans="1:20" x14ac:dyDescent="0.2">
      <c r="A216" s="168">
        <v>2</v>
      </c>
      <c r="C216" s="180">
        <f>+E216-E215</f>
        <v>221.71122705530604</v>
      </c>
      <c r="D216" s="180">
        <f>+G216-G215</f>
        <v>199.97176164424542</v>
      </c>
      <c r="E216" s="168">
        <v>463.766997010463</v>
      </c>
      <c r="G216" s="168">
        <v>423.55539760837098</v>
      </c>
      <c r="I216" s="176">
        <v>154.6</v>
      </c>
      <c r="J216" s="168">
        <v>2</v>
      </c>
      <c r="L216" s="190">
        <v>19703.243703557309</v>
      </c>
      <c r="M216" s="190">
        <v>1006.9446819648526</v>
      </c>
      <c r="N216" s="178">
        <f t="shared" si="15"/>
        <v>1052.1356124415634</v>
      </c>
      <c r="O216" s="190">
        <v>8628.701004347824</v>
      </c>
      <c r="P216" s="190">
        <v>1346.7424148398591</v>
      </c>
      <c r="Q216" s="178">
        <f t="shared" si="11"/>
        <v>1407.183215540359</v>
      </c>
      <c r="R216" s="190">
        <v>10227.612341614906</v>
      </c>
      <c r="S216" s="190">
        <v>141.53554504088498</v>
      </c>
      <c r="T216" s="178">
        <f t="shared" si="12"/>
        <v>147.88755532554654</v>
      </c>
    </row>
    <row r="217" spans="1:20" x14ac:dyDescent="0.2">
      <c r="A217" s="168">
        <v>3</v>
      </c>
      <c r="C217" s="180">
        <f>+E217-E216</f>
        <v>200.66800298953694</v>
      </c>
      <c r="D217" s="180">
        <f>+G217-G216</f>
        <v>183.517602391629</v>
      </c>
      <c r="E217" s="168">
        <v>664.43499999999995</v>
      </c>
      <c r="G217" s="168">
        <v>607.07299999999998</v>
      </c>
      <c r="I217" s="176">
        <v>154.69999999999999</v>
      </c>
      <c r="J217" s="168">
        <v>3</v>
      </c>
      <c r="L217" s="190">
        <v>26165.077849802379</v>
      </c>
      <c r="M217" s="190">
        <v>1402.3482904344257</v>
      </c>
      <c r="N217" s="178">
        <f t="shared" si="15"/>
        <v>1464.3374634106428</v>
      </c>
      <c r="O217" s="190">
        <v>13748.462299275363</v>
      </c>
      <c r="P217" s="190">
        <v>1484.9789315777889</v>
      </c>
      <c r="Q217" s="178">
        <f t="shared" si="11"/>
        <v>1550.6206958124765</v>
      </c>
      <c r="R217" s="190">
        <v>10507.793672360251</v>
      </c>
      <c r="S217" s="190">
        <v>144.78676128055025</v>
      </c>
      <c r="T217" s="178">
        <f t="shared" si="12"/>
        <v>151.18689144144338</v>
      </c>
    </row>
    <row r="218" spans="1:20" x14ac:dyDescent="0.2">
      <c r="A218" s="168">
        <v>4</v>
      </c>
      <c r="C218" s="180">
        <f>+E218-E217</f>
        <v>216.91973572496272</v>
      </c>
      <c r="D218" s="180">
        <f>+G218-G217</f>
        <v>199.72038857997018</v>
      </c>
      <c r="E218" s="168">
        <v>881.35473572496267</v>
      </c>
      <c r="G218" s="168">
        <v>806.79338857997016</v>
      </c>
      <c r="I218" s="176">
        <v>156.1</v>
      </c>
      <c r="J218" s="168">
        <v>4</v>
      </c>
      <c r="L218" s="190">
        <v>22621.988837944664</v>
      </c>
      <c r="M218" s="190">
        <v>1317.7971704198299</v>
      </c>
      <c r="N218" s="178">
        <f t="shared" si="15"/>
        <v>1363.7076142280716</v>
      </c>
      <c r="O218" s="190">
        <v>7776.9221253623255</v>
      </c>
      <c r="P218" s="190">
        <v>1227.7391162265512</v>
      </c>
      <c r="Q218" s="178">
        <f t="shared" si="11"/>
        <v>1270.5120474271412</v>
      </c>
      <c r="R218" s="190">
        <v>9597.5708897515542</v>
      </c>
      <c r="S218" s="190">
        <v>133.20019148427383</v>
      </c>
      <c r="T218" s="178">
        <f t="shared" si="12"/>
        <v>137.84072345964418</v>
      </c>
    </row>
    <row r="219" spans="1:20" x14ac:dyDescent="0.2">
      <c r="A219" s="168">
        <v>1</v>
      </c>
      <c r="B219" s="168">
        <v>2020</v>
      </c>
      <c r="C219" s="180">
        <f>E219</f>
        <v>245.16278393124065</v>
      </c>
      <c r="D219" s="180">
        <f>G219</f>
        <v>227.94719714499254</v>
      </c>
      <c r="E219" s="168">
        <v>245.16278393124065</v>
      </c>
      <c r="G219" s="168">
        <v>227.94719714499254</v>
      </c>
      <c r="I219" s="176">
        <v>155.52000000000001</v>
      </c>
      <c r="J219" s="168">
        <v>1</v>
      </c>
      <c r="K219" s="168">
        <v>2020</v>
      </c>
      <c r="L219" s="190">
        <v>22417.308750988144</v>
      </c>
      <c r="M219" s="190">
        <v>1187.0066434405767</v>
      </c>
      <c r="N219" s="178">
        <f t="shared" si="15"/>
        <v>1232.9415820279387</v>
      </c>
      <c r="O219" s="190">
        <v>7817.2878601449283</v>
      </c>
      <c r="P219" s="190">
        <v>1773.3957103534681</v>
      </c>
      <c r="Q219" s="178">
        <f t="shared" si="11"/>
        <v>1842.0228098699974</v>
      </c>
      <c r="R219" s="190">
        <v>8173.2696444099374</v>
      </c>
      <c r="S219" s="190">
        <v>145.83786039029874</v>
      </c>
      <c r="T219" s="178">
        <f t="shared" si="12"/>
        <v>151.48151301664231</v>
      </c>
    </row>
    <row r="220" spans="1:20" x14ac:dyDescent="0.2">
      <c r="A220" s="168">
        <v>2</v>
      </c>
      <c r="C220" s="180">
        <f>+E220-E219</f>
        <v>219.4338294469357</v>
      </c>
      <c r="D220" s="180">
        <f>+G220-G219</f>
        <v>199.23928355754859</v>
      </c>
      <c r="E220" s="189">
        <v>464.59661337817636</v>
      </c>
      <c r="G220" s="168">
        <v>427.18648070254113</v>
      </c>
      <c r="I220" s="176">
        <v>156.5</v>
      </c>
      <c r="J220" s="168">
        <v>2</v>
      </c>
      <c r="L220" s="190">
        <v>20318.697663474304</v>
      </c>
      <c r="M220" s="190">
        <v>1003.3659178621033</v>
      </c>
      <c r="N220" s="178">
        <f t="shared" si="15"/>
        <v>1035.6681028429036</v>
      </c>
      <c r="O220" s="190">
        <v>6698.4276256020294</v>
      </c>
      <c r="P220" s="190">
        <v>1195.3385633418739</v>
      </c>
      <c r="Q220" s="178">
        <f t="shared" si="11"/>
        <v>1233.8210817335939</v>
      </c>
      <c r="R220" s="190">
        <v>9378.7613872911825</v>
      </c>
      <c r="S220" s="190">
        <v>125.6048434375343</v>
      </c>
      <c r="T220" s="178">
        <f t="shared" si="12"/>
        <v>129.64854356225919</v>
      </c>
    </row>
    <row r="221" spans="1:20" x14ac:dyDescent="0.2">
      <c r="A221" s="168">
        <v>3</v>
      </c>
      <c r="C221" s="180">
        <f>+E221-E220</f>
        <v>230.4091689088192</v>
      </c>
      <c r="D221" s="180">
        <f>+G221-G220</f>
        <v>212.03913512705532</v>
      </c>
      <c r="E221" s="189">
        <v>695.00578228699555</v>
      </c>
      <c r="G221" s="168">
        <v>639.22561582959645</v>
      </c>
      <c r="I221" s="176">
        <v>157.34</v>
      </c>
      <c r="J221" s="168">
        <v>3</v>
      </c>
      <c r="L221" s="190">
        <v>23115.129949173919</v>
      </c>
      <c r="M221" s="190">
        <v>1190.2908927373355</v>
      </c>
      <c r="N221" s="178">
        <f t="shared" si="15"/>
        <v>1222.0516524382524</v>
      </c>
      <c r="O221" s="190">
        <v>9381.5569490356484</v>
      </c>
      <c r="P221" s="190">
        <v>1044.8337260564822</v>
      </c>
      <c r="Q221" s="178">
        <f t="shared" si="11"/>
        <v>1072.7132243397784</v>
      </c>
      <c r="R221" s="190">
        <v>12479.986334758509</v>
      </c>
      <c r="S221" s="190">
        <v>159.02277544572789</v>
      </c>
      <c r="T221" s="178">
        <f t="shared" si="12"/>
        <v>163.2660105983463</v>
      </c>
    </row>
    <row r="222" spans="1:20" x14ac:dyDescent="0.2">
      <c r="A222" s="168">
        <v>4</v>
      </c>
      <c r="C222" s="180">
        <f>+E222-E221</f>
        <v>210.53825269058302</v>
      </c>
      <c r="D222" s="180">
        <f>+G222-G221</f>
        <v>195.42257215246639</v>
      </c>
      <c r="E222" s="189">
        <v>905.54403497757858</v>
      </c>
      <c r="G222" s="168">
        <v>834.64818798206284</v>
      </c>
      <c r="I222" s="176">
        <v>156.08000000000001</v>
      </c>
      <c r="J222" s="168">
        <v>4</v>
      </c>
      <c r="L222" s="190">
        <v>24544.608407612643</v>
      </c>
      <c r="M222" s="190">
        <v>1241.5801516088959</v>
      </c>
      <c r="N222" s="178">
        <f t="shared" si="15"/>
        <v>1284.9999256192234</v>
      </c>
      <c r="O222" s="190">
        <v>8299.8127776884066</v>
      </c>
      <c r="P222" s="190">
        <v>1192.0542375158043</v>
      </c>
      <c r="Q222" s="178">
        <f t="shared" si="11"/>
        <v>1233.7420218557183</v>
      </c>
      <c r="R222" s="190">
        <v>9374.137683010551</v>
      </c>
      <c r="S222" s="190">
        <v>112.80928620726445</v>
      </c>
      <c r="T222" s="178">
        <f t="shared" si="12"/>
        <v>116.75438287060796</v>
      </c>
    </row>
    <row r="223" spans="1:20" x14ac:dyDescent="0.2">
      <c r="A223" s="168">
        <v>1</v>
      </c>
      <c r="B223" s="168">
        <v>2021</v>
      </c>
      <c r="C223" s="180">
        <f>E223</f>
        <v>246.03664372197312</v>
      </c>
      <c r="D223" s="180">
        <f>G223</f>
        <v>229.48208497757849</v>
      </c>
      <c r="E223" s="189">
        <v>246.03664372197312</v>
      </c>
      <c r="G223" s="168">
        <v>229.48208497757849</v>
      </c>
      <c r="I223" s="176">
        <v>155.52000000000001</v>
      </c>
      <c r="J223" s="168">
        <v>1</v>
      </c>
      <c r="K223" s="168">
        <v>2021</v>
      </c>
      <c r="L223" s="190">
        <v>34994.274094861663</v>
      </c>
      <c r="M223" s="190">
        <v>1823.5241188431366</v>
      </c>
      <c r="N223" s="178">
        <f t="shared" si="15"/>
        <v>1894.0910940782894</v>
      </c>
      <c r="O223" s="190">
        <v>8185.2405021739132</v>
      </c>
      <c r="P223" s="190">
        <v>1464.197591740502</v>
      </c>
      <c r="Q223" s="178">
        <f t="shared" si="11"/>
        <v>1520.8593019575692</v>
      </c>
      <c r="R223" s="190">
        <v>6121.5967593167707</v>
      </c>
      <c r="S223" s="190">
        <v>112.87324166947003</v>
      </c>
      <c r="T223" s="178">
        <f t="shared" si="12"/>
        <v>117.24122516214469</v>
      </c>
    </row>
    <row r="224" spans="1:20" x14ac:dyDescent="0.2">
      <c r="A224" s="168">
        <v>2</v>
      </c>
      <c r="C224" s="180">
        <f>+E224-E223</f>
        <v>241.94121614349774</v>
      </c>
      <c r="D224" s="180">
        <f>+G224-G223</f>
        <v>221.09553291479824</v>
      </c>
      <c r="E224" s="189">
        <v>487.97785986547086</v>
      </c>
      <c r="G224" s="168">
        <v>450.57761789237674</v>
      </c>
      <c r="I224" s="176">
        <v>160.69999999999999</v>
      </c>
      <c r="J224" s="168">
        <v>2</v>
      </c>
      <c r="L224" s="190">
        <v>20425.734197628459</v>
      </c>
      <c r="M224" s="190">
        <v>1061.5540769322004</v>
      </c>
      <c r="N224" s="178">
        <f t="shared" si="15"/>
        <v>1067.0919497873851</v>
      </c>
      <c r="O224" s="190">
        <v>6967.5044210144924</v>
      </c>
      <c r="P224" s="190">
        <v>1472.113681221721</v>
      </c>
      <c r="Q224" s="178">
        <f t="shared" si="11"/>
        <v>1479.7933450015857</v>
      </c>
      <c r="R224" s="190">
        <v>8820.4369021739112</v>
      </c>
      <c r="S224" s="190">
        <v>115.80617621183073</v>
      </c>
      <c r="T224" s="178">
        <f t="shared" si="12"/>
        <v>116.41030924060642</v>
      </c>
    </row>
    <row r="225" spans="1:20" x14ac:dyDescent="0.2">
      <c r="A225" s="168">
        <v>3</v>
      </c>
      <c r="C225" s="180">
        <f>+E225-E224</f>
        <v>223.16246838565024</v>
      </c>
      <c r="D225" s="180">
        <f>+G225-G224</f>
        <v>200.9504247085203</v>
      </c>
      <c r="E225" s="189">
        <v>711.1403282511211</v>
      </c>
      <c r="G225" s="168">
        <v>651.52804260089704</v>
      </c>
      <c r="I225" s="176">
        <v>162.66</v>
      </c>
      <c r="J225" s="168">
        <v>3</v>
      </c>
      <c r="L225" s="190">
        <v>24805.341992094851</v>
      </c>
      <c r="M225" s="190">
        <v>1156.0227184873836</v>
      </c>
      <c r="N225" s="178">
        <f t="shared" si="15"/>
        <v>1148.0510465997859</v>
      </c>
      <c r="O225" s="190">
        <v>11835.432255072465</v>
      </c>
      <c r="P225" s="190">
        <v>1387.9440913118756</v>
      </c>
      <c r="Q225" s="178">
        <f t="shared" si="11"/>
        <v>1378.3731419548028</v>
      </c>
      <c r="R225" s="190">
        <v>8162.7090062111811</v>
      </c>
      <c r="S225" s="190">
        <v>122.41533537856195</v>
      </c>
      <c r="T225" s="178">
        <f t="shared" si="12"/>
        <v>121.57118684061193</v>
      </c>
    </row>
    <row r="226" spans="1:20" x14ac:dyDescent="0.2">
      <c r="A226" s="168">
        <v>4</v>
      </c>
      <c r="C226" s="180">
        <f>+E226-E225</f>
        <v>240.67364342301937</v>
      </c>
      <c r="D226" s="180">
        <f>+G226-G225</f>
        <v>222.83402473841534</v>
      </c>
      <c r="E226" s="189">
        <v>951.81397167414048</v>
      </c>
      <c r="G226" s="168">
        <v>874.36206733931238</v>
      </c>
      <c r="I226" s="176">
        <v>165.17</v>
      </c>
      <c r="J226" s="168">
        <v>4</v>
      </c>
      <c r="L226" s="190">
        <v>23357.504896820246</v>
      </c>
      <c r="M226" s="190">
        <v>1294.0004472542644</v>
      </c>
      <c r="N226" s="178">
        <f t="shared" si="15"/>
        <v>1265.5486806444378</v>
      </c>
      <c r="O226" s="190">
        <v>7240.0729996128648</v>
      </c>
      <c r="P226" s="190">
        <v>1287.0604441566998</v>
      </c>
      <c r="Q226" s="178">
        <f t="shared" si="11"/>
        <v>1258.7612704990802</v>
      </c>
      <c r="R226" s="190">
        <v>8198.4054586074526</v>
      </c>
      <c r="S226" s="190">
        <v>109.38408217060596</v>
      </c>
      <c r="T226" s="178">
        <f t="shared" si="12"/>
        <v>106.9790054309867</v>
      </c>
    </row>
    <row r="227" spans="1:20" x14ac:dyDescent="0.2">
      <c r="A227" s="168">
        <v>1</v>
      </c>
      <c r="B227" s="168">
        <v>2022</v>
      </c>
      <c r="C227" s="180">
        <f>E227</f>
        <v>258.31884641255607</v>
      </c>
      <c r="D227" s="180">
        <f>G227</f>
        <v>238.37852713004486</v>
      </c>
      <c r="E227" s="189">
        <v>258.31884641255607</v>
      </c>
      <c r="G227" s="168">
        <v>238.37852713004486</v>
      </c>
      <c r="I227" s="176">
        <v>166.57</v>
      </c>
      <c r="J227" s="168">
        <v>1</v>
      </c>
      <c r="K227" s="168">
        <v>2022</v>
      </c>
      <c r="L227" s="190">
        <v>24505.067470355731</v>
      </c>
      <c r="M227" s="190">
        <v>1376.8794156428476</v>
      </c>
      <c r="N227" s="178">
        <f t="shared" si="15"/>
        <v>1335.2873026590596</v>
      </c>
      <c r="O227" s="190">
        <v>6900.0468369565224</v>
      </c>
      <c r="P227" s="190">
        <v>1583.5781374260632</v>
      </c>
      <c r="Q227" s="178">
        <f t="shared" si="11"/>
        <v>1535.7421685952488</v>
      </c>
      <c r="R227" s="190">
        <v>6778.6444332298142</v>
      </c>
      <c r="S227" s="190">
        <v>123.13727232676555</v>
      </c>
      <c r="T227" s="178">
        <f t="shared" si="12"/>
        <v>119.41760066565708</v>
      </c>
    </row>
    <row r="228" spans="1:20" x14ac:dyDescent="0.2">
      <c r="C228" s="180"/>
      <c r="D228" s="171"/>
      <c r="L228" s="190"/>
      <c r="M228" s="190"/>
      <c r="N228" s="178"/>
      <c r="O228" s="190"/>
      <c r="P228" s="190"/>
      <c r="Q228" s="178"/>
      <c r="R228" s="190"/>
      <c r="S228" s="190"/>
      <c r="T228" s="178"/>
    </row>
    <row r="229" spans="1:20" x14ac:dyDescent="0.2">
      <c r="C229" s="180"/>
      <c r="E229" s="172" t="s">
        <v>110</v>
      </c>
      <c r="J229" s="192"/>
      <c r="K229" s="193" t="s">
        <v>160</v>
      </c>
      <c r="L229" s="194">
        <f>L231-L219</f>
        <v>2087.7587193675863</v>
      </c>
      <c r="M229" s="194">
        <f>M231-M219</f>
        <v>189.87277220227088</v>
      </c>
      <c r="N229" s="195" t="s">
        <v>174</v>
      </c>
      <c r="O229" s="194">
        <f>O231-O219</f>
        <v>-917.24102318840596</v>
      </c>
      <c r="P229" s="194">
        <f>P231-P219</f>
        <v>-189.81757292740485</v>
      </c>
      <c r="Q229" s="195" t="s">
        <v>174</v>
      </c>
      <c r="R229" s="194">
        <f>R231-R219</f>
        <v>-1394.6252111801232</v>
      </c>
      <c r="S229" s="194">
        <f>S231-S219</f>
        <v>-22.700588063533189</v>
      </c>
      <c r="T229" s="196" t="s">
        <v>174</v>
      </c>
    </row>
    <row r="230" spans="1:20" x14ac:dyDescent="0.2">
      <c r="E230" s="189">
        <f>IF('Tab5'!E8="",'Tab5'!E7,'Tab5'!E8)/1000</f>
        <v>258.31884641255607</v>
      </c>
      <c r="G230" s="189">
        <f>IF('Tab5'!E10="",'Tab5'!E9,'Tab5'!E10)/1000</f>
        <v>238.37852713004486</v>
      </c>
      <c r="K230" s="174" t="s">
        <v>188</v>
      </c>
      <c r="L230" s="197">
        <f>SUM('Tab7'!E11,'Tab11'!E11)</f>
        <v>81897.494849595634</v>
      </c>
      <c r="M230" s="198">
        <f>SUM('Tab7'!E39,'Tab11'!E39)</f>
        <v>4503.2072628623491</v>
      </c>
      <c r="N230" s="199" t="s">
        <v>173</v>
      </c>
      <c r="O230" s="197">
        <f>SUM('Tab7'!E9,'Tab11'!E9)</f>
        <v>28757.182264643448</v>
      </c>
      <c r="P230" s="198">
        <f>SUM('Tab7'!E37,'Tab11'!E37)</f>
        <v>5829.263358421641</v>
      </c>
      <c r="Q230" s="199" t="s">
        <v>173</v>
      </c>
      <c r="R230" s="197">
        <f>SUM('Tab7'!E13,'Tab11'!E13)</f>
        <v>34140.892468175458</v>
      </c>
      <c r="S230" s="198">
        <f>SUM('Tab7'!E41,'Tab11'!E41)</f>
        <v>494.58263275271435</v>
      </c>
      <c r="T230" s="200" t="s">
        <v>173</v>
      </c>
    </row>
    <row r="231" spans="1:20" x14ac:dyDescent="0.2">
      <c r="K231" s="174" t="s">
        <v>187</v>
      </c>
      <c r="L231" s="197">
        <f>SUM('Tab7'!E12,'Tab11'!E12)</f>
        <v>24505.067470355731</v>
      </c>
      <c r="M231" s="198">
        <f>SUM('Tab7'!E40,'Tab11'!E40)</f>
        <v>1376.8794156428476</v>
      </c>
      <c r="N231" s="199" t="s">
        <v>173</v>
      </c>
      <c r="O231" s="197">
        <f>SUM('Tab7'!E10,'Tab11'!E10)</f>
        <v>6900.0468369565224</v>
      </c>
      <c r="P231" s="198">
        <f>SUM('Tab7'!E38,'Tab11'!E38)</f>
        <v>1583.5781374260632</v>
      </c>
      <c r="Q231" s="199" t="s">
        <v>173</v>
      </c>
      <c r="R231" s="197">
        <f>SUM('Tab7'!E14,'Tab11'!E14)</f>
        <v>6778.6444332298142</v>
      </c>
      <c r="S231" s="198">
        <f>SUM('Tab7'!E42,'Tab11'!E42)</f>
        <v>123.13727232676555</v>
      </c>
      <c r="T231" s="200" t="s">
        <v>173</v>
      </c>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ignoredErrors>
    <ignoredError sqref="C211:D211 C215:D21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144</v>
      </c>
      <c r="B4" s="5"/>
      <c r="C4" s="5"/>
      <c r="D4" s="5"/>
      <c r="E4" s="5"/>
      <c r="F4" s="5"/>
      <c r="G4" s="5"/>
      <c r="H4" s="6"/>
    </row>
    <row r="5" spans="1:8" x14ac:dyDescent="0.2">
      <c r="A5" s="7"/>
      <c r="B5" s="8"/>
      <c r="C5" s="9"/>
      <c r="D5" s="8"/>
      <c r="E5" s="10"/>
      <c r="F5" s="11"/>
      <c r="G5" s="205" t="s">
        <v>1</v>
      </c>
      <c r="H5" s="206"/>
    </row>
    <row r="6" spans="1:8" x14ac:dyDescent="0.2">
      <c r="A6" s="12"/>
      <c r="B6" s="13"/>
      <c r="C6" s="14" t="s">
        <v>235</v>
      </c>
      <c r="D6" s="15" t="s">
        <v>236</v>
      </c>
      <c r="E6" s="15" t="s">
        <v>237</v>
      </c>
      <c r="F6" s="16"/>
      <c r="G6" s="17" t="s">
        <v>238</v>
      </c>
      <c r="H6" s="18" t="s">
        <v>239</v>
      </c>
    </row>
    <row r="7" spans="1:8" x14ac:dyDescent="0.2">
      <c r="A7" s="207" t="s">
        <v>2</v>
      </c>
      <c r="B7" s="19" t="s">
        <v>3</v>
      </c>
      <c r="C7" s="20">
        <v>2421842.5613065525</v>
      </c>
      <c r="D7" s="20">
        <v>2275081.0938493535</v>
      </c>
      <c r="E7" s="79">
        <v>2367891.6426945338</v>
      </c>
      <c r="F7" s="22" t="s">
        <v>240</v>
      </c>
      <c r="G7" s="23">
        <v>-2.227680670658998</v>
      </c>
      <c r="H7" s="24">
        <v>4.0794391503710301</v>
      </c>
    </row>
    <row r="8" spans="1:8" x14ac:dyDescent="0.2">
      <c r="A8" s="208"/>
      <c r="B8" s="25" t="s">
        <v>241</v>
      </c>
      <c r="C8" s="26">
        <v>642290.5426924848</v>
      </c>
      <c r="D8" s="26">
        <v>551312.55973246589</v>
      </c>
      <c r="E8" s="26">
        <v>590793.30168291356</v>
      </c>
      <c r="F8" s="27"/>
      <c r="G8" s="28">
        <v>-8.017748602321717</v>
      </c>
      <c r="H8" s="29">
        <v>7.1612266496534005</v>
      </c>
    </row>
    <row r="9" spans="1:8" x14ac:dyDescent="0.2">
      <c r="A9" s="30" t="s">
        <v>4</v>
      </c>
      <c r="B9" s="31" t="s">
        <v>3</v>
      </c>
      <c r="C9" s="20">
        <v>735648.49503139011</v>
      </c>
      <c r="D9" s="20">
        <v>731632.30798953655</v>
      </c>
      <c r="E9" s="20">
        <v>767615.77767569863</v>
      </c>
      <c r="F9" s="22" t="s">
        <v>240</v>
      </c>
      <c r="G9" s="32">
        <v>4.3454561329517247</v>
      </c>
      <c r="H9" s="33">
        <v>4.9182450382818246</v>
      </c>
    </row>
    <row r="10" spans="1:8" x14ac:dyDescent="0.2">
      <c r="A10" s="34"/>
      <c r="B10" s="25" t="s">
        <v>241</v>
      </c>
      <c r="C10" s="26">
        <v>184803.75766292977</v>
      </c>
      <c r="D10" s="26">
        <v>191281.64128923765</v>
      </c>
      <c r="E10" s="26">
        <v>198000.85002242154</v>
      </c>
      <c r="F10" s="27"/>
      <c r="G10" s="28">
        <v>7.1411385387316813</v>
      </c>
      <c r="H10" s="29">
        <v>3.5127305934309305</v>
      </c>
    </row>
    <row r="11" spans="1:8" x14ac:dyDescent="0.2">
      <c r="A11" s="30" t="s">
        <v>5</v>
      </c>
      <c r="B11" s="31" t="s">
        <v>3</v>
      </c>
      <c r="C11" s="20">
        <v>169895.53994618845</v>
      </c>
      <c r="D11" s="20">
        <v>220181.66368460387</v>
      </c>
      <c r="E11" s="20">
        <v>219933.59961402704</v>
      </c>
      <c r="F11" s="22" t="s">
        <v>240</v>
      </c>
      <c r="G11" s="37">
        <v>29.452250296674833</v>
      </c>
      <c r="H11" s="33">
        <v>-0.11266336461702053</v>
      </c>
    </row>
    <row r="12" spans="1:8" x14ac:dyDescent="0.2">
      <c r="A12" s="34"/>
      <c r="B12" s="25" t="s">
        <v>241</v>
      </c>
      <c r="C12" s="26">
        <v>58660.026268310903</v>
      </c>
      <c r="D12" s="26">
        <v>54755.002432735462</v>
      </c>
      <c r="E12" s="26">
        <v>60317.996390134533</v>
      </c>
      <c r="F12" s="27"/>
      <c r="G12" s="28">
        <v>2.8264053518150263</v>
      </c>
      <c r="H12" s="29">
        <v>10.159791270638706</v>
      </c>
    </row>
    <row r="13" spans="1:8" x14ac:dyDescent="0.2">
      <c r="A13" s="30" t="s">
        <v>6</v>
      </c>
      <c r="B13" s="31" t="s">
        <v>3</v>
      </c>
      <c r="C13" s="20">
        <v>479818.33846073353</v>
      </c>
      <c r="D13" s="20">
        <v>455343.2281054082</v>
      </c>
      <c r="E13" s="20">
        <v>397721.42378530308</v>
      </c>
      <c r="F13" s="22" t="s">
        <v>240</v>
      </c>
      <c r="G13" s="23">
        <v>-17.109999367427037</v>
      </c>
      <c r="H13" s="24">
        <v>-12.654586861840002</v>
      </c>
    </row>
    <row r="14" spans="1:8" x14ac:dyDescent="0.2">
      <c r="A14" s="34"/>
      <c r="B14" s="25" t="s">
        <v>241</v>
      </c>
      <c r="C14" s="26">
        <v>105621.26420063133</v>
      </c>
      <c r="D14" s="26">
        <v>118478.78548631821</v>
      </c>
      <c r="E14" s="26">
        <v>97565.925181813422</v>
      </c>
      <c r="F14" s="27"/>
      <c r="G14" s="38">
        <v>-7.6266262099613726</v>
      </c>
      <c r="H14" s="24">
        <v>-17.651143382896834</v>
      </c>
    </row>
    <row r="15" spans="1:8" x14ac:dyDescent="0.2">
      <c r="A15" s="30" t="s">
        <v>168</v>
      </c>
      <c r="B15" s="31" t="s">
        <v>3</v>
      </c>
      <c r="C15" s="20">
        <v>45810.752901417422</v>
      </c>
      <c r="D15" s="20">
        <v>47091.596212135693</v>
      </c>
      <c r="E15" s="20">
        <v>41595.376182217158</v>
      </c>
      <c r="F15" s="22" t="s">
        <v>240</v>
      </c>
      <c r="G15" s="37">
        <v>-9.2017189245318747</v>
      </c>
      <c r="H15" s="33">
        <v>-11.671339415125061</v>
      </c>
    </row>
    <row r="16" spans="1:8" x14ac:dyDescent="0.2">
      <c r="A16" s="34"/>
      <c r="B16" s="25" t="s">
        <v>241</v>
      </c>
      <c r="C16" s="26">
        <v>11707.421245421247</v>
      </c>
      <c r="D16" s="26">
        <v>14184.867654085045</v>
      </c>
      <c r="E16" s="26">
        <v>11825.08552317248</v>
      </c>
      <c r="F16" s="27"/>
      <c r="G16" s="28">
        <v>1.0050400962316957</v>
      </c>
      <c r="H16" s="29">
        <v>-16.635912216163547</v>
      </c>
    </row>
    <row r="17" spans="1:8" x14ac:dyDescent="0.2">
      <c r="A17" s="30" t="s">
        <v>7</v>
      </c>
      <c r="B17" s="31" t="s">
        <v>3</v>
      </c>
      <c r="C17" s="20">
        <v>8509.779069387756</v>
      </c>
      <c r="D17" s="20">
        <v>8798.6610285714287</v>
      </c>
      <c r="E17" s="20">
        <v>8664.9384332464906</v>
      </c>
      <c r="F17" s="22" t="s">
        <v>240</v>
      </c>
      <c r="G17" s="23">
        <v>1.823306605184257</v>
      </c>
      <c r="H17" s="24">
        <v>-1.5198061942687389</v>
      </c>
    </row>
    <row r="18" spans="1:8" x14ac:dyDescent="0.2">
      <c r="A18" s="30"/>
      <c r="B18" s="25" t="s">
        <v>241</v>
      </c>
      <c r="C18" s="26">
        <v>2497.8568816326533</v>
      </c>
      <c r="D18" s="26">
        <v>2405.7066122448982</v>
      </c>
      <c r="E18" s="26">
        <v>2424.5147755102039</v>
      </c>
      <c r="F18" s="27"/>
      <c r="G18" s="38">
        <v>-2.9362012956687664</v>
      </c>
      <c r="H18" s="24">
        <v>0.78181450595735669</v>
      </c>
    </row>
    <row r="19" spans="1:8" x14ac:dyDescent="0.2">
      <c r="A19" s="39" t="s">
        <v>8</v>
      </c>
      <c r="B19" s="31" t="s">
        <v>3</v>
      </c>
      <c r="C19" s="20">
        <v>5522</v>
      </c>
      <c r="D19" s="20">
        <v>5593</v>
      </c>
      <c r="E19" s="20">
        <v>5824.6176320564364</v>
      </c>
      <c r="F19" s="22" t="s">
        <v>240</v>
      </c>
      <c r="G19" s="37">
        <v>5.4802178930901277</v>
      </c>
      <c r="H19" s="33">
        <v>4.1412056509285975</v>
      </c>
    </row>
    <row r="20" spans="1:8" x14ac:dyDescent="0.2">
      <c r="A20" s="34"/>
      <c r="B20" s="25" t="s">
        <v>241</v>
      </c>
      <c r="C20" s="26">
        <v>1362</v>
      </c>
      <c r="D20" s="26">
        <v>1483.3984</v>
      </c>
      <c r="E20" s="26">
        <v>1507</v>
      </c>
      <c r="F20" s="27"/>
      <c r="G20" s="28">
        <v>10.646108663729819</v>
      </c>
      <c r="H20" s="29">
        <v>1.5910493094774836</v>
      </c>
    </row>
    <row r="21" spans="1:8" x14ac:dyDescent="0.2">
      <c r="A21" s="39" t="s">
        <v>9</v>
      </c>
      <c r="B21" s="31" t="s">
        <v>3</v>
      </c>
      <c r="C21" s="20">
        <v>27600.996666666666</v>
      </c>
      <c r="D21" s="20">
        <v>31589.073333333334</v>
      </c>
      <c r="E21" s="20">
        <v>42063.502640179177</v>
      </c>
      <c r="F21" s="22" t="s">
        <v>240</v>
      </c>
      <c r="G21" s="37">
        <v>52.398491794242602</v>
      </c>
      <c r="H21" s="33">
        <v>33.158393715187088</v>
      </c>
    </row>
    <row r="22" spans="1:8" x14ac:dyDescent="0.2">
      <c r="A22" s="34"/>
      <c r="B22" s="25" t="s">
        <v>241</v>
      </c>
      <c r="C22" s="26">
        <v>7537.45</v>
      </c>
      <c r="D22" s="26">
        <v>7214.3441666666668</v>
      </c>
      <c r="E22" s="26">
        <v>10160.966666666667</v>
      </c>
      <c r="F22" s="27"/>
      <c r="G22" s="28">
        <v>34.806422154265249</v>
      </c>
      <c r="H22" s="29">
        <v>40.843941346943865</v>
      </c>
    </row>
    <row r="23" spans="1:8" x14ac:dyDescent="0.2">
      <c r="A23" s="39" t="s">
        <v>190</v>
      </c>
      <c r="B23" s="31" t="s">
        <v>3</v>
      </c>
      <c r="C23" s="20">
        <v>6379</v>
      </c>
      <c r="D23" s="20">
        <v>7894</v>
      </c>
      <c r="E23" s="20">
        <v>10566.429984512715</v>
      </c>
      <c r="F23" s="22" t="s">
        <v>240</v>
      </c>
      <c r="G23" s="37">
        <v>65.643987843121408</v>
      </c>
      <c r="H23" s="33">
        <v>33.853939504848199</v>
      </c>
    </row>
    <row r="24" spans="1:8" x14ac:dyDescent="0.2">
      <c r="A24" s="34"/>
      <c r="B24" s="25" t="s">
        <v>241</v>
      </c>
      <c r="C24" s="26">
        <v>1924</v>
      </c>
      <c r="D24" s="26">
        <v>1660.7930817610063</v>
      </c>
      <c r="E24" s="26">
        <v>2347</v>
      </c>
      <c r="F24" s="27"/>
      <c r="G24" s="28">
        <v>21.98544698544697</v>
      </c>
      <c r="H24" s="29">
        <v>41.318026054840061</v>
      </c>
    </row>
    <row r="25" spans="1:8" x14ac:dyDescent="0.2">
      <c r="A25" s="39" t="s">
        <v>191</v>
      </c>
      <c r="B25" s="31" t="s">
        <v>3</v>
      </c>
      <c r="C25" s="20">
        <v>1472</v>
      </c>
      <c r="D25" s="20">
        <v>1922</v>
      </c>
      <c r="E25" s="20">
        <v>2388.747675377645</v>
      </c>
      <c r="F25" s="22" t="s">
        <v>240</v>
      </c>
      <c r="G25" s="37">
        <v>62.279054033807398</v>
      </c>
      <c r="H25" s="33">
        <v>24.284478427556962</v>
      </c>
    </row>
    <row r="26" spans="1:8" x14ac:dyDescent="0.2">
      <c r="A26" s="34"/>
      <c r="B26" s="25" t="s">
        <v>241</v>
      </c>
      <c r="C26" s="26">
        <v>433</v>
      </c>
      <c r="D26" s="26">
        <v>435.8397727272727</v>
      </c>
      <c r="E26" s="26">
        <v>559</v>
      </c>
      <c r="F26" s="27"/>
      <c r="G26" s="28">
        <v>29.099307159353344</v>
      </c>
      <c r="H26" s="29">
        <v>28.258143239670545</v>
      </c>
    </row>
    <row r="27" spans="1:8" x14ac:dyDescent="0.2">
      <c r="A27" s="39" t="s">
        <v>192</v>
      </c>
      <c r="B27" s="31" t="s">
        <v>3</v>
      </c>
      <c r="C27" s="20">
        <v>343016</v>
      </c>
      <c r="D27" s="20">
        <v>430654</v>
      </c>
      <c r="E27" s="20">
        <v>484553.25096841523</v>
      </c>
      <c r="F27" s="22" t="s">
        <v>240</v>
      </c>
      <c r="G27" s="37">
        <v>41.26257987044778</v>
      </c>
      <c r="H27" s="33">
        <v>12.515674060479</v>
      </c>
    </row>
    <row r="28" spans="1:8" x14ac:dyDescent="0.2">
      <c r="A28" s="34"/>
      <c r="B28" s="25" t="s">
        <v>241</v>
      </c>
      <c r="C28" s="26">
        <v>71543.779428571434</v>
      </c>
      <c r="D28" s="26">
        <v>85173.856</v>
      </c>
      <c r="E28" s="26">
        <v>103006.20114285714</v>
      </c>
      <c r="F28" s="27"/>
      <c r="G28" s="28">
        <v>43.976460239562073</v>
      </c>
      <c r="H28" s="29">
        <v>20.936406991902714</v>
      </c>
    </row>
    <row r="29" spans="1:8" x14ac:dyDescent="0.2">
      <c r="A29" s="30" t="s">
        <v>10</v>
      </c>
      <c r="B29" s="31" t="s">
        <v>3</v>
      </c>
      <c r="C29" s="20">
        <v>447542</v>
      </c>
      <c r="D29" s="20">
        <v>169642</v>
      </c>
      <c r="E29" s="20">
        <v>278773.7867427555</v>
      </c>
      <c r="F29" s="22" t="s">
        <v>240</v>
      </c>
      <c r="G29" s="37">
        <v>-37.710027943130363</v>
      </c>
      <c r="H29" s="33">
        <v>64.330641434759968</v>
      </c>
    </row>
    <row r="30" spans="1:8" x14ac:dyDescent="0.2">
      <c r="A30" s="30"/>
      <c r="B30" s="25" t="s">
        <v>241</v>
      </c>
      <c r="C30" s="26">
        <v>161525</v>
      </c>
      <c r="D30" s="26">
        <v>34290.493589743593</v>
      </c>
      <c r="E30" s="26">
        <v>66033.36538461539</v>
      </c>
      <c r="F30" s="27"/>
      <c r="G30" s="28">
        <v>-59.118795613920206</v>
      </c>
      <c r="H30" s="29">
        <v>92.570472080828239</v>
      </c>
    </row>
    <row r="31" spans="1:8" x14ac:dyDescent="0.2">
      <c r="A31" s="39" t="s">
        <v>11</v>
      </c>
      <c r="B31" s="31" t="s">
        <v>3</v>
      </c>
      <c r="C31" s="20">
        <v>13466</v>
      </c>
      <c r="D31" s="20">
        <v>12717.945965835412</v>
      </c>
      <c r="E31" s="20">
        <v>16452.517095235318</v>
      </c>
      <c r="F31" s="22" t="s">
        <v>240</v>
      </c>
      <c r="G31" s="37">
        <v>22.178205073780759</v>
      </c>
      <c r="H31" s="33">
        <v>29.364577734739498</v>
      </c>
    </row>
    <row r="32" spans="1:8" x14ac:dyDescent="0.2">
      <c r="A32" s="34"/>
      <c r="B32" s="25" t="s">
        <v>241</v>
      </c>
      <c r="C32" s="26">
        <v>1428.2980049875312</v>
      </c>
      <c r="D32" s="26">
        <v>1433.3104738154614</v>
      </c>
      <c r="E32" s="26">
        <v>1816.3347880299252</v>
      </c>
      <c r="F32" s="27"/>
      <c r="G32" s="28">
        <v>27.167774630181725</v>
      </c>
      <c r="H32" s="29">
        <v>26.723052765731637</v>
      </c>
    </row>
    <row r="33" spans="1:8" x14ac:dyDescent="0.2">
      <c r="A33" s="30" t="s">
        <v>12</v>
      </c>
      <c r="B33" s="31" t="s">
        <v>3</v>
      </c>
      <c r="C33" s="20">
        <v>11603.98</v>
      </c>
      <c r="D33" s="20">
        <v>11455.784425960001</v>
      </c>
      <c r="E33" s="20">
        <v>10810.427572468952</v>
      </c>
      <c r="F33" s="22" t="s">
        <v>240</v>
      </c>
      <c r="G33" s="37">
        <v>-6.8386228477733226</v>
      </c>
      <c r="H33" s="33">
        <v>-5.63345843021105</v>
      </c>
    </row>
    <row r="34" spans="1:8" x14ac:dyDescent="0.2">
      <c r="A34" s="30"/>
      <c r="B34" s="25" t="s">
        <v>241</v>
      </c>
      <c r="C34" s="26">
        <v>4087.944</v>
      </c>
      <c r="D34" s="26">
        <v>3104.3150039000002</v>
      </c>
      <c r="E34" s="26">
        <v>3173.5819999999999</v>
      </c>
      <c r="F34" s="27"/>
      <c r="G34" s="28">
        <v>-22.367282917769913</v>
      </c>
      <c r="H34" s="29">
        <v>2.2313133819531288</v>
      </c>
    </row>
    <row r="35" spans="1:8" x14ac:dyDescent="0.2">
      <c r="A35" s="39" t="s">
        <v>13</v>
      </c>
      <c r="B35" s="31" t="s">
        <v>3</v>
      </c>
      <c r="C35" s="20">
        <v>50</v>
      </c>
      <c r="D35" s="20">
        <v>71</v>
      </c>
      <c r="E35" s="20">
        <v>95.999999999999972</v>
      </c>
      <c r="F35" s="22" t="s">
        <v>240</v>
      </c>
      <c r="G35" s="23">
        <v>91.999999999999943</v>
      </c>
      <c r="H35" s="24">
        <v>35.211267605633765</v>
      </c>
    </row>
    <row r="36" spans="1:8" x14ac:dyDescent="0.2">
      <c r="A36" s="34"/>
      <c r="B36" s="25" t="s">
        <v>241</v>
      </c>
      <c r="C36" s="26">
        <v>10</v>
      </c>
      <c r="D36" s="26">
        <v>10</v>
      </c>
      <c r="E36" s="26">
        <v>15</v>
      </c>
      <c r="F36" s="27"/>
      <c r="G36" s="28">
        <v>50</v>
      </c>
      <c r="H36" s="29">
        <v>50</v>
      </c>
    </row>
    <row r="37" spans="1:8" x14ac:dyDescent="0.2">
      <c r="A37" s="30" t="s">
        <v>14</v>
      </c>
      <c r="B37" s="31" t="s">
        <v>3</v>
      </c>
      <c r="C37" s="40">
        <v>125507.67923076924</v>
      </c>
      <c r="D37" s="40">
        <v>140494.83310396923</v>
      </c>
      <c r="E37" s="20">
        <v>130760.20128704784</v>
      </c>
      <c r="F37" s="22" t="s">
        <v>240</v>
      </c>
      <c r="G37" s="23">
        <v>4.185020461274604</v>
      </c>
      <c r="H37" s="24">
        <v>-6.9288183784791357</v>
      </c>
    </row>
    <row r="38" spans="1:8" ht="13.5" thickBot="1" x14ac:dyDescent="0.25">
      <c r="A38" s="41"/>
      <c r="B38" s="42" t="s">
        <v>241</v>
      </c>
      <c r="C38" s="43">
        <v>29148.745000000003</v>
      </c>
      <c r="D38" s="43">
        <v>35400.205769230772</v>
      </c>
      <c r="E38" s="43">
        <v>32040.479807692307</v>
      </c>
      <c r="F38" s="44"/>
      <c r="G38" s="45">
        <v>9.9206151334896333</v>
      </c>
      <c r="H38" s="46">
        <v>-9.4906961373051644</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10">
        <v>9</v>
      </c>
    </row>
    <row r="62" spans="1:8" ht="12.75" customHeight="1" x14ac:dyDescent="0.2">
      <c r="A62" s="54" t="s">
        <v>243</v>
      </c>
      <c r="G62" s="53"/>
      <c r="H62" s="203"/>
    </row>
    <row r="63" spans="1:8" x14ac:dyDescent="0.2">
      <c r="H63" s="87"/>
    </row>
    <row r="64" spans="1:8" x14ac:dyDescent="0.2">
      <c r="A64" s="209"/>
      <c r="H64" s="53"/>
    </row>
    <row r="65" spans="1:8" x14ac:dyDescent="0.2">
      <c r="A65" s="209"/>
      <c r="H65" s="53"/>
    </row>
    <row r="67" spans="1:8" ht="12.75" customHeight="1" x14ac:dyDescent="0.2"/>
    <row r="68" spans="1:8" ht="12.75" customHeight="1" x14ac:dyDescent="0.2"/>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10" ht="5.25" customHeight="1" x14ac:dyDescent="0.2"/>
    <row r="2" spans="1:10" x14ac:dyDescent="0.2">
      <c r="A2" s="92" t="s">
        <v>0</v>
      </c>
      <c r="B2" s="2"/>
      <c r="C2" s="2"/>
      <c r="D2" s="2"/>
      <c r="E2" s="2"/>
      <c r="F2" s="2"/>
      <c r="G2" s="2"/>
    </row>
    <row r="3" spans="1:10" ht="6" customHeight="1" x14ac:dyDescent="0.25">
      <c r="A3" s="3"/>
      <c r="B3" s="2"/>
      <c r="C3" s="2"/>
      <c r="D3" s="2"/>
      <c r="E3" s="2"/>
      <c r="F3" s="2"/>
      <c r="G3" s="2"/>
    </row>
    <row r="4" spans="1:10" ht="16.5" thickBot="1" x14ac:dyDescent="0.3">
      <c r="A4" s="4" t="s">
        <v>15</v>
      </c>
      <c r="B4" s="5"/>
      <c r="C4" s="5"/>
      <c r="D4" s="5"/>
      <c r="E4" s="5"/>
      <c r="F4" s="5"/>
      <c r="G4" s="5"/>
      <c r="H4" s="6"/>
    </row>
    <row r="5" spans="1:10" x14ac:dyDescent="0.2">
      <c r="A5" s="7"/>
      <c r="B5" s="8"/>
      <c r="C5" s="211" t="s">
        <v>16</v>
      </c>
      <c r="D5" s="205"/>
      <c r="E5" s="205"/>
      <c r="F5" s="212"/>
      <c r="G5" s="205" t="s">
        <v>1</v>
      </c>
      <c r="H5" s="206"/>
    </row>
    <row r="6" spans="1:10" x14ac:dyDescent="0.2">
      <c r="A6" s="12"/>
      <c r="B6" s="13"/>
      <c r="C6" s="14" t="s">
        <v>235</v>
      </c>
      <c r="D6" s="15" t="s">
        <v>236</v>
      </c>
      <c r="E6" s="15" t="s">
        <v>237</v>
      </c>
      <c r="F6" s="16"/>
      <c r="G6" s="17" t="s">
        <v>238</v>
      </c>
      <c r="H6" s="18" t="s">
        <v>239</v>
      </c>
    </row>
    <row r="7" spans="1:10" x14ac:dyDescent="0.2">
      <c r="A7" s="207" t="s">
        <v>2</v>
      </c>
      <c r="B7" s="19" t="s">
        <v>3</v>
      </c>
      <c r="C7" s="80">
        <v>43726.073478287661</v>
      </c>
      <c r="D7" s="80">
        <v>45680.704693907937</v>
      </c>
      <c r="E7" s="81">
        <v>47273.719754399783</v>
      </c>
      <c r="F7" s="22" t="s">
        <v>240</v>
      </c>
      <c r="G7" s="23">
        <v>8.1133428956837719</v>
      </c>
      <c r="H7" s="24">
        <v>3.4872821493585633</v>
      </c>
    </row>
    <row r="8" spans="1:10" x14ac:dyDescent="0.2">
      <c r="A8" s="208"/>
      <c r="B8" s="25" t="s">
        <v>241</v>
      </c>
      <c r="C8" s="82">
        <v>12793.478040094158</v>
      </c>
      <c r="D8" s="82">
        <v>12211.297623340452</v>
      </c>
      <c r="E8" s="82">
        <v>13011.649405550339</v>
      </c>
      <c r="F8" s="27"/>
      <c r="G8" s="28">
        <v>1.705332707590884</v>
      </c>
      <c r="H8" s="29">
        <v>6.5541911015264134</v>
      </c>
      <c r="J8" s="94"/>
    </row>
    <row r="9" spans="1:10" x14ac:dyDescent="0.2">
      <c r="A9" s="30" t="s">
        <v>4</v>
      </c>
      <c r="B9" s="31" t="s">
        <v>3</v>
      </c>
      <c r="C9" s="80">
        <v>11715.583932812993</v>
      </c>
      <c r="D9" s="80">
        <v>11385.695872801123</v>
      </c>
      <c r="E9" s="80">
        <v>12162.993638849857</v>
      </c>
      <c r="F9" s="22" t="s">
        <v>240</v>
      </c>
      <c r="G9" s="32">
        <v>3.8189279220112837</v>
      </c>
      <c r="H9" s="33">
        <v>6.8269675804848475</v>
      </c>
    </row>
    <row r="10" spans="1:10" x14ac:dyDescent="0.2">
      <c r="A10" s="34"/>
      <c r="B10" s="25" t="s">
        <v>241</v>
      </c>
      <c r="C10" s="82">
        <v>3285.8595143460511</v>
      </c>
      <c r="D10" s="82">
        <v>2937.5130537789141</v>
      </c>
      <c r="E10" s="82">
        <v>3224.1534070860903</v>
      </c>
      <c r="F10" s="27"/>
      <c r="G10" s="35">
        <v>-1.8779289555914431</v>
      </c>
      <c r="H10" s="29">
        <v>9.7579261116280946</v>
      </c>
      <c r="J10" s="94"/>
    </row>
    <row r="11" spans="1:10" x14ac:dyDescent="0.2">
      <c r="A11" s="30" t="s">
        <v>5</v>
      </c>
      <c r="B11" s="31" t="s">
        <v>3</v>
      </c>
      <c r="C11" s="80">
        <v>3786.8559341359833</v>
      </c>
      <c r="D11" s="80">
        <v>5032.2747691775403</v>
      </c>
      <c r="E11" s="80">
        <v>5630.8371948572849</v>
      </c>
      <c r="F11" s="22" t="s">
        <v>240</v>
      </c>
      <c r="G11" s="37">
        <v>48.694254357527541</v>
      </c>
      <c r="H11" s="33">
        <v>11.894470257186924</v>
      </c>
    </row>
    <row r="12" spans="1:10" x14ac:dyDescent="0.2">
      <c r="A12" s="34"/>
      <c r="B12" s="25" t="s">
        <v>241</v>
      </c>
      <c r="C12" s="82">
        <v>1136.2718205764172</v>
      </c>
      <c r="D12" s="82">
        <v>1409.0678782603077</v>
      </c>
      <c r="E12" s="82">
        <v>1612.5882634197183</v>
      </c>
      <c r="F12" s="27"/>
      <c r="G12" s="28">
        <v>41.919233955979934</v>
      </c>
      <c r="H12" s="29">
        <v>14.443618245750173</v>
      </c>
    </row>
    <row r="13" spans="1:10" x14ac:dyDescent="0.2">
      <c r="A13" s="30" t="s">
        <v>6</v>
      </c>
      <c r="B13" s="31" t="s">
        <v>3</v>
      </c>
      <c r="C13" s="80">
        <v>8740.3543440821522</v>
      </c>
      <c r="D13" s="80">
        <v>9329.6259879792105</v>
      </c>
      <c r="E13" s="80">
        <v>8529.267551718267</v>
      </c>
      <c r="F13" s="22" t="s">
        <v>240</v>
      </c>
      <c r="G13" s="23">
        <v>-2.4150827764415084</v>
      </c>
      <c r="H13" s="24">
        <v>-8.5786765438632671</v>
      </c>
    </row>
    <row r="14" spans="1:10" x14ac:dyDescent="0.2">
      <c r="A14" s="34"/>
      <c r="B14" s="25" t="s">
        <v>241</v>
      </c>
      <c r="C14" s="82">
        <v>2229.8794272830219</v>
      </c>
      <c r="D14" s="82">
        <v>2965.4204490303</v>
      </c>
      <c r="E14" s="82">
        <v>2505.6769390314967</v>
      </c>
      <c r="F14" s="27"/>
      <c r="G14" s="38">
        <v>12.368270157302533</v>
      </c>
      <c r="H14" s="24">
        <v>-15.503484848131421</v>
      </c>
    </row>
    <row r="15" spans="1:10" x14ac:dyDescent="0.2">
      <c r="A15" s="30" t="s">
        <v>168</v>
      </c>
      <c r="B15" s="31" t="s">
        <v>3</v>
      </c>
      <c r="C15" s="80">
        <v>5870.5359812985025</v>
      </c>
      <c r="D15" s="80">
        <v>6062.0590272136797</v>
      </c>
      <c r="E15" s="80">
        <v>5995.5045487302386</v>
      </c>
      <c r="F15" s="22" t="s">
        <v>240</v>
      </c>
      <c r="G15" s="37">
        <v>2.1287420404174924</v>
      </c>
      <c r="H15" s="33">
        <v>-1.0978856884214707</v>
      </c>
    </row>
    <row r="16" spans="1:10" x14ac:dyDescent="0.2">
      <c r="A16" s="34"/>
      <c r="B16" s="25" t="s">
        <v>241</v>
      </c>
      <c r="C16" s="82">
        <v>1959.3996641893941</v>
      </c>
      <c r="D16" s="82">
        <v>1585.4037215067142</v>
      </c>
      <c r="E16" s="82">
        <v>1689.9175000707487</v>
      </c>
      <c r="F16" s="27"/>
      <c r="G16" s="28">
        <v>-13.753302557093704</v>
      </c>
      <c r="H16" s="29">
        <v>6.5922501093102142</v>
      </c>
    </row>
    <row r="17" spans="1:8" x14ac:dyDescent="0.2">
      <c r="A17" s="30" t="s">
        <v>7</v>
      </c>
      <c r="B17" s="31" t="s">
        <v>3</v>
      </c>
      <c r="C17" s="80">
        <v>1776.8332046777334</v>
      </c>
      <c r="D17" s="80">
        <v>1811.9238978132253</v>
      </c>
      <c r="E17" s="80">
        <v>1693.101229731629</v>
      </c>
      <c r="F17" s="22" t="s">
        <v>240</v>
      </c>
      <c r="G17" s="23">
        <v>-4.7124274088119051</v>
      </c>
      <c r="H17" s="24">
        <v>-6.5578178103948517</v>
      </c>
    </row>
    <row r="18" spans="1:8" x14ac:dyDescent="0.2">
      <c r="A18" s="30"/>
      <c r="B18" s="25" t="s">
        <v>241</v>
      </c>
      <c r="C18" s="82">
        <v>488.6673083519845</v>
      </c>
      <c r="D18" s="82">
        <v>482.14262646559507</v>
      </c>
      <c r="E18" s="82">
        <v>455.45258046041744</v>
      </c>
      <c r="F18" s="27"/>
      <c r="G18" s="38">
        <v>-6.7970022393318459</v>
      </c>
      <c r="H18" s="24">
        <v>-5.5357158940358033</v>
      </c>
    </row>
    <row r="19" spans="1:8" x14ac:dyDescent="0.2">
      <c r="A19" s="39" t="s">
        <v>8</v>
      </c>
      <c r="B19" s="31" t="s">
        <v>3</v>
      </c>
      <c r="C19" s="80">
        <v>2036.0218121420889</v>
      </c>
      <c r="D19" s="80">
        <v>2387.3848808729376</v>
      </c>
      <c r="E19" s="80">
        <v>3009.5312060026777</v>
      </c>
      <c r="F19" s="22" t="s">
        <v>240</v>
      </c>
      <c r="G19" s="37">
        <v>47.814290989169905</v>
      </c>
      <c r="H19" s="33">
        <v>26.059741356083933</v>
      </c>
    </row>
    <row r="20" spans="1:8" x14ac:dyDescent="0.2">
      <c r="A20" s="34"/>
      <c r="B20" s="25" t="s">
        <v>241</v>
      </c>
      <c r="C20" s="82">
        <v>502.10305881512238</v>
      </c>
      <c r="D20" s="82">
        <v>609.6751307627203</v>
      </c>
      <c r="E20" s="82">
        <v>759.55744125825504</v>
      </c>
      <c r="F20" s="27"/>
      <c r="G20" s="28">
        <v>51.275206936735486</v>
      </c>
      <c r="H20" s="29">
        <v>24.58396331633665</v>
      </c>
    </row>
    <row r="21" spans="1:8" x14ac:dyDescent="0.2">
      <c r="A21" s="39" t="s">
        <v>9</v>
      </c>
      <c r="B21" s="31" t="s">
        <v>3</v>
      </c>
      <c r="C21" s="80">
        <v>790.99551165503703</v>
      </c>
      <c r="D21" s="80">
        <v>1120.2980383203794</v>
      </c>
      <c r="E21" s="80">
        <v>1174.4822554422385</v>
      </c>
      <c r="F21" s="22" t="s">
        <v>240</v>
      </c>
      <c r="G21" s="37">
        <v>48.481532213098689</v>
      </c>
      <c r="H21" s="33">
        <v>4.8365894849816442</v>
      </c>
    </row>
    <row r="22" spans="1:8" x14ac:dyDescent="0.2">
      <c r="A22" s="34"/>
      <c r="B22" s="25" t="s">
        <v>241</v>
      </c>
      <c r="C22" s="82">
        <v>218.00562808048574</v>
      </c>
      <c r="D22" s="82">
        <v>254.93649516953667</v>
      </c>
      <c r="E22" s="82">
        <v>283.75611025797389</v>
      </c>
      <c r="F22" s="27"/>
      <c r="G22" s="28">
        <v>30.159993004040075</v>
      </c>
      <c r="H22" s="29">
        <v>11.304625126061978</v>
      </c>
    </row>
    <row r="23" spans="1:8" x14ac:dyDescent="0.2">
      <c r="A23" s="39" t="s">
        <v>190</v>
      </c>
      <c r="B23" s="31" t="s">
        <v>3</v>
      </c>
      <c r="C23" s="80">
        <v>1443.9436886190492</v>
      </c>
      <c r="D23" s="80">
        <v>1934.5070014632756</v>
      </c>
      <c r="E23" s="80">
        <v>2140.0328288129494</v>
      </c>
      <c r="F23" s="22" t="s">
        <v>240</v>
      </c>
      <c r="G23" s="23">
        <v>48.207499065259412</v>
      </c>
      <c r="H23" s="24">
        <v>10.6241966141354</v>
      </c>
    </row>
    <row r="24" spans="1:8" x14ac:dyDescent="0.2">
      <c r="A24" s="34"/>
      <c r="B24" s="25" t="s">
        <v>241</v>
      </c>
      <c r="C24" s="82">
        <v>371.52526909084611</v>
      </c>
      <c r="D24" s="82">
        <v>436.23363324952498</v>
      </c>
      <c r="E24" s="82">
        <v>498.87576821145706</v>
      </c>
      <c r="F24" s="27"/>
      <c r="G24" s="38">
        <v>34.277748975796044</v>
      </c>
      <c r="H24" s="24">
        <v>14.359767378619523</v>
      </c>
    </row>
    <row r="25" spans="1:8" x14ac:dyDescent="0.2">
      <c r="A25" s="39" t="s">
        <v>191</v>
      </c>
      <c r="B25" s="31" t="s">
        <v>3</v>
      </c>
      <c r="C25" s="80">
        <v>590.1806121196131</v>
      </c>
      <c r="D25" s="80">
        <v>604.64367061974212</v>
      </c>
      <c r="E25" s="80">
        <v>725.88311989762281</v>
      </c>
      <c r="F25" s="22" t="s">
        <v>240</v>
      </c>
      <c r="G25" s="37">
        <v>22.993386260290521</v>
      </c>
      <c r="H25" s="33">
        <v>20.051388142972499</v>
      </c>
    </row>
    <row r="26" spans="1:8" x14ac:dyDescent="0.2">
      <c r="A26" s="34"/>
      <c r="B26" s="25" t="s">
        <v>241</v>
      </c>
      <c r="C26" s="82">
        <v>198.64649855446481</v>
      </c>
      <c r="D26" s="82">
        <v>165.20781349782061</v>
      </c>
      <c r="E26" s="82">
        <v>192.37533394794895</v>
      </c>
      <c r="F26" s="27"/>
      <c r="G26" s="38">
        <v>-3.1569469646586441</v>
      </c>
      <c r="H26" s="24">
        <v>16.444452520090238</v>
      </c>
    </row>
    <row r="27" spans="1:8" x14ac:dyDescent="0.2">
      <c r="A27" s="39" t="s">
        <v>192</v>
      </c>
      <c r="B27" s="31" t="s">
        <v>3</v>
      </c>
      <c r="C27" s="80">
        <v>1456.5722955892095</v>
      </c>
      <c r="D27" s="80">
        <v>1704.7751721129091</v>
      </c>
      <c r="E27" s="80">
        <v>1906.4620438902307</v>
      </c>
      <c r="F27" s="22" t="s">
        <v>240</v>
      </c>
      <c r="G27" s="37">
        <v>30.886880772301993</v>
      </c>
      <c r="H27" s="33">
        <v>11.830702081808809</v>
      </c>
    </row>
    <row r="28" spans="1:8" x14ac:dyDescent="0.2">
      <c r="A28" s="34"/>
      <c r="B28" s="25" t="s">
        <v>241</v>
      </c>
      <c r="C28" s="82">
        <v>369.5314769139809</v>
      </c>
      <c r="D28" s="82">
        <v>447.15987373804472</v>
      </c>
      <c r="E28" s="82">
        <v>491.99434026468953</v>
      </c>
      <c r="F28" s="27"/>
      <c r="G28" s="38">
        <v>33.140035694229994</v>
      </c>
      <c r="H28" s="24">
        <v>10.02649592680352</v>
      </c>
    </row>
    <row r="29" spans="1:8" x14ac:dyDescent="0.2">
      <c r="A29" s="30" t="s">
        <v>10</v>
      </c>
      <c r="B29" s="31" t="s">
        <v>3</v>
      </c>
      <c r="C29" s="80">
        <v>2302.5662864483888</v>
      </c>
      <c r="D29" s="80">
        <v>773.78802688841336</v>
      </c>
      <c r="E29" s="80">
        <v>2177.6131675028901</v>
      </c>
      <c r="F29" s="22" t="s">
        <v>240</v>
      </c>
      <c r="G29" s="37">
        <v>-5.4266893283768809</v>
      </c>
      <c r="H29" s="33">
        <v>181.42244281804068</v>
      </c>
    </row>
    <row r="30" spans="1:8" x14ac:dyDescent="0.2">
      <c r="A30" s="30"/>
      <c r="B30" s="25" t="s">
        <v>241</v>
      </c>
      <c r="C30" s="82">
        <v>1302.9366576102254</v>
      </c>
      <c r="D30" s="82">
        <v>110.55182730182818</v>
      </c>
      <c r="E30" s="82">
        <v>414.36619515244865</v>
      </c>
      <c r="F30" s="27"/>
      <c r="G30" s="28">
        <v>-68.197518065655146</v>
      </c>
      <c r="H30" s="29">
        <v>274.81623349485449</v>
      </c>
    </row>
    <row r="31" spans="1:8" x14ac:dyDescent="0.2">
      <c r="A31" s="39" t="s">
        <v>11</v>
      </c>
      <c r="B31" s="31" t="s">
        <v>3</v>
      </c>
      <c r="C31" s="80">
        <v>607.81922434697947</v>
      </c>
      <c r="D31" s="80">
        <v>593.00593686028049</v>
      </c>
      <c r="E31" s="80">
        <v>748.63662069104657</v>
      </c>
      <c r="F31" s="22" t="s">
        <v>240</v>
      </c>
      <c r="G31" s="23">
        <v>23.16764437573633</v>
      </c>
      <c r="H31" s="24">
        <v>26.24437196274387</v>
      </c>
    </row>
    <row r="32" spans="1:8" x14ac:dyDescent="0.2">
      <c r="A32" s="34"/>
      <c r="B32" s="25" t="s">
        <v>241</v>
      </c>
      <c r="C32" s="82">
        <v>66.026009004013829</v>
      </c>
      <c r="D32" s="82">
        <v>64.208836868916421</v>
      </c>
      <c r="E32" s="82">
        <v>81.147399862018034</v>
      </c>
      <c r="F32" s="27"/>
      <c r="G32" s="38">
        <v>22.902173077105047</v>
      </c>
      <c r="H32" s="24">
        <v>26.380423348396761</v>
      </c>
    </row>
    <row r="33" spans="1:8" x14ac:dyDescent="0.2">
      <c r="A33" s="30" t="s">
        <v>12</v>
      </c>
      <c r="B33" s="31" t="s">
        <v>3</v>
      </c>
      <c r="C33" s="80">
        <v>1394.3954936555808</v>
      </c>
      <c r="D33" s="80">
        <v>1493.657688654961</v>
      </c>
      <c r="E33" s="80">
        <v>1550.796845069947</v>
      </c>
      <c r="F33" s="22" t="s">
        <v>240</v>
      </c>
      <c r="G33" s="37">
        <v>11.216426912305977</v>
      </c>
      <c r="H33" s="33">
        <v>3.8254518989849515</v>
      </c>
    </row>
    <row r="34" spans="1:8" x14ac:dyDescent="0.2">
      <c r="A34" s="30"/>
      <c r="B34" s="25" t="s">
        <v>241</v>
      </c>
      <c r="C34" s="82">
        <v>374.9547510546671</v>
      </c>
      <c r="D34" s="82">
        <v>398.64248721138262</v>
      </c>
      <c r="E34" s="82">
        <v>414.92680469493013</v>
      </c>
      <c r="F34" s="27"/>
      <c r="G34" s="28">
        <v>10.660500641165441</v>
      </c>
      <c r="H34" s="29">
        <v>4.0849427760349784</v>
      </c>
    </row>
    <row r="35" spans="1:8" x14ac:dyDescent="0.2">
      <c r="A35" s="39" t="s">
        <v>13</v>
      </c>
      <c r="B35" s="31" t="s">
        <v>3</v>
      </c>
      <c r="C35" s="80">
        <v>143.74115385315406</v>
      </c>
      <c r="D35" s="80">
        <v>189.00435847148509</v>
      </c>
      <c r="E35" s="80">
        <v>162.54832623666593</v>
      </c>
      <c r="F35" s="22" t="s">
        <v>240</v>
      </c>
      <c r="G35" s="23">
        <v>13.084055525757975</v>
      </c>
      <c r="H35" s="24">
        <v>-13.99757785946008</v>
      </c>
    </row>
    <row r="36" spans="1:8" x14ac:dyDescent="0.2">
      <c r="A36" s="34"/>
      <c r="B36" s="25" t="s">
        <v>241</v>
      </c>
      <c r="C36" s="82">
        <v>35.680164690636182</v>
      </c>
      <c r="D36" s="82">
        <v>25.507322123697413</v>
      </c>
      <c r="E36" s="82">
        <v>25.872207222590546</v>
      </c>
      <c r="F36" s="27"/>
      <c r="G36" s="28">
        <v>-27.488543152996186</v>
      </c>
      <c r="H36" s="29">
        <v>1.4305111964463748</v>
      </c>
    </row>
    <row r="37" spans="1:8" x14ac:dyDescent="0.2">
      <c r="A37" s="30" t="s">
        <v>14</v>
      </c>
      <c r="B37" s="31" t="s">
        <v>3</v>
      </c>
      <c r="C37" s="85">
        <v>1069.6740028511836</v>
      </c>
      <c r="D37" s="85">
        <v>1258.060364658754</v>
      </c>
      <c r="E37" s="83">
        <v>1454.0080487458888</v>
      </c>
      <c r="F37" s="22" t="s">
        <v>240</v>
      </c>
      <c r="G37" s="23">
        <v>35.930016516272673</v>
      </c>
      <c r="H37" s="24">
        <v>15.575380132119903</v>
      </c>
    </row>
    <row r="38" spans="1:8" ht="13.5" thickBot="1" x14ac:dyDescent="0.25">
      <c r="A38" s="41"/>
      <c r="B38" s="42" t="s">
        <v>241</v>
      </c>
      <c r="C38" s="86">
        <v>253.99079153284541</v>
      </c>
      <c r="D38" s="86">
        <v>319.62647437515631</v>
      </c>
      <c r="E38" s="86">
        <v>360.98911460955628</v>
      </c>
      <c r="F38" s="44"/>
      <c r="G38" s="45">
        <v>42.12685130471516</v>
      </c>
      <c r="H38" s="46">
        <v>12.940930601966102</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H61" s="202">
        <v>10</v>
      </c>
    </row>
    <row r="62" spans="1:8" ht="12.75" customHeight="1" x14ac:dyDescent="0.2">
      <c r="A62" s="54" t="s">
        <v>243</v>
      </c>
      <c r="H62" s="203"/>
    </row>
    <row r="67" ht="12.75" customHeight="1" x14ac:dyDescent="0.2"/>
    <row r="68" ht="12.75" customHeight="1" x14ac:dyDescent="0.2"/>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145</v>
      </c>
      <c r="B4" s="5"/>
      <c r="C4" s="5"/>
      <c r="D4" s="5"/>
      <c r="E4" s="5"/>
      <c r="F4" s="5"/>
      <c r="G4" s="5"/>
      <c r="H4" s="6"/>
    </row>
    <row r="5" spans="1:8" x14ac:dyDescent="0.2">
      <c r="A5" s="7"/>
      <c r="B5" s="8"/>
      <c r="C5" s="9"/>
      <c r="D5" s="8"/>
      <c r="E5" s="10"/>
      <c r="F5" s="11"/>
      <c r="G5" s="205" t="s">
        <v>1</v>
      </c>
      <c r="H5" s="206"/>
    </row>
    <row r="6" spans="1:8" x14ac:dyDescent="0.2">
      <c r="A6" s="12"/>
      <c r="B6" s="13"/>
      <c r="C6" s="14" t="s">
        <v>235</v>
      </c>
      <c r="D6" s="15" t="s">
        <v>236</v>
      </c>
      <c r="E6" s="15" t="s">
        <v>237</v>
      </c>
      <c r="F6" s="16"/>
      <c r="G6" s="17" t="s">
        <v>238</v>
      </c>
      <c r="H6" s="18" t="s">
        <v>239</v>
      </c>
    </row>
    <row r="7" spans="1:8" x14ac:dyDescent="0.2">
      <c r="A7" s="207" t="s">
        <v>26</v>
      </c>
      <c r="B7" s="19" t="s">
        <v>3</v>
      </c>
      <c r="C7" s="20">
        <v>905544.03497757844</v>
      </c>
      <c r="D7" s="20">
        <v>951813.97167414054</v>
      </c>
      <c r="E7" s="21">
        <v>986484.57107586646</v>
      </c>
      <c r="F7" s="22" t="s">
        <v>240</v>
      </c>
      <c r="G7" s="23">
        <v>8.9383324246945222</v>
      </c>
      <c r="H7" s="24">
        <v>3.6425814742710827</v>
      </c>
    </row>
    <row r="8" spans="1:8" x14ac:dyDescent="0.2">
      <c r="A8" s="208"/>
      <c r="B8" s="25" t="s">
        <v>241</v>
      </c>
      <c r="C8" s="26">
        <v>243463.78393124064</v>
      </c>
      <c r="D8" s="26">
        <v>246036.64372197312</v>
      </c>
      <c r="E8" s="26">
        <v>258318.84641255607</v>
      </c>
      <c r="F8" s="27"/>
      <c r="G8" s="28">
        <v>6.1015491673746425</v>
      </c>
      <c r="H8" s="29">
        <v>4.9920217187087417</v>
      </c>
    </row>
    <row r="9" spans="1:8" x14ac:dyDescent="0.2">
      <c r="A9" s="30" t="s">
        <v>28</v>
      </c>
      <c r="B9" s="31" t="s">
        <v>3</v>
      </c>
      <c r="C9" s="20">
        <v>834648.18798206281</v>
      </c>
      <c r="D9" s="20">
        <v>874362.06733931229</v>
      </c>
      <c r="E9" s="21">
        <v>898547.91256057762</v>
      </c>
      <c r="F9" s="22" t="s">
        <v>240</v>
      </c>
      <c r="G9" s="32">
        <v>7.6558872946223886</v>
      </c>
      <c r="H9" s="33">
        <v>2.7661132755750799</v>
      </c>
    </row>
    <row r="10" spans="1:8" x14ac:dyDescent="0.2">
      <c r="A10" s="34"/>
      <c r="B10" s="25" t="s">
        <v>241</v>
      </c>
      <c r="C10" s="26">
        <v>226318.19714499253</v>
      </c>
      <c r="D10" s="26">
        <v>229482.08497757849</v>
      </c>
      <c r="E10" s="26">
        <v>238378.52713004485</v>
      </c>
      <c r="F10" s="27"/>
      <c r="G10" s="35">
        <v>5.3289263246144287</v>
      </c>
      <c r="H10" s="29">
        <v>3.8767480055515335</v>
      </c>
    </row>
    <row r="11" spans="1:8" x14ac:dyDescent="0.2">
      <c r="A11" s="30" t="s">
        <v>29</v>
      </c>
      <c r="B11" s="31" t="s">
        <v>3</v>
      </c>
      <c r="C11" s="20">
        <v>29354.423497757845</v>
      </c>
      <c r="D11" s="20">
        <v>32860.952167414056</v>
      </c>
      <c r="E11" s="21">
        <v>39953.753158924876</v>
      </c>
      <c r="F11" s="22" t="s">
        <v>240</v>
      </c>
      <c r="G11" s="37">
        <v>36.10811727226266</v>
      </c>
      <c r="H11" s="33">
        <v>21.584283241020216</v>
      </c>
    </row>
    <row r="12" spans="1:8" x14ac:dyDescent="0.2">
      <c r="A12" s="34"/>
      <c r="B12" s="25" t="s">
        <v>241</v>
      </c>
      <c r="C12" s="26">
        <v>9119.2933931240659</v>
      </c>
      <c r="D12" s="26">
        <v>8297.7793721973085</v>
      </c>
      <c r="E12" s="26">
        <v>10760.159641255605</v>
      </c>
      <c r="F12" s="27"/>
      <c r="G12" s="28">
        <v>17.993348578616292</v>
      </c>
      <c r="H12" s="29">
        <v>29.675171616502496</v>
      </c>
    </row>
    <row r="13" spans="1:8" x14ac:dyDescent="0.2">
      <c r="A13" s="30" t="s">
        <v>27</v>
      </c>
      <c r="B13" s="31" t="s">
        <v>3</v>
      </c>
      <c r="C13" s="20">
        <v>11188.027049327355</v>
      </c>
      <c r="D13" s="20">
        <v>11475.585650224215</v>
      </c>
      <c r="E13" s="21">
        <v>12986.137627258957</v>
      </c>
      <c r="F13" s="22" t="s">
        <v>240</v>
      </c>
      <c r="G13" s="23">
        <v>16.0717396374163</v>
      </c>
      <c r="H13" s="24">
        <v>13.163179841764588</v>
      </c>
    </row>
    <row r="14" spans="1:8" x14ac:dyDescent="0.2">
      <c r="A14" s="34"/>
      <c r="B14" s="25" t="s">
        <v>241</v>
      </c>
      <c r="C14" s="26">
        <v>1269.5880179372198</v>
      </c>
      <c r="D14" s="26">
        <v>1265.7338116591927</v>
      </c>
      <c r="E14" s="26">
        <v>1445.8478923766816</v>
      </c>
      <c r="F14" s="27"/>
      <c r="G14" s="38">
        <v>13.883233927005904</v>
      </c>
      <c r="H14" s="24">
        <v>14.230012587037194</v>
      </c>
    </row>
    <row r="15" spans="1:8" x14ac:dyDescent="0.2">
      <c r="A15" s="30" t="s">
        <v>30</v>
      </c>
      <c r="B15" s="31" t="s">
        <v>3</v>
      </c>
      <c r="C15" s="20">
        <v>14655.36939910314</v>
      </c>
      <c r="D15" s="20">
        <v>14735.780866965621</v>
      </c>
      <c r="E15" s="21">
        <v>15899.62310185567</v>
      </c>
      <c r="F15" s="22" t="s">
        <v>240</v>
      </c>
      <c r="G15" s="37">
        <v>8.4900876181850151</v>
      </c>
      <c r="H15" s="33">
        <v>7.8980696401310411</v>
      </c>
    </row>
    <row r="16" spans="1:8" x14ac:dyDescent="0.2">
      <c r="A16" s="34"/>
      <c r="B16" s="25" t="s">
        <v>241</v>
      </c>
      <c r="C16" s="26">
        <v>4010.1173572496264</v>
      </c>
      <c r="D16" s="26">
        <v>4363.3117488789239</v>
      </c>
      <c r="E16" s="26">
        <v>4582.4638565022424</v>
      </c>
      <c r="F16" s="27"/>
      <c r="G16" s="28">
        <v>14.272562328329585</v>
      </c>
      <c r="H16" s="29">
        <v>5.0226094360465083</v>
      </c>
    </row>
    <row r="17" spans="1:9" x14ac:dyDescent="0.2">
      <c r="A17" s="30" t="s">
        <v>31</v>
      </c>
      <c r="B17" s="31" t="s">
        <v>3</v>
      </c>
      <c r="C17" s="20">
        <v>15698.027049327355</v>
      </c>
      <c r="D17" s="20">
        <v>18379.585650224217</v>
      </c>
      <c r="E17" s="21">
        <v>20701.746489498553</v>
      </c>
      <c r="F17" s="22" t="s">
        <v>240</v>
      </c>
      <c r="G17" s="37">
        <v>31.874830030857936</v>
      </c>
      <c r="H17" s="33">
        <v>12.63445696473579</v>
      </c>
    </row>
    <row r="18" spans="1:9" ht="13.5" thickBot="1" x14ac:dyDescent="0.25">
      <c r="A18" s="56"/>
      <c r="B18" s="42" t="s">
        <v>241</v>
      </c>
      <c r="C18" s="43">
        <v>2746.5880179372198</v>
      </c>
      <c r="D18" s="43">
        <v>2627.7338116591927</v>
      </c>
      <c r="E18" s="43">
        <v>3151.8478923766816</v>
      </c>
      <c r="F18" s="44"/>
      <c r="G18" s="57">
        <v>14.75502957825563</v>
      </c>
      <c r="H18" s="46">
        <v>19.945478434383546</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32</v>
      </c>
      <c r="B32" s="5"/>
      <c r="C32" s="5"/>
      <c r="D32" s="5"/>
      <c r="E32" s="5"/>
      <c r="F32" s="5"/>
      <c r="G32" s="5"/>
      <c r="H32" s="6"/>
    </row>
    <row r="33" spans="1:9" x14ac:dyDescent="0.2">
      <c r="A33" s="7"/>
      <c r="B33" s="8"/>
      <c r="C33" s="211" t="s">
        <v>16</v>
      </c>
      <c r="D33" s="205"/>
      <c r="E33" s="205"/>
      <c r="F33" s="212"/>
      <c r="G33" s="205" t="s">
        <v>1</v>
      </c>
      <c r="H33" s="206"/>
    </row>
    <row r="34" spans="1:9" x14ac:dyDescent="0.2">
      <c r="A34" s="12"/>
      <c r="B34" s="13"/>
      <c r="C34" s="14" t="s">
        <v>235</v>
      </c>
      <c r="D34" s="15" t="s">
        <v>236</v>
      </c>
      <c r="E34" s="15" t="s">
        <v>237</v>
      </c>
      <c r="F34" s="16"/>
      <c r="G34" s="17" t="s">
        <v>238</v>
      </c>
      <c r="H34" s="18" t="s">
        <v>239</v>
      </c>
    </row>
    <row r="35" spans="1:9" ht="12.75" customHeight="1" x14ac:dyDescent="0.2">
      <c r="A35" s="207" t="s">
        <v>26</v>
      </c>
      <c r="B35" s="19" t="s">
        <v>3</v>
      </c>
      <c r="C35" s="80">
        <v>15502.439866948975</v>
      </c>
      <c r="D35" s="80">
        <v>16417.970641978663</v>
      </c>
      <c r="E35" s="83">
        <v>17831.581464952174</v>
      </c>
      <c r="F35" s="22" t="s">
        <v>240</v>
      </c>
      <c r="G35" s="23">
        <v>15.024354991815841</v>
      </c>
      <c r="H35" s="24">
        <v>8.6101434446416221</v>
      </c>
    </row>
    <row r="36" spans="1:9" ht="12.75" customHeight="1" x14ac:dyDescent="0.2">
      <c r="A36" s="208"/>
      <c r="B36" s="25" t="s">
        <v>241</v>
      </c>
      <c r="C36" s="82">
        <v>4422.1313349224674</v>
      </c>
      <c r="D36" s="82">
        <v>4346.5809320392218</v>
      </c>
      <c r="E36" s="82">
        <v>4836.7416705058085</v>
      </c>
      <c r="F36" s="27"/>
      <c r="G36" s="28">
        <v>9.3758032989450015</v>
      </c>
      <c r="H36" s="29">
        <v>11.276926534452556</v>
      </c>
    </row>
    <row r="37" spans="1:9" x14ac:dyDescent="0.2">
      <c r="A37" s="30" t="s">
        <v>28</v>
      </c>
      <c r="B37" s="31" t="s">
        <v>3</v>
      </c>
      <c r="C37" s="80">
        <v>12905.803856264894</v>
      </c>
      <c r="D37" s="80">
        <v>13580.769686566022</v>
      </c>
      <c r="E37" s="83">
        <v>14721.843027346074</v>
      </c>
      <c r="F37" s="22" t="s">
        <v>240</v>
      </c>
      <c r="G37" s="32">
        <v>14.071492107790064</v>
      </c>
      <c r="H37" s="33">
        <v>8.4021257050606692</v>
      </c>
    </row>
    <row r="38" spans="1:9" x14ac:dyDescent="0.2">
      <c r="A38" s="34"/>
      <c r="B38" s="25" t="s">
        <v>241</v>
      </c>
      <c r="C38" s="82">
        <v>3782.0119164239627</v>
      </c>
      <c r="D38" s="82">
        <v>3715.5783146213939</v>
      </c>
      <c r="E38" s="82">
        <v>4118.9214196614203</v>
      </c>
      <c r="F38" s="27"/>
      <c r="G38" s="35">
        <v>8.908208400253244</v>
      </c>
      <c r="H38" s="29">
        <v>10.855459658939409</v>
      </c>
    </row>
    <row r="39" spans="1:9" x14ac:dyDescent="0.2">
      <c r="A39" s="30" t="s">
        <v>29</v>
      </c>
      <c r="B39" s="31" t="s">
        <v>3</v>
      </c>
      <c r="C39" s="80">
        <v>929.77291269380703</v>
      </c>
      <c r="D39" s="80">
        <v>988.33799893854564</v>
      </c>
      <c r="E39" s="83">
        <v>1089.456009723913</v>
      </c>
      <c r="F39" s="22" t="s">
        <v>240</v>
      </c>
      <c r="G39" s="37">
        <v>17.17441913504021</v>
      </c>
      <c r="H39" s="33">
        <v>10.231116368485885</v>
      </c>
    </row>
    <row r="40" spans="1:9" x14ac:dyDescent="0.2">
      <c r="A40" s="34"/>
      <c r="B40" s="25" t="s">
        <v>241</v>
      </c>
      <c r="C40" s="82">
        <v>286.83567481491917</v>
      </c>
      <c r="D40" s="82">
        <v>276.16851806658008</v>
      </c>
      <c r="E40" s="82">
        <v>314.29691526068825</v>
      </c>
      <c r="F40" s="27"/>
      <c r="G40" s="28">
        <v>9.5738580856403104</v>
      </c>
      <c r="H40" s="29">
        <v>13.806206971395625</v>
      </c>
    </row>
    <row r="41" spans="1:9" x14ac:dyDescent="0.2">
      <c r="A41" s="30" t="s">
        <v>27</v>
      </c>
      <c r="B41" s="31" t="s">
        <v>3</v>
      </c>
      <c r="C41" s="80">
        <v>326.40791946298395</v>
      </c>
      <c r="D41" s="80">
        <v>418.04889219756342</v>
      </c>
      <c r="E41" s="83">
        <v>422.62318478303791</v>
      </c>
      <c r="F41" s="22" t="s">
        <v>240</v>
      </c>
      <c r="G41" s="23">
        <v>29.47700088844357</v>
      </c>
      <c r="H41" s="24">
        <v>1.0942003844164532</v>
      </c>
    </row>
    <row r="42" spans="1:9" x14ac:dyDescent="0.2">
      <c r="A42" s="34"/>
      <c r="B42" s="25" t="s">
        <v>241</v>
      </c>
      <c r="C42" s="82">
        <v>43.540807021534185</v>
      </c>
      <c r="D42" s="82">
        <v>44.197997957197877</v>
      </c>
      <c r="E42" s="82">
        <v>48.000463215754543</v>
      </c>
      <c r="F42" s="27"/>
      <c r="G42" s="38">
        <v>10.242474816818898</v>
      </c>
      <c r="H42" s="24">
        <v>8.6032522609712743</v>
      </c>
    </row>
    <row r="43" spans="1:9" x14ac:dyDescent="0.2">
      <c r="A43" s="30" t="s">
        <v>30</v>
      </c>
      <c r="B43" s="31" t="s">
        <v>3</v>
      </c>
      <c r="C43" s="80">
        <v>791.47903614085703</v>
      </c>
      <c r="D43" s="80">
        <v>831.51656987079014</v>
      </c>
      <c r="E43" s="83">
        <v>953.99554207230904</v>
      </c>
      <c r="F43" s="22" t="s">
        <v>240</v>
      </c>
      <c r="G43" s="37">
        <v>20.533267276902251</v>
      </c>
      <c r="H43" s="33">
        <v>14.729588878854344</v>
      </c>
    </row>
    <row r="44" spans="1:9" x14ac:dyDescent="0.2">
      <c r="A44" s="34"/>
      <c r="B44" s="25" t="s">
        <v>241</v>
      </c>
      <c r="C44" s="82">
        <v>198.42890560925437</v>
      </c>
      <c r="D44" s="82">
        <v>213.28734409827834</v>
      </c>
      <c r="E44" s="82">
        <v>242.83187149666469</v>
      </c>
      <c r="F44" s="27"/>
      <c r="G44" s="28">
        <v>22.377266936526127</v>
      </c>
      <c r="H44" s="29">
        <v>13.851983352923597</v>
      </c>
    </row>
    <row r="45" spans="1:9" x14ac:dyDescent="0.2">
      <c r="A45" s="30" t="s">
        <v>31</v>
      </c>
      <c r="B45" s="31" t="s">
        <v>3</v>
      </c>
      <c r="C45" s="80">
        <v>548.97614238643359</v>
      </c>
      <c r="D45" s="80">
        <v>599.29749440574335</v>
      </c>
      <c r="E45" s="83">
        <v>647.75386315549702</v>
      </c>
      <c r="F45" s="22" t="s">
        <v>240</v>
      </c>
      <c r="G45" s="37">
        <v>17.993080781192148</v>
      </c>
      <c r="H45" s="33">
        <v>8.0855283397776248</v>
      </c>
    </row>
    <row r="46" spans="1:9" ht="13.5" thickBot="1" x14ac:dyDescent="0.25">
      <c r="A46" s="56"/>
      <c r="B46" s="42" t="s">
        <v>241</v>
      </c>
      <c r="C46" s="86">
        <v>111.31403105279828</v>
      </c>
      <c r="D46" s="86">
        <v>97.348757295771662</v>
      </c>
      <c r="E46" s="86">
        <v>112.69100087128167</v>
      </c>
      <c r="F46" s="44"/>
      <c r="G46" s="57">
        <v>1.2370137038971052</v>
      </c>
      <c r="H46" s="46">
        <v>15.760081588813875</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58"/>
      <c r="B58" s="58"/>
      <c r="C58" s="64"/>
      <c r="D58" s="64"/>
      <c r="E58" s="21"/>
      <c r="F58" s="59"/>
      <c r="G58" s="38"/>
      <c r="H58" s="60"/>
      <c r="I58" s="61"/>
    </row>
    <row r="59" spans="1:9" x14ac:dyDescent="0.2">
      <c r="A59" s="65"/>
      <c r="B59" s="62"/>
      <c r="C59" s="21"/>
      <c r="D59" s="21"/>
      <c r="E59" s="21"/>
      <c r="F59" s="63"/>
      <c r="G59" s="38"/>
      <c r="H59" s="60"/>
      <c r="I59" s="61"/>
    </row>
    <row r="60" spans="1:9" x14ac:dyDescent="0.2">
      <c r="A60" s="52"/>
      <c r="B60" s="52"/>
      <c r="C60" s="52"/>
      <c r="D60" s="52"/>
      <c r="E60" s="52"/>
      <c r="F60" s="52"/>
      <c r="G60" s="52"/>
      <c r="H60" s="52"/>
    </row>
    <row r="61" spans="1:9" ht="12.75" customHeight="1" x14ac:dyDescent="0.2">
      <c r="A61" s="54" t="s">
        <v>242</v>
      </c>
      <c r="G61" s="53"/>
      <c r="H61" s="210">
        <v>11</v>
      </c>
    </row>
    <row r="62" spans="1:9" ht="12.75" customHeight="1" x14ac:dyDescent="0.2">
      <c r="A62" s="54" t="s">
        <v>243</v>
      </c>
      <c r="G62" s="53"/>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146</v>
      </c>
      <c r="B4" s="5"/>
      <c r="C4" s="5"/>
      <c r="D4" s="5"/>
      <c r="E4" s="5"/>
      <c r="F4" s="5"/>
      <c r="G4" s="5"/>
      <c r="H4" s="6"/>
    </row>
    <row r="5" spans="1:8" x14ac:dyDescent="0.2">
      <c r="A5" s="7"/>
      <c r="B5" s="8"/>
      <c r="C5" s="9"/>
      <c r="D5" s="8"/>
      <c r="E5" s="10"/>
      <c r="F5" s="11"/>
      <c r="G5" s="205" t="s">
        <v>1</v>
      </c>
      <c r="H5" s="206"/>
    </row>
    <row r="6" spans="1:8" x14ac:dyDescent="0.2">
      <c r="A6" s="12"/>
      <c r="B6" s="13"/>
      <c r="C6" s="14" t="s">
        <v>235</v>
      </c>
      <c r="D6" s="15" t="s">
        <v>236</v>
      </c>
      <c r="E6" s="15" t="s">
        <v>237</v>
      </c>
      <c r="F6" s="16"/>
      <c r="G6" s="17" t="s">
        <v>238</v>
      </c>
      <c r="H6" s="18" t="s">
        <v>239</v>
      </c>
    </row>
    <row r="7" spans="1:8" ht="12.75" customHeight="1" x14ac:dyDescent="0.2">
      <c r="A7" s="207" t="s">
        <v>26</v>
      </c>
      <c r="B7" s="19" t="s">
        <v>3</v>
      </c>
      <c r="C7" s="20">
        <v>905544.03497757844</v>
      </c>
      <c r="D7" s="20">
        <v>951813.97167414054</v>
      </c>
      <c r="E7" s="21">
        <v>986484.57107586646</v>
      </c>
      <c r="F7" s="22" t="s">
        <v>240</v>
      </c>
      <c r="G7" s="23">
        <v>8.9383324246945222</v>
      </c>
      <c r="H7" s="24">
        <v>3.6425814742710827</v>
      </c>
    </row>
    <row r="8" spans="1:8" ht="12.75" customHeight="1" x14ac:dyDescent="0.2">
      <c r="A8" s="208"/>
      <c r="B8" s="25" t="s">
        <v>241</v>
      </c>
      <c r="C8" s="26">
        <v>243463.78393124067</v>
      </c>
      <c r="D8" s="26">
        <v>246036.64372197309</v>
      </c>
      <c r="E8" s="26">
        <v>258318.84641255607</v>
      </c>
      <c r="F8" s="27"/>
      <c r="G8" s="28">
        <v>6.1015491673746425</v>
      </c>
      <c r="H8" s="29">
        <v>4.9920217187087559</v>
      </c>
    </row>
    <row r="9" spans="1:8" x14ac:dyDescent="0.2">
      <c r="A9" s="30" t="s">
        <v>34</v>
      </c>
      <c r="B9" s="31" t="s">
        <v>3</v>
      </c>
      <c r="C9" s="20">
        <v>9026.7504000000008</v>
      </c>
      <c r="D9" s="20">
        <v>9110.9700000000012</v>
      </c>
      <c r="E9" s="21">
        <v>10367.604425839896</v>
      </c>
      <c r="F9" s="22" t="s">
        <v>240</v>
      </c>
      <c r="G9" s="32">
        <v>14.854227340105638</v>
      </c>
      <c r="H9" s="33">
        <v>13.792542680306212</v>
      </c>
    </row>
    <row r="10" spans="1:8" x14ac:dyDescent="0.2">
      <c r="A10" s="34"/>
      <c r="B10" s="25" t="s">
        <v>241</v>
      </c>
      <c r="C10" s="26">
        <v>2334.5140999999999</v>
      </c>
      <c r="D10" s="26">
        <v>2071.3580000000002</v>
      </c>
      <c r="E10" s="26">
        <v>2456.0509999999999</v>
      </c>
      <c r="F10" s="27"/>
      <c r="G10" s="35">
        <v>5.2060897811668809</v>
      </c>
      <c r="H10" s="29">
        <v>18.572018936369261</v>
      </c>
    </row>
    <row r="11" spans="1:8" x14ac:dyDescent="0.2">
      <c r="A11" s="30" t="s">
        <v>35</v>
      </c>
      <c r="B11" s="31" t="s">
        <v>3</v>
      </c>
      <c r="C11" s="20">
        <v>3099.940032</v>
      </c>
      <c r="D11" s="20">
        <v>3013.5176000000001</v>
      </c>
      <c r="E11" s="21">
        <v>3247.1284502232561</v>
      </c>
      <c r="F11" s="22" t="s">
        <v>240</v>
      </c>
      <c r="G11" s="37">
        <v>4.7481053408731384</v>
      </c>
      <c r="H11" s="33">
        <v>7.7520984189126949</v>
      </c>
    </row>
    <row r="12" spans="1:8" x14ac:dyDescent="0.2">
      <c r="A12" s="34"/>
      <c r="B12" s="25" t="s">
        <v>241</v>
      </c>
      <c r="C12" s="26">
        <v>734.36112800000001</v>
      </c>
      <c r="D12" s="26">
        <v>724.42863999999997</v>
      </c>
      <c r="E12" s="26">
        <v>776.76408000000004</v>
      </c>
      <c r="F12" s="27"/>
      <c r="G12" s="28">
        <v>5.7741280663210688</v>
      </c>
      <c r="H12" s="29">
        <v>7.2243747845198527</v>
      </c>
    </row>
    <row r="13" spans="1:8" x14ac:dyDescent="0.2">
      <c r="A13" s="30" t="s">
        <v>36</v>
      </c>
      <c r="B13" s="31" t="s">
        <v>3</v>
      </c>
      <c r="C13" s="20">
        <v>144885.03456</v>
      </c>
      <c r="D13" s="20">
        <v>148326.84133333334</v>
      </c>
      <c r="E13" s="21">
        <v>160332.43175016512</v>
      </c>
      <c r="F13" s="22" t="s">
        <v>240</v>
      </c>
      <c r="G13" s="23">
        <v>10.661830766080953</v>
      </c>
      <c r="H13" s="24">
        <v>8.0940107056225514</v>
      </c>
    </row>
    <row r="14" spans="1:8" x14ac:dyDescent="0.2">
      <c r="A14" s="34"/>
      <c r="B14" s="25" t="s">
        <v>241</v>
      </c>
      <c r="C14" s="26">
        <v>39479.509906666666</v>
      </c>
      <c r="D14" s="26">
        <v>36517.431199999999</v>
      </c>
      <c r="E14" s="26">
        <v>40784.956399999995</v>
      </c>
      <c r="F14" s="27"/>
      <c r="G14" s="38">
        <v>3.3066431078286627</v>
      </c>
      <c r="H14" s="24">
        <v>11.686268885200207</v>
      </c>
    </row>
    <row r="15" spans="1:8" x14ac:dyDescent="0.2">
      <c r="A15" s="30" t="s">
        <v>18</v>
      </c>
      <c r="B15" s="31" t="s">
        <v>3</v>
      </c>
      <c r="C15" s="20">
        <v>4883.2428799999998</v>
      </c>
      <c r="D15" s="20">
        <v>3335.0839999999998</v>
      </c>
      <c r="E15" s="21">
        <v>2639.9802315685324</v>
      </c>
      <c r="F15" s="22" t="s">
        <v>240</v>
      </c>
      <c r="G15" s="37">
        <v>-45.93796998341125</v>
      </c>
      <c r="H15" s="33">
        <v>-20.842166746968516</v>
      </c>
    </row>
    <row r="16" spans="1:8" x14ac:dyDescent="0.2">
      <c r="A16" s="34"/>
      <c r="B16" s="25" t="s">
        <v>241</v>
      </c>
      <c r="C16" s="26">
        <v>2238.6865200000002</v>
      </c>
      <c r="D16" s="26">
        <v>869.87759999999992</v>
      </c>
      <c r="E16" s="26">
        <v>804.11719999999991</v>
      </c>
      <c r="F16" s="27"/>
      <c r="G16" s="28">
        <v>-64.080848621896394</v>
      </c>
      <c r="H16" s="29">
        <v>-7.5597302425076833</v>
      </c>
    </row>
    <row r="17" spans="1:9" x14ac:dyDescent="0.2">
      <c r="A17" s="30" t="s">
        <v>37</v>
      </c>
      <c r="B17" s="31" t="s">
        <v>3</v>
      </c>
      <c r="C17" s="20">
        <v>2548.4100479999997</v>
      </c>
      <c r="D17" s="20">
        <v>1804.2764</v>
      </c>
      <c r="E17" s="21">
        <v>2306.1808813761095</v>
      </c>
      <c r="F17" s="22" t="s">
        <v>240</v>
      </c>
      <c r="G17" s="37">
        <v>-9.5051095412997881</v>
      </c>
      <c r="H17" s="33">
        <v>27.817494114322486</v>
      </c>
    </row>
    <row r="18" spans="1:9" x14ac:dyDescent="0.2">
      <c r="A18" s="34"/>
      <c r="B18" s="25" t="s">
        <v>241</v>
      </c>
      <c r="C18" s="26">
        <v>582.54169200000001</v>
      </c>
      <c r="D18" s="26">
        <v>366.64296000000002</v>
      </c>
      <c r="E18" s="26">
        <v>486.64612000000005</v>
      </c>
      <c r="F18" s="27"/>
      <c r="G18" s="28">
        <v>-16.461580916340651</v>
      </c>
      <c r="H18" s="29">
        <v>32.730250704936481</v>
      </c>
    </row>
    <row r="19" spans="1:9" x14ac:dyDescent="0.2">
      <c r="A19" s="30" t="s">
        <v>38</v>
      </c>
      <c r="B19" s="31" t="s">
        <v>3</v>
      </c>
      <c r="C19" s="20">
        <v>5079.5667199999998</v>
      </c>
      <c r="D19" s="20">
        <v>4491.8626666666669</v>
      </c>
      <c r="E19" s="21">
        <v>4056.1059885878308</v>
      </c>
      <c r="F19" s="22" t="s">
        <v>240</v>
      </c>
      <c r="G19" s="23">
        <v>-20.148583291217577</v>
      </c>
      <c r="H19" s="24">
        <v>-9.7010240609649685</v>
      </c>
    </row>
    <row r="20" spans="1:9" x14ac:dyDescent="0.2">
      <c r="A20" s="30"/>
      <c r="B20" s="25" t="s">
        <v>241</v>
      </c>
      <c r="C20" s="26">
        <v>1186.9352133333334</v>
      </c>
      <c r="D20" s="26">
        <v>1006.7144000000001</v>
      </c>
      <c r="E20" s="26">
        <v>921.60679999999991</v>
      </c>
      <c r="F20" s="27"/>
      <c r="G20" s="38">
        <v>-22.354077152045861</v>
      </c>
      <c r="H20" s="24">
        <v>-8.4539964859944519</v>
      </c>
    </row>
    <row r="21" spans="1:9" x14ac:dyDescent="0.2">
      <c r="A21" s="39" t="s">
        <v>39</v>
      </c>
      <c r="B21" s="31" t="s">
        <v>3</v>
      </c>
      <c r="C21" s="20">
        <v>260980.90111999999</v>
      </c>
      <c r="D21" s="20">
        <v>249931.11600000001</v>
      </c>
      <c r="E21" s="21">
        <v>318132.03371397045</v>
      </c>
      <c r="F21" s="22" t="s">
        <v>240</v>
      </c>
      <c r="G21" s="37">
        <v>21.898588114573244</v>
      </c>
      <c r="H21" s="33">
        <v>27.287885880512135</v>
      </c>
    </row>
    <row r="22" spans="1:9" x14ac:dyDescent="0.2">
      <c r="A22" s="34"/>
      <c r="B22" s="25" t="s">
        <v>241</v>
      </c>
      <c r="C22" s="26">
        <v>75273.639479999998</v>
      </c>
      <c r="D22" s="26">
        <v>50619.002399999998</v>
      </c>
      <c r="E22" s="26">
        <v>71532.742800000007</v>
      </c>
      <c r="F22" s="27"/>
      <c r="G22" s="28">
        <v>-4.9697300487163716</v>
      </c>
      <c r="H22" s="29">
        <v>41.315986899022732</v>
      </c>
    </row>
    <row r="23" spans="1:9" x14ac:dyDescent="0.2">
      <c r="A23" s="39" t="s">
        <v>40</v>
      </c>
      <c r="B23" s="31" t="s">
        <v>3</v>
      </c>
      <c r="C23" s="20">
        <v>208428.00160000002</v>
      </c>
      <c r="D23" s="20">
        <v>251652.88</v>
      </c>
      <c r="E23" s="21">
        <v>242275.83081386311</v>
      </c>
      <c r="F23" s="22" t="s">
        <v>240</v>
      </c>
      <c r="G23" s="23">
        <v>16.239578633403312</v>
      </c>
      <c r="H23" s="24">
        <v>-3.7261839348458494</v>
      </c>
    </row>
    <row r="24" spans="1:9" x14ac:dyDescent="0.2">
      <c r="A24" s="34"/>
      <c r="B24" s="25" t="s">
        <v>241</v>
      </c>
      <c r="C24" s="26">
        <v>53197.056400000001</v>
      </c>
      <c r="D24" s="26">
        <v>69970.432000000001</v>
      </c>
      <c r="E24" s="26">
        <v>65414.204000000005</v>
      </c>
      <c r="F24" s="27"/>
      <c r="G24" s="38">
        <v>22.965833876477433</v>
      </c>
      <c r="H24" s="24">
        <v>-6.5116476628299154</v>
      </c>
    </row>
    <row r="25" spans="1:9" x14ac:dyDescent="0.2">
      <c r="A25" s="30" t="s">
        <v>41</v>
      </c>
      <c r="B25" s="31" t="s">
        <v>3</v>
      </c>
      <c r="C25" s="20">
        <v>312814.12640000001</v>
      </c>
      <c r="D25" s="20">
        <v>315189.89500000002</v>
      </c>
      <c r="E25" s="21">
        <v>341760.35261009115</v>
      </c>
      <c r="F25" s="22" t="s">
        <v>240</v>
      </c>
      <c r="G25" s="37">
        <v>9.2534907368848138</v>
      </c>
      <c r="H25" s="33">
        <v>8.4299839657268052</v>
      </c>
    </row>
    <row r="26" spans="1:9" x14ac:dyDescent="0.2">
      <c r="A26" s="34"/>
      <c r="B26" s="25" t="s">
        <v>241</v>
      </c>
      <c r="C26" s="26">
        <v>83122.299350000001</v>
      </c>
      <c r="D26" s="26">
        <v>79132.752999999997</v>
      </c>
      <c r="E26" s="26">
        <v>87411.178499999995</v>
      </c>
      <c r="F26" s="27"/>
      <c r="G26" s="28">
        <v>5.1597214989698159</v>
      </c>
      <c r="H26" s="29">
        <v>10.461440031032396</v>
      </c>
    </row>
    <row r="27" spans="1:9" x14ac:dyDescent="0.2">
      <c r="A27" s="30" t="s">
        <v>24</v>
      </c>
      <c r="B27" s="31" t="s">
        <v>3</v>
      </c>
      <c r="C27" s="20">
        <v>180300.33439999999</v>
      </c>
      <c r="D27" s="20">
        <v>190521.25333333333</v>
      </c>
      <c r="E27" s="21">
        <v>188900.6095920146</v>
      </c>
      <c r="F27" s="22" t="s">
        <v>240</v>
      </c>
      <c r="G27" s="23">
        <v>4.7699718476033013</v>
      </c>
      <c r="H27" s="24">
        <v>-0.85063672055699158</v>
      </c>
    </row>
    <row r="28" spans="1:9" ht="13.5" thickBot="1" x14ac:dyDescent="0.25">
      <c r="A28" s="56"/>
      <c r="B28" s="42" t="s">
        <v>241</v>
      </c>
      <c r="C28" s="43">
        <v>44413.704266666668</v>
      </c>
      <c r="D28" s="43">
        <v>59188.288</v>
      </c>
      <c r="E28" s="43">
        <v>53985.135999999999</v>
      </c>
      <c r="F28" s="44"/>
      <c r="G28" s="57">
        <v>21.550626977351399</v>
      </c>
      <c r="H28" s="46">
        <v>-8.7908472703248322</v>
      </c>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33</v>
      </c>
      <c r="B32" s="5"/>
      <c r="C32" s="5"/>
      <c r="D32" s="5"/>
      <c r="E32" s="5"/>
      <c r="F32" s="5"/>
      <c r="G32" s="5"/>
      <c r="H32" s="6"/>
    </row>
    <row r="33" spans="1:8" x14ac:dyDescent="0.2">
      <c r="A33" s="7"/>
      <c r="B33" s="8"/>
      <c r="C33" s="211" t="s">
        <v>16</v>
      </c>
      <c r="D33" s="205"/>
      <c r="E33" s="205"/>
      <c r="F33" s="212"/>
      <c r="G33" s="205" t="s">
        <v>1</v>
      </c>
      <c r="H33" s="206"/>
    </row>
    <row r="34" spans="1:8" x14ac:dyDescent="0.2">
      <c r="A34" s="12"/>
      <c r="B34" s="13"/>
      <c r="C34" s="14" t="s">
        <v>235</v>
      </c>
      <c r="D34" s="15" t="s">
        <v>236</v>
      </c>
      <c r="E34" s="15" t="s">
        <v>237</v>
      </c>
      <c r="F34" s="16"/>
      <c r="G34" s="17" t="s">
        <v>238</v>
      </c>
      <c r="H34" s="18" t="s">
        <v>239</v>
      </c>
    </row>
    <row r="35" spans="1:8" ht="12.75" customHeight="1" x14ac:dyDescent="0.2">
      <c r="A35" s="207" t="s">
        <v>26</v>
      </c>
      <c r="B35" s="19" t="s">
        <v>3</v>
      </c>
      <c r="C35" s="80">
        <v>15502.439866948975</v>
      </c>
      <c r="D35" s="80">
        <v>16417.970641978663</v>
      </c>
      <c r="E35" s="83">
        <v>17831.581464952174</v>
      </c>
      <c r="F35" s="22" t="s">
        <v>240</v>
      </c>
      <c r="G35" s="23">
        <v>15.024354991815841</v>
      </c>
      <c r="H35" s="24">
        <v>8.6101434446416221</v>
      </c>
    </row>
    <row r="36" spans="1:8" ht="12.75" customHeight="1" x14ac:dyDescent="0.2">
      <c r="A36" s="208"/>
      <c r="B36" s="25" t="s">
        <v>241</v>
      </c>
      <c r="C36" s="82">
        <v>4422.1313349224674</v>
      </c>
      <c r="D36" s="82">
        <v>4346.5809320392218</v>
      </c>
      <c r="E36" s="82">
        <v>4836.7416705058085</v>
      </c>
      <c r="F36" s="27"/>
      <c r="G36" s="28">
        <v>9.3758032989450015</v>
      </c>
      <c r="H36" s="29">
        <v>11.276926534452556</v>
      </c>
    </row>
    <row r="37" spans="1:8" x14ac:dyDescent="0.2">
      <c r="A37" s="30" t="s">
        <v>34</v>
      </c>
      <c r="B37" s="31" t="s">
        <v>3</v>
      </c>
      <c r="C37" s="84">
        <v>1173.4909154312006</v>
      </c>
      <c r="D37" s="84">
        <v>1215.8517696644105</v>
      </c>
      <c r="E37" s="83">
        <v>1348.7905749534748</v>
      </c>
      <c r="F37" s="22" t="s">
        <v>240</v>
      </c>
      <c r="G37" s="32">
        <v>14.938305632972032</v>
      </c>
      <c r="H37" s="33">
        <v>10.933800369905029</v>
      </c>
    </row>
    <row r="38" spans="1:8" x14ac:dyDescent="0.2">
      <c r="A38" s="34"/>
      <c r="B38" s="25" t="s">
        <v>241</v>
      </c>
      <c r="C38" s="82">
        <v>413.61090723136277</v>
      </c>
      <c r="D38" s="82">
        <v>419.33331636264865</v>
      </c>
      <c r="E38" s="82">
        <v>468.53825106331914</v>
      </c>
      <c r="F38" s="27"/>
      <c r="G38" s="35">
        <v>13.2799553569876</v>
      </c>
      <c r="H38" s="29">
        <v>11.734086651516378</v>
      </c>
    </row>
    <row r="39" spans="1:8" x14ac:dyDescent="0.2">
      <c r="A39" s="30" t="s">
        <v>35</v>
      </c>
      <c r="B39" s="31" t="s">
        <v>3</v>
      </c>
      <c r="C39" s="84">
        <v>55.412940768714734</v>
      </c>
      <c r="D39" s="84">
        <v>58.943539796359211</v>
      </c>
      <c r="E39" s="83">
        <v>74.576914649546751</v>
      </c>
      <c r="F39" s="22" t="s">
        <v>240</v>
      </c>
      <c r="G39" s="37">
        <v>34.583932227707521</v>
      </c>
      <c r="H39" s="33">
        <v>26.522626410287572</v>
      </c>
    </row>
    <row r="40" spans="1:8" x14ac:dyDescent="0.2">
      <c r="A40" s="34"/>
      <c r="B40" s="25" t="s">
        <v>241</v>
      </c>
      <c r="C40" s="82">
        <v>19.595842766037421</v>
      </c>
      <c r="D40" s="82">
        <v>13.300403719995066</v>
      </c>
      <c r="E40" s="82">
        <v>19.136659913184879</v>
      </c>
      <c r="F40" s="27"/>
      <c r="G40" s="28">
        <v>-2.3432666731148544</v>
      </c>
      <c r="H40" s="29">
        <v>43.880293531360394</v>
      </c>
    </row>
    <row r="41" spans="1:8" x14ac:dyDescent="0.2">
      <c r="A41" s="30" t="s">
        <v>36</v>
      </c>
      <c r="B41" s="31" t="s">
        <v>3</v>
      </c>
      <c r="C41" s="84">
        <v>2649.3064202585683</v>
      </c>
      <c r="D41" s="84">
        <v>2896.8526582126124</v>
      </c>
      <c r="E41" s="83">
        <v>3064.7391737034295</v>
      </c>
      <c r="F41" s="22" t="s">
        <v>240</v>
      </c>
      <c r="G41" s="23">
        <v>15.680811787875996</v>
      </c>
      <c r="H41" s="24">
        <v>5.7954799673658499</v>
      </c>
    </row>
    <row r="42" spans="1:8" x14ac:dyDescent="0.2">
      <c r="A42" s="34"/>
      <c r="B42" s="25" t="s">
        <v>241</v>
      </c>
      <c r="C42" s="82">
        <v>667.57087162936682</v>
      </c>
      <c r="D42" s="82">
        <v>660.65457591878101</v>
      </c>
      <c r="E42" s="82">
        <v>721.78192224616907</v>
      </c>
      <c r="F42" s="27"/>
      <c r="G42" s="38">
        <v>8.1206435032863595</v>
      </c>
      <c r="H42" s="24">
        <v>9.2525426380915405</v>
      </c>
    </row>
    <row r="43" spans="1:8" x14ac:dyDescent="0.2">
      <c r="A43" s="30" t="s">
        <v>18</v>
      </c>
      <c r="B43" s="31" t="s">
        <v>3</v>
      </c>
      <c r="C43" s="84">
        <v>400.10805758700963</v>
      </c>
      <c r="D43" s="84">
        <v>275.64287647593477</v>
      </c>
      <c r="E43" s="83">
        <v>203.25958698237852</v>
      </c>
      <c r="F43" s="22" t="s">
        <v>240</v>
      </c>
      <c r="G43" s="37">
        <v>-49.198826884865568</v>
      </c>
      <c r="H43" s="33">
        <v>-26.25980776973779</v>
      </c>
    </row>
    <row r="44" spans="1:8" x14ac:dyDescent="0.2">
      <c r="A44" s="34"/>
      <c r="B44" s="25" t="s">
        <v>241</v>
      </c>
      <c r="C44" s="82">
        <v>203.12499417206865</v>
      </c>
      <c r="D44" s="82">
        <v>74.84438122958062</v>
      </c>
      <c r="E44" s="82">
        <v>65.318115641068118</v>
      </c>
      <c r="F44" s="27"/>
      <c r="G44" s="28">
        <v>-67.843388300242026</v>
      </c>
      <c r="H44" s="29">
        <v>-12.728097195821903</v>
      </c>
    </row>
    <row r="45" spans="1:8" x14ac:dyDescent="0.2">
      <c r="A45" s="30" t="s">
        <v>37</v>
      </c>
      <c r="B45" s="31" t="s">
        <v>3</v>
      </c>
      <c r="C45" s="84">
        <v>104.2841681353503</v>
      </c>
      <c r="D45" s="84">
        <v>68.836603252269086</v>
      </c>
      <c r="E45" s="83">
        <v>88.217479151026467</v>
      </c>
      <c r="F45" s="22" t="s">
        <v>240</v>
      </c>
      <c r="G45" s="37">
        <v>-15.406642514970144</v>
      </c>
      <c r="H45" s="33">
        <v>28.15489867757023</v>
      </c>
    </row>
    <row r="46" spans="1:8" x14ac:dyDescent="0.2">
      <c r="A46" s="34"/>
      <c r="B46" s="25" t="s">
        <v>241</v>
      </c>
      <c r="C46" s="82">
        <v>26.223587120290063</v>
      </c>
      <c r="D46" s="82">
        <v>15.423510287046645</v>
      </c>
      <c r="E46" s="82">
        <v>20.511045043867568</v>
      </c>
      <c r="F46" s="27"/>
      <c r="G46" s="28">
        <v>-21.783984205587615</v>
      </c>
      <c r="H46" s="29">
        <v>32.985582802727237</v>
      </c>
    </row>
    <row r="47" spans="1:8" x14ac:dyDescent="0.2">
      <c r="A47" s="30" t="s">
        <v>38</v>
      </c>
      <c r="B47" s="31" t="s">
        <v>3</v>
      </c>
      <c r="C47" s="84">
        <v>105.82605388393576</v>
      </c>
      <c r="D47" s="84">
        <v>86.835306075921949</v>
      </c>
      <c r="E47" s="83">
        <v>94.838751711043201</v>
      </c>
      <c r="F47" s="22" t="s">
        <v>240</v>
      </c>
      <c r="G47" s="23">
        <v>-10.382416965998587</v>
      </c>
      <c r="H47" s="24">
        <v>9.2168105311031638</v>
      </c>
    </row>
    <row r="48" spans="1:8" x14ac:dyDescent="0.2">
      <c r="A48" s="30"/>
      <c r="B48" s="25" t="s">
        <v>241</v>
      </c>
      <c r="C48" s="82">
        <v>24.476014951364832</v>
      </c>
      <c r="D48" s="82">
        <v>16.702625529695691</v>
      </c>
      <c r="E48" s="82">
        <v>19.326624242414287</v>
      </c>
      <c r="F48" s="27"/>
      <c r="G48" s="38">
        <v>-21.038517582141793</v>
      </c>
      <c r="H48" s="24">
        <v>15.71009724221723</v>
      </c>
    </row>
    <row r="49" spans="1:9" x14ac:dyDescent="0.2">
      <c r="A49" s="39" t="s">
        <v>39</v>
      </c>
      <c r="B49" s="31" t="s">
        <v>3</v>
      </c>
      <c r="C49" s="84">
        <v>1683.7532472702133</v>
      </c>
      <c r="D49" s="84">
        <v>1589.0848721890411</v>
      </c>
      <c r="E49" s="83">
        <v>1785.8722813699908</v>
      </c>
      <c r="F49" s="22" t="s">
        <v>240</v>
      </c>
      <c r="G49" s="37">
        <v>6.0649643447065813</v>
      </c>
      <c r="H49" s="33">
        <v>12.383694076066902</v>
      </c>
    </row>
    <row r="50" spans="1:9" x14ac:dyDescent="0.2">
      <c r="A50" s="34"/>
      <c r="B50" s="25" t="s">
        <v>241</v>
      </c>
      <c r="C50" s="82">
        <v>422.96520540999347</v>
      </c>
      <c r="D50" s="82">
        <v>349.28489816586006</v>
      </c>
      <c r="E50" s="82">
        <v>409.60663645313167</v>
      </c>
      <c r="F50" s="27"/>
      <c r="G50" s="28">
        <v>-3.1583139194423637</v>
      </c>
      <c r="H50" s="29">
        <v>17.270067673703849</v>
      </c>
    </row>
    <row r="51" spans="1:9" x14ac:dyDescent="0.2">
      <c r="A51" s="39" t="s">
        <v>40</v>
      </c>
      <c r="B51" s="31" t="s">
        <v>3</v>
      </c>
      <c r="C51" s="84">
        <v>850.75359543371451</v>
      </c>
      <c r="D51" s="84">
        <v>1149.7553216366812</v>
      </c>
      <c r="E51" s="83">
        <v>1085.405584942848</v>
      </c>
      <c r="F51" s="22" t="s">
        <v>240</v>
      </c>
      <c r="G51" s="23">
        <v>27.581662983100031</v>
      </c>
      <c r="H51" s="24">
        <v>-5.5968200783999009</v>
      </c>
    </row>
    <row r="52" spans="1:9" x14ac:dyDescent="0.2">
      <c r="A52" s="34"/>
      <c r="B52" s="25" t="s">
        <v>241</v>
      </c>
      <c r="C52" s="82">
        <v>241.35052612944764</v>
      </c>
      <c r="D52" s="82">
        <v>283.73645508525954</v>
      </c>
      <c r="E52" s="82">
        <v>279.99964995103835</v>
      </c>
      <c r="F52" s="27"/>
      <c r="G52" s="38">
        <v>16.013689483677098</v>
      </c>
      <c r="H52" s="24">
        <v>-1.3169985975536065</v>
      </c>
    </row>
    <row r="53" spans="1:9" x14ac:dyDescent="0.2">
      <c r="A53" s="30" t="s">
        <v>41</v>
      </c>
      <c r="B53" s="31" t="s">
        <v>3</v>
      </c>
      <c r="C53" s="84">
        <v>7376.5297567928401</v>
      </c>
      <c r="D53" s="84">
        <v>7809.7645151006627</v>
      </c>
      <c r="E53" s="83">
        <v>8843.2399929763324</v>
      </c>
      <c r="F53" s="22" t="s">
        <v>240</v>
      </c>
      <c r="G53" s="37">
        <v>19.883472100588222</v>
      </c>
      <c r="H53" s="33">
        <v>13.233119588655711</v>
      </c>
    </row>
    <row r="54" spans="1:9" x14ac:dyDescent="0.2">
      <c r="A54" s="34"/>
      <c r="B54" s="25" t="s">
        <v>241</v>
      </c>
      <c r="C54" s="82">
        <v>2144.9539604017323</v>
      </c>
      <c r="D54" s="82">
        <v>2128.0772951059153</v>
      </c>
      <c r="E54" s="82">
        <v>2461.2976853847758</v>
      </c>
      <c r="F54" s="27"/>
      <c r="G54" s="28">
        <v>14.748275758972241</v>
      </c>
      <c r="H54" s="29">
        <v>15.658284172534081</v>
      </c>
    </row>
    <row r="55" spans="1:9" x14ac:dyDescent="0.2">
      <c r="A55" s="30" t="s">
        <v>24</v>
      </c>
      <c r="B55" s="31" t="s">
        <v>3</v>
      </c>
      <c r="C55" s="84">
        <v>1102.9747113874296</v>
      </c>
      <c r="D55" s="84">
        <v>1266.4031795747712</v>
      </c>
      <c r="E55" s="83">
        <v>1342.0656378148799</v>
      </c>
      <c r="F55" s="22" t="s">
        <v>240</v>
      </c>
      <c r="G55" s="23">
        <v>21.676918242912251</v>
      </c>
      <c r="H55" s="24">
        <v>5.9745947783796964</v>
      </c>
    </row>
    <row r="56" spans="1:9" ht="13.5" thickBot="1" x14ac:dyDescent="0.25">
      <c r="A56" s="56"/>
      <c r="B56" s="42" t="s">
        <v>241</v>
      </c>
      <c r="C56" s="86">
        <v>258.25942511080478</v>
      </c>
      <c r="D56" s="86">
        <v>385.22347063443885</v>
      </c>
      <c r="E56" s="86">
        <v>371.22508056684092</v>
      </c>
      <c r="F56" s="44"/>
      <c r="G56" s="57">
        <v>43.741155006276671</v>
      </c>
      <c r="H56" s="46">
        <v>-3.6338362365469266</v>
      </c>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242</v>
      </c>
      <c r="H61" s="202">
        <v>12</v>
      </c>
    </row>
    <row r="62" spans="1:9" ht="12.75" customHeight="1" x14ac:dyDescent="0.2">
      <c r="A62" s="54" t="s">
        <v>243</v>
      </c>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147</v>
      </c>
      <c r="B4" s="5"/>
      <c r="C4" s="5"/>
      <c r="D4" s="5"/>
      <c r="E4" s="5"/>
      <c r="F4" s="5"/>
      <c r="G4" s="5"/>
      <c r="H4" s="6"/>
    </row>
    <row r="5" spans="1:8" x14ac:dyDescent="0.2">
      <c r="A5" s="7"/>
      <c r="B5" s="8"/>
      <c r="C5" s="9"/>
      <c r="D5" s="8"/>
      <c r="E5" s="10"/>
      <c r="F5" s="11"/>
      <c r="G5" s="205" t="s">
        <v>1</v>
      </c>
      <c r="H5" s="206"/>
    </row>
    <row r="6" spans="1:8" x14ac:dyDescent="0.2">
      <c r="A6" s="12"/>
      <c r="B6" s="13"/>
      <c r="C6" s="14" t="s">
        <v>235</v>
      </c>
      <c r="D6" s="15" t="s">
        <v>236</v>
      </c>
      <c r="E6" s="15" t="s">
        <v>237</v>
      </c>
      <c r="F6" s="16"/>
      <c r="G6" s="17" t="s">
        <v>238</v>
      </c>
      <c r="H6" s="18" t="s">
        <v>239</v>
      </c>
    </row>
    <row r="7" spans="1:8" x14ac:dyDescent="0.2">
      <c r="A7" s="207" t="s">
        <v>17</v>
      </c>
      <c r="B7" s="19" t="s">
        <v>3</v>
      </c>
      <c r="C7" s="20">
        <v>479818.33846073353</v>
      </c>
      <c r="D7" s="20">
        <v>455343.2281054082</v>
      </c>
      <c r="E7" s="21">
        <v>397721.42378530308</v>
      </c>
      <c r="F7" s="22" t="s">
        <v>240</v>
      </c>
      <c r="G7" s="23">
        <v>-17.109999367427037</v>
      </c>
      <c r="H7" s="24">
        <v>-12.654586861840002</v>
      </c>
    </row>
    <row r="8" spans="1:8" x14ac:dyDescent="0.2">
      <c r="A8" s="208"/>
      <c r="B8" s="25" t="s">
        <v>241</v>
      </c>
      <c r="C8" s="26">
        <v>105621.26420063133</v>
      </c>
      <c r="D8" s="26">
        <v>118478.78548631821</v>
      </c>
      <c r="E8" s="26">
        <v>97565.925181813422</v>
      </c>
      <c r="F8" s="27"/>
      <c r="G8" s="28">
        <v>-7.6266262099613726</v>
      </c>
      <c r="H8" s="29">
        <v>-17.651143382896834</v>
      </c>
    </row>
    <row r="9" spans="1:8" x14ac:dyDescent="0.2">
      <c r="A9" s="30" t="s">
        <v>18</v>
      </c>
      <c r="B9" s="31" t="s">
        <v>3</v>
      </c>
      <c r="C9" s="20">
        <v>27408.687252173913</v>
      </c>
      <c r="D9" s="20">
        <v>29627.100888004174</v>
      </c>
      <c r="E9" s="21">
        <v>24669.378244229803</v>
      </c>
      <c r="F9" s="22" t="s">
        <v>240</v>
      </c>
      <c r="G9" s="32">
        <v>-9.9943094054124799</v>
      </c>
      <c r="H9" s="33">
        <v>-16.733742064454646</v>
      </c>
    </row>
    <row r="10" spans="1:8" x14ac:dyDescent="0.2">
      <c r="A10" s="34"/>
      <c r="B10" s="25" t="s">
        <v>241</v>
      </c>
      <c r="C10" s="26">
        <v>6532.0499434782605</v>
      </c>
      <c r="D10" s="26">
        <v>6956.535447826087</v>
      </c>
      <c r="E10" s="26">
        <v>5821.084065217392</v>
      </c>
      <c r="F10" s="27"/>
      <c r="G10" s="35">
        <v>-10.884268865254342</v>
      </c>
      <c r="H10" s="29">
        <v>-16.322081460298207</v>
      </c>
    </row>
    <row r="11" spans="1:8" x14ac:dyDescent="0.2">
      <c r="A11" s="30" t="s">
        <v>19</v>
      </c>
      <c r="B11" s="31" t="s">
        <v>3</v>
      </c>
      <c r="C11" s="20">
        <v>69574.624173913049</v>
      </c>
      <c r="D11" s="20">
        <v>78453.00296001391</v>
      </c>
      <c r="E11" s="21">
        <v>59739.816891641909</v>
      </c>
      <c r="F11" s="22" t="s">
        <v>240</v>
      </c>
      <c r="G11" s="37">
        <v>-14.135624013846552</v>
      </c>
      <c r="H11" s="33">
        <v>-23.852733945582401</v>
      </c>
    </row>
    <row r="12" spans="1:8" x14ac:dyDescent="0.2">
      <c r="A12" s="34"/>
      <c r="B12" s="25" t="s">
        <v>241</v>
      </c>
      <c r="C12" s="26">
        <v>16943.166478260871</v>
      </c>
      <c r="D12" s="26">
        <v>27370.784826086958</v>
      </c>
      <c r="E12" s="26">
        <v>18215.280217391304</v>
      </c>
      <c r="F12" s="27"/>
      <c r="G12" s="28">
        <v>7.5081227630185481</v>
      </c>
      <c r="H12" s="29">
        <v>-33.449916277042917</v>
      </c>
    </row>
    <row r="13" spans="1:8" x14ac:dyDescent="0.2">
      <c r="A13" s="30" t="s">
        <v>20</v>
      </c>
      <c r="B13" s="31" t="s">
        <v>3</v>
      </c>
      <c r="C13" s="20">
        <v>36547.916273291921</v>
      </c>
      <c r="D13" s="20">
        <v>28999.858552387577</v>
      </c>
      <c r="E13" s="21">
        <v>31809.558849419816</v>
      </c>
      <c r="F13" s="22" t="s">
        <v>240</v>
      </c>
      <c r="G13" s="23">
        <v>-12.964781325535512</v>
      </c>
      <c r="H13" s="24">
        <v>9.6886689704247289</v>
      </c>
    </row>
    <row r="14" spans="1:8" x14ac:dyDescent="0.2">
      <c r="A14" s="34"/>
      <c r="B14" s="25" t="s">
        <v>241</v>
      </c>
      <c r="C14" s="26">
        <v>7292.1268944099374</v>
      </c>
      <c r="D14" s="26">
        <v>5568.3737267080751</v>
      </c>
      <c r="E14" s="26">
        <v>6185.4667701863355</v>
      </c>
      <c r="F14" s="27"/>
      <c r="G14" s="38">
        <v>-15.176095263399148</v>
      </c>
      <c r="H14" s="24">
        <v>11.08210536441625</v>
      </c>
    </row>
    <row r="15" spans="1:8" x14ac:dyDescent="0.2">
      <c r="A15" s="30" t="s">
        <v>21</v>
      </c>
      <c r="B15" s="31" t="s">
        <v>3</v>
      </c>
      <c r="C15" s="20">
        <v>6986.5589130434782</v>
      </c>
      <c r="D15" s="20">
        <v>7879.9170777797099</v>
      </c>
      <c r="E15" s="21">
        <v>7820.0035966576334</v>
      </c>
      <c r="F15" s="22" t="s">
        <v>240</v>
      </c>
      <c r="G15" s="37">
        <v>11.929258652040645</v>
      </c>
      <c r="H15" s="33">
        <v>-0.76033136555490444</v>
      </c>
    </row>
    <row r="16" spans="1:8" x14ac:dyDescent="0.2">
      <c r="A16" s="34"/>
      <c r="B16" s="25" t="s">
        <v>241</v>
      </c>
      <c r="C16" s="26">
        <v>1217.5786775362319</v>
      </c>
      <c r="D16" s="26">
        <v>1968.1923369565218</v>
      </c>
      <c r="E16" s="26">
        <v>1706.7611413043478</v>
      </c>
      <c r="F16" s="27"/>
      <c r="G16" s="28">
        <v>40.17666149985277</v>
      </c>
      <c r="H16" s="29">
        <v>-13.282807312238262</v>
      </c>
    </row>
    <row r="17" spans="1:8" x14ac:dyDescent="0.2">
      <c r="A17" s="30" t="s">
        <v>22</v>
      </c>
      <c r="B17" s="31" t="s">
        <v>3</v>
      </c>
      <c r="C17" s="20">
        <v>6720.5589130434782</v>
      </c>
      <c r="D17" s="20">
        <v>7994.9170777797099</v>
      </c>
      <c r="E17" s="21">
        <v>8791.4543505183919</v>
      </c>
      <c r="F17" s="22" t="s">
        <v>240</v>
      </c>
      <c r="G17" s="37">
        <v>30.814333514072047</v>
      </c>
      <c r="H17" s="33">
        <v>9.9630460827730047</v>
      </c>
    </row>
    <row r="18" spans="1:8" x14ac:dyDescent="0.2">
      <c r="A18" s="34"/>
      <c r="B18" s="25" t="s">
        <v>241</v>
      </c>
      <c r="C18" s="26">
        <v>1409.5786775362319</v>
      </c>
      <c r="D18" s="26">
        <v>1414.1923369565218</v>
      </c>
      <c r="E18" s="26">
        <v>1640.7611413043478</v>
      </c>
      <c r="F18" s="27"/>
      <c r="G18" s="28">
        <v>16.400820149478562</v>
      </c>
      <c r="H18" s="29">
        <v>16.021074250439213</v>
      </c>
    </row>
    <row r="19" spans="1:8" x14ac:dyDescent="0.2">
      <c r="A19" s="30" t="s">
        <v>189</v>
      </c>
      <c r="B19" s="31" t="s">
        <v>3</v>
      </c>
      <c r="C19" s="20">
        <v>287166.7906832298</v>
      </c>
      <c r="D19" s="20">
        <v>258952.14638096894</v>
      </c>
      <c r="E19" s="21">
        <v>230485.36076590224</v>
      </c>
      <c r="F19" s="22" t="s">
        <v>240</v>
      </c>
      <c r="G19" s="23">
        <v>-19.738156275825133</v>
      </c>
      <c r="H19" s="24">
        <v>-10.993068029328683</v>
      </c>
    </row>
    <row r="20" spans="1:8" x14ac:dyDescent="0.2">
      <c r="A20" s="30"/>
      <c r="B20" s="25" t="s">
        <v>241</v>
      </c>
      <c r="C20" s="26">
        <v>61387.817236024843</v>
      </c>
      <c r="D20" s="26">
        <v>63111.934316770188</v>
      </c>
      <c r="E20" s="26">
        <v>53667.666925465834</v>
      </c>
      <c r="F20" s="27"/>
      <c r="G20" s="38">
        <v>-12.576029997737919</v>
      </c>
      <c r="H20" s="24">
        <v>-14.964312999664813</v>
      </c>
    </row>
    <row r="21" spans="1:8" x14ac:dyDescent="0.2">
      <c r="A21" s="39" t="s">
        <v>12</v>
      </c>
      <c r="B21" s="31" t="s">
        <v>3</v>
      </c>
      <c r="C21" s="20">
        <v>2391.1353478260871</v>
      </c>
      <c r="D21" s="20">
        <v>2548.7502466678261</v>
      </c>
      <c r="E21" s="21">
        <v>3054.6478721740846</v>
      </c>
      <c r="F21" s="22" t="s">
        <v>240</v>
      </c>
      <c r="G21" s="37">
        <v>27.748848468625312</v>
      </c>
      <c r="H21" s="33">
        <v>19.848850477509771</v>
      </c>
    </row>
    <row r="22" spans="1:8" x14ac:dyDescent="0.2">
      <c r="A22" s="34"/>
      <c r="B22" s="25" t="s">
        <v>241</v>
      </c>
      <c r="C22" s="26">
        <v>416.34720652173917</v>
      </c>
      <c r="D22" s="26">
        <v>451.31540217391307</v>
      </c>
      <c r="E22" s="26">
        <v>537.85668478260868</v>
      </c>
      <c r="F22" s="27"/>
      <c r="G22" s="28">
        <v>29.184650781252458</v>
      </c>
      <c r="H22" s="29">
        <v>19.175344380413421</v>
      </c>
    </row>
    <row r="23" spans="1:8" x14ac:dyDescent="0.2">
      <c r="A23" s="39" t="s">
        <v>23</v>
      </c>
      <c r="B23" s="31" t="s">
        <v>3</v>
      </c>
      <c r="C23" s="20">
        <v>13589.558913043478</v>
      </c>
      <c r="D23" s="20">
        <v>13380.91707777971</v>
      </c>
      <c r="E23" s="21">
        <v>12864.983524086256</v>
      </c>
      <c r="F23" s="22" t="s">
        <v>240</v>
      </c>
      <c r="G23" s="23">
        <v>-5.3318536208100511</v>
      </c>
      <c r="H23" s="24">
        <v>-3.8557413568477443</v>
      </c>
    </row>
    <row r="24" spans="1:8" x14ac:dyDescent="0.2">
      <c r="A24" s="34"/>
      <c r="B24" s="25" t="s">
        <v>241</v>
      </c>
      <c r="C24" s="26">
        <v>3276.5786775362321</v>
      </c>
      <c r="D24" s="26">
        <v>3565.192336956522</v>
      </c>
      <c r="E24" s="26">
        <v>3311.7611413043478</v>
      </c>
      <c r="F24" s="27"/>
      <c r="G24" s="28">
        <v>1.0737561105833322</v>
      </c>
      <c r="H24" s="29">
        <v>-7.1084859300611924</v>
      </c>
    </row>
    <row r="25" spans="1:8" x14ac:dyDescent="0.2">
      <c r="A25" s="30" t="s">
        <v>24</v>
      </c>
      <c r="B25" s="31" t="s">
        <v>3</v>
      </c>
      <c r="C25" s="20">
        <v>41764.117826086956</v>
      </c>
      <c r="D25" s="20">
        <v>40776.834155559423</v>
      </c>
      <c r="E25" s="21">
        <v>36933.981521261725</v>
      </c>
      <c r="F25" s="22" t="s">
        <v>240</v>
      </c>
      <c r="G25" s="23">
        <v>-11.56527793772338</v>
      </c>
      <c r="H25" s="24">
        <v>-9.4241073734111183</v>
      </c>
    </row>
    <row r="26" spans="1:8" ht="13.5" thickBot="1" x14ac:dyDescent="0.25">
      <c r="A26" s="41"/>
      <c r="B26" s="42" t="s">
        <v>241</v>
      </c>
      <c r="C26" s="43">
        <v>10795.157355072464</v>
      </c>
      <c r="D26" s="43">
        <v>12151.384673913044</v>
      </c>
      <c r="E26" s="43">
        <v>10472.522282608696</v>
      </c>
      <c r="F26" s="44"/>
      <c r="G26" s="45">
        <v>-2.9887018952268249</v>
      </c>
      <c r="H26" s="46">
        <v>-13.816222894404618</v>
      </c>
    </row>
    <row r="31" spans="1:8" x14ac:dyDescent="0.2">
      <c r="A31" s="47"/>
      <c r="B31" s="48"/>
      <c r="C31" s="49"/>
      <c r="D31" s="55"/>
      <c r="E31" s="49"/>
      <c r="F31" s="49"/>
      <c r="G31" s="50"/>
      <c r="H31" s="51"/>
    </row>
    <row r="32" spans="1:8" ht="16.5" thickBot="1" x14ac:dyDescent="0.3">
      <c r="A32" s="4" t="s">
        <v>25</v>
      </c>
      <c r="B32" s="5"/>
      <c r="C32" s="5"/>
      <c r="D32" s="5"/>
      <c r="E32" s="5"/>
      <c r="F32" s="5"/>
      <c r="G32" s="5"/>
      <c r="H32" s="6"/>
    </row>
    <row r="33" spans="1:8" x14ac:dyDescent="0.2">
      <c r="A33" s="7"/>
      <c r="B33" s="8"/>
      <c r="C33" s="211" t="s">
        <v>16</v>
      </c>
      <c r="D33" s="205"/>
      <c r="E33" s="205"/>
      <c r="F33" s="212"/>
      <c r="G33" s="205" t="s">
        <v>1</v>
      </c>
      <c r="H33" s="206"/>
    </row>
    <row r="34" spans="1:8" x14ac:dyDescent="0.2">
      <c r="A34" s="12"/>
      <c r="B34" s="13"/>
      <c r="C34" s="14" t="s">
        <v>235</v>
      </c>
      <c r="D34" s="15" t="s">
        <v>236</v>
      </c>
      <c r="E34" s="15" t="s">
        <v>237</v>
      </c>
      <c r="F34" s="16"/>
      <c r="G34" s="17" t="s">
        <v>238</v>
      </c>
      <c r="H34" s="18" t="s">
        <v>239</v>
      </c>
    </row>
    <row r="35" spans="1:8" x14ac:dyDescent="0.2">
      <c r="A35" s="207" t="s">
        <v>17</v>
      </c>
      <c r="B35" s="19" t="s">
        <v>3</v>
      </c>
      <c r="C35" s="80">
        <v>8740.3543440821541</v>
      </c>
      <c r="D35" s="80">
        <v>9329.6259879792087</v>
      </c>
      <c r="E35" s="83">
        <v>8529.267551718267</v>
      </c>
      <c r="F35" s="22" t="s">
        <v>240</v>
      </c>
      <c r="G35" s="23">
        <v>-2.4150827764415226</v>
      </c>
      <c r="H35" s="24">
        <v>-8.5786765438632386</v>
      </c>
    </row>
    <row r="36" spans="1:8" x14ac:dyDescent="0.2">
      <c r="A36" s="208"/>
      <c r="B36" s="25" t="s">
        <v>241</v>
      </c>
      <c r="C36" s="82">
        <v>2229.8794272830214</v>
      </c>
      <c r="D36" s="82">
        <v>2965.4204490303005</v>
      </c>
      <c r="E36" s="82">
        <v>2505.6769390314967</v>
      </c>
      <c r="F36" s="27"/>
      <c r="G36" s="28">
        <v>12.368270157302547</v>
      </c>
      <c r="H36" s="29">
        <v>-15.503484848131436</v>
      </c>
    </row>
    <row r="37" spans="1:8" x14ac:dyDescent="0.2">
      <c r="A37" s="30" t="s">
        <v>18</v>
      </c>
      <c r="B37" s="31" t="s">
        <v>3</v>
      </c>
      <c r="C37" s="80">
        <v>2536.4597419802935</v>
      </c>
      <c r="D37" s="80">
        <v>2849.0976717462172</v>
      </c>
      <c r="E37" s="83">
        <v>2650.2380870314169</v>
      </c>
      <c r="F37" s="22" t="s">
        <v>240</v>
      </c>
      <c r="G37" s="32">
        <v>4.485714603232509</v>
      </c>
      <c r="H37" s="33">
        <v>-6.9797391183475668</v>
      </c>
    </row>
    <row r="38" spans="1:8" x14ac:dyDescent="0.2">
      <c r="A38" s="34"/>
      <c r="B38" s="25" t="s">
        <v>241</v>
      </c>
      <c r="C38" s="82">
        <v>702.71699006468305</v>
      </c>
      <c r="D38" s="82">
        <v>884.4589407071046</v>
      </c>
      <c r="E38" s="82">
        <v>790.95202784104958</v>
      </c>
      <c r="F38" s="27"/>
      <c r="G38" s="35">
        <v>12.556269312379186</v>
      </c>
      <c r="H38" s="29">
        <v>-10.572216364424818</v>
      </c>
    </row>
    <row r="39" spans="1:8" x14ac:dyDescent="0.2">
      <c r="A39" s="30" t="s">
        <v>19</v>
      </c>
      <c r="B39" s="31" t="s">
        <v>3</v>
      </c>
      <c r="C39" s="80">
        <v>2983.9453053103271</v>
      </c>
      <c r="D39" s="80">
        <v>3386.5920524151948</v>
      </c>
      <c r="E39" s="83">
        <v>2834.3907764661435</v>
      </c>
      <c r="F39" s="22" t="s">
        <v>240</v>
      </c>
      <c r="G39" s="37">
        <v>-5.0119728594901289</v>
      </c>
      <c r="H39" s="33">
        <v>-16.305515025207754</v>
      </c>
    </row>
    <row r="40" spans="1:8" x14ac:dyDescent="0.2">
      <c r="A40" s="34"/>
      <c r="B40" s="25" t="s">
        <v>241</v>
      </c>
      <c r="C40" s="82">
        <v>754.38492573216615</v>
      </c>
      <c r="D40" s="82">
        <v>1190.6146531509116</v>
      </c>
      <c r="E40" s="82">
        <v>881.68029197932913</v>
      </c>
      <c r="F40" s="27"/>
      <c r="G40" s="28">
        <v>16.874060165454225</v>
      </c>
      <c r="H40" s="29">
        <v>-25.947468423473595</v>
      </c>
    </row>
    <row r="41" spans="1:8" x14ac:dyDescent="0.2">
      <c r="A41" s="30" t="s">
        <v>20</v>
      </c>
      <c r="B41" s="31" t="s">
        <v>3</v>
      </c>
      <c r="C41" s="80">
        <v>402.88467715266029</v>
      </c>
      <c r="D41" s="80">
        <v>336.74564946206692</v>
      </c>
      <c r="E41" s="83">
        <v>375.14516466843116</v>
      </c>
      <c r="F41" s="22" t="s">
        <v>240</v>
      </c>
      <c r="G41" s="23">
        <v>-6.8852240001468488</v>
      </c>
      <c r="H41" s="24">
        <v>11.403121396729361</v>
      </c>
    </row>
    <row r="42" spans="1:8" x14ac:dyDescent="0.2">
      <c r="A42" s="34"/>
      <c r="B42" s="25" t="s">
        <v>241</v>
      </c>
      <c r="C42" s="82">
        <v>90.416635860258879</v>
      </c>
      <c r="D42" s="82">
        <v>77.607672822421264</v>
      </c>
      <c r="E42" s="82">
        <v>85.688561880227581</v>
      </c>
      <c r="F42" s="27"/>
      <c r="G42" s="38">
        <v>-5.2292080268709071</v>
      </c>
      <c r="H42" s="24">
        <v>10.412487275963912</v>
      </c>
    </row>
    <row r="43" spans="1:8" x14ac:dyDescent="0.2">
      <c r="A43" s="30" t="s">
        <v>21</v>
      </c>
      <c r="B43" s="31" t="s">
        <v>3</v>
      </c>
      <c r="C43" s="80">
        <v>67.030808103509273</v>
      </c>
      <c r="D43" s="80">
        <v>76.292620688562764</v>
      </c>
      <c r="E43" s="83">
        <v>76.939731382790484</v>
      </c>
      <c r="F43" s="22" t="s">
        <v>240</v>
      </c>
      <c r="G43" s="37">
        <v>14.782640340512998</v>
      </c>
      <c r="H43" s="33">
        <v>0.84819565560516708</v>
      </c>
    </row>
    <row r="44" spans="1:8" x14ac:dyDescent="0.2">
      <c r="A44" s="34"/>
      <c r="B44" s="25" t="s">
        <v>241</v>
      </c>
      <c r="C44" s="82">
        <v>13.529288704766756</v>
      </c>
      <c r="D44" s="82">
        <v>18.605688946730716</v>
      </c>
      <c r="E44" s="82">
        <v>17.545458211196049</v>
      </c>
      <c r="F44" s="27"/>
      <c r="G44" s="28">
        <v>29.685001141370293</v>
      </c>
      <c r="H44" s="29">
        <v>-5.6984223404474648</v>
      </c>
    </row>
    <row r="45" spans="1:8" x14ac:dyDescent="0.2">
      <c r="A45" s="30" t="s">
        <v>22</v>
      </c>
      <c r="B45" s="31" t="s">
        <v>3</v>
      </c>
      <c r="C45" s="80">
        <v>33.438433235771839</v>
      </c>
      <c r="D45" s="80">
        <v>39.469825771610353</v>
      </c>
      <c r="E45" s="83">
        <v>48.252546369807732</v>
      </c>
      <c r="F45" s="22" t="s">
        <v>240</v>
      </c>
      <c r="G45" s="37">
        <v>44.30265326602688</v>
      </c>
      <c r="H45" s="33">
        <v>22.251733891651909</v>
      </c>
    </row>
    <row r="46" spans="1:8" x14ac:dyDescent="0.2">
      <c r="A46" s="34"/>
      <c r="B46" s="25" t="s">
        <v>241</v>
      </c>
      <c r="C46" s="82">
        <v>7.2085884970812302</v>
      </c>
      <c r="D46" s="82">
        <v>6.9904888610527607</v>
      </c>
      <c r="E46" s="82">
        <v>9.0864639448986537</v>
      </c>
      <c r="F46" s="27"/>
      <c r="G46" s="28">
        <v>26.050529151133787</v>
      </c>
      <c r="H46" s="29">
        <v>29.983240450085503</v>
      </c>
    </row>
    <row r="47" spans="1:8" x14ac:dyDescent="0.2">
      <c r="A47" s="30" t="s">
        <v>189</v>
      </c>
      <c r="B47" s="31" t="s">
        <v>3</v>
      </c>
      <c r="C47" s="80">
        <v>1488.2956952963566</v>
      </c>
      <c r="D47" s="80">
        <v>1408.6781784667883</v>
      </c>
      <c r="E47" s="83">
        <v>1365.9752527677522</v>
      </c>
      <c r="F47" s="22" t="s">
        <v>240</v>
      </c>
      <c r="G47" s="23">
        <v>-8.2188266024815277</v>
      </c>
      <c r="H47" s="24">
        <v>-3.0314181302584018</v>
      </c>
    </row>
    <row r="48" spans="1:8" x14ac:dyDescent="0.2">
      <c r="A48" s="30"/>
      <c r="B48" s="25" t="s">
        <v>241</v>
      </c>
      <c r="C48" s="82">
        <v>343.1155284455611</v>
      </c>
      <c r="D48" s="82">
        <v>405.21773178403322</v>
      </c>
      <c r="E48" s="82">
        <v>362.96014930130144</v>
      </c>
      <c r="F48" s="27"/>
      <c r="G48" s="38">
        <v>5.7836557108457782</v>
      </c>
      <c r="H48" s="24">
        <v>-10.428364597147876</v>
      </c>
    </row>
    <row r="49" spans="1:8" x14ac:dyDescent="0.2">
      <c r="A49" s="39" t="s">
        <v>12</v>
      </c>
      <c r="B49" s="31" t="s">
        <v>3</v>
      </c>
      <c r="C49" s="80">
        <v>25.390669657697376</v>
      </c>
      <c r="D49" s="80">
        <v>31.57157106470541</v>
      </c>
      <c r="E49" s="83">
        <v>49.77880722154184</v>
      </c>
      <c r="F49" s="22" t="s">
        <v>240</v>
      </c>
      <c r="G49" s="37">
        <v>96.051572851884231</v>
      </c>
      <c r="H49" s="33">
        <v>57.669718493010691</v>
      </c>
    </row>
    <row r="50" spans="1:8" x14ac:dyDescent="0.2">
      <c r="A50" s="34"/>
      <c r="B50" s="25" t="s">
        <v>241</v>
      </c>
      <c r="C50" s="82">
        <v>3.725648048271061</v>
      </c>
      <c r="D50" s="82">
        <v>5.2715624811219417</v>
      </c>
      <c r="E50" s="82">
        <v>7.9463131053457108</v>
      </c>
      <c r="F50" s="27"/>
      <c r="G50" s="28">
        <v>113.28673568705204</v>
      </c>
      <c r="H50" s="29">
        <v>50.739237821847922</v>
      </c>
    </row>
    <row r="51" spans="1:8" x14ac:dyDescent="0.2">
      <c r="A51" s="39" t="s">
        <v>23</v>
      </c>
      <c r="B51" s="31" t="s">
        <v>3</v>
      </c>
      <c r="C51" s="80">
        <v>346.31066871556163</v>
      </c>
      <c r="D51" s="80">
        <v>368.32905341325869</v>
      </c>
      <c r="E51" s="83">
        <v>402.77355642664867</v>
      </c>
      <c r="F51" s="22" t="s">
        <v>240</v>
      </c>
      <c r="G51" s="23">
        <v>16.30411443011657</v>
      </c>
      <c r="H51" s="24">
        <v>9.3515574441378249</v>
      </c>
    </row>
    <row r="52" spans="1:8" x14ac:dyDescent="0.2">
      <c r="A52" s="34"/>
      <c r="B52" s="25" t="s">
        <v>241</v>
      </c>
      <c r="C52" s="82">
        <v>68.151680269706418</v>
      </c>
      <c r="D52" s="82">
        <v>85.47538861594343</v>
      </c>
      <c r="E52" s="82">
        <v>88.199655288462111</v>
      </c>
      <c r="F52" s="27"/>
      <c r="G52" s="28">
        <v>29.416699543455081</v>
      </c>
      <c r="H52" s="29">
        <v>3.1871942516217331</v>
      </c>
    </row>
    <row r="53" spans="1:8" x14ac:dyDescent="0.2">
      <c r="A53" s="30" t="s">
        <v>24</v>
      </c>
      <c r="B53" s="31" t="s">
        <v>3</v>
      </c>
      <c r="C53" s="80">
        <v>856.59834462997514</v>
      </c>
      <c r="D53" s="80">
        <v>832.84936495080433</v>
      </c>
      <c r="E53" s="83">
        <v>801.74762370040571</v>
      </c>
      <c r="F53" s="22" t="s">
        <v>240</v>
      </c>
      <c r="G53" s="23">
        <v>-6.4033185767202667</v>
      </c>
      <c r="H53" s="24">
        <v>-3.7343777349503995</v>
      </c>
    </row>
    <row r="54" spans="1:8" ht="13.5" thickBot="1" x14ac:dyDescent="0.25">
      <c r="A54" s="41"/>
      <c r="B54" s="42" t="s">
        <v>241</v>
      </c>
      <c r="C54" s="86">
        <v>246.63014166052676</v>
      </c>
      <c r="D54" s="86">
        <v>291.1783216609806</v>
      </c>
      <c r="E54" s="86">
        <v>261.61701747968635</v>
      </c>
      <c r="F54" s="44"/>
      <c r="G54" s="45">
        <v>6.0766602647409655</v>
      </c>
      <c r="H54" s="46">
        <v>-10.152302552149649</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10">
        <v>13</v>
      </c>
    </row>
    <row r="62" spans="1:8" ht="12.75" customHeight="1" x14ac:dyDescent="0.2">
      <c r="A62" s="54" t="s">
        <v>243</v>
      </c>
      <c r="G62" s="53"/>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hittil_i_aar</vt:lpstr>
      <vt:lpstr>'Tab2'!Print_Area</vt:lpstr>
      <vt:lpstr>'Tab3'!Print_Area</vt:lpstr>
      <vt:lpstr>Print_Area</vt:lpstr>
      <vt:lpstr>pros_1</vt:lpstr>
      <vt:lpstr>pros_2</vt:lpstr>
      <vt:lpstr>aar</vt:lpstr>
      <vt:lpstr>aar_1</vt:lpstr>
      <vt:lpstr>aar_2</vt:lpstr>
      <vt:lpstr>aaret_i_alt</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Stein Erik Petersbakken</cp:lastModifiedBy>
  <cp:lastPrinted>2014-09-12T11:46:46Z</cp:lastPrinted>
  <dcterms:created xsi:type="dcterms:W3CDTF">2002-02-09T09:48:14Z</dcterms:created>
  <dcterms:modified xsi:type="dcterms:W3CDTF">2022-05-25T07:04:46Z</dcterms:modified>
</cp:coreProperties>
</file>