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8_{4F8C885F-25A7-4B61-809B-39AB9062F9A3}" xr6:coauthVersionLast="45" xr6:coauthVersionMax="45" xr10:uidLastSave="{00000000-0000-0000-0000-000000000000}"/>
  <bookViews>
    <workbookView xWindow="-1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25" i="19" l="1"/>
  <c r="R225" i="19"/>
  <c r="P225" i="19"/>
  <c r="O225" i="19"/>
  <c r="M225" i="19"/>
  <c r="L225" i="19"/>
  <c r="T223" i="19"/>
  <c r="T222" i="19"/>
  <c r="T221" i="19"/>
  <c r="Q223" i="19"/>
  <c r="Q222" i="19"/>
  <c r="Q221" i="19"/>
  <c r="N223" i="19"/>
  <c r="N222" i="19"/>
  <c r="N221" i="19"/>
  <c r="C223" i="19" l="1"/>
  <c r="D222" i="19"/>
  <c r="D221" i="19"/>
  <c r="D223" i="19"/>
  <c r="C222" i="19"/>
  <c r="C221" i="19"/>
  <c r="B124" i="21" l="1"/>
  <c r="W112" i="19" l="1"/>
  <c r="G226" i="19"/>
  <c r="Y89" i="19"/>
  <c r="Y83" i="19"/>
  <c r="X130" i="19"/>
  <c r="X129" i="19"/>
  <c r="Y133" i="19"/>
  <c r="X125" i="19"/>
  <c r="W121" i="19"/>
  <c r="S227" i="19"/>
  <c r="R227" i="19"/>
  <c r="P227" i="19"/>
  <c r="O227" i="19"/>
  <c r="M227" i="19"/>
  <c r="L227" i="19"/>
  <c r="E226" i="19"/>
  <c r="T220" i="19"/>
  <c r="Q220" i="19"/>
  <c r="N220" i="19"/>
  <c r="D220" i="19"/>
  <c r="C220" i="19"/>
  <c r="T219" i="19"/>
  <c r="Q219" i="19"/>
  <c r="N219" i="19"/>
  <c r="D219" i="19"/>
  <c r="C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X133" i="19"/>
  <c r="W133" i="19"/>
  <c r="T133" i="19"/>
  <c r="Q133" i="19"/>
  <c r="N133" i="19"/>
  <c r="Y132" i="19"/>
  <c r="X132" i="19"/>
  <c r="W132" i="19"/>
  <c r="T132" i="19"/>
  <c r="Q132" i="19"/>
  <c r="N132" i="19"/>
  <c r="D132" i="19"/>
  <c r="D133" i="19" s="1"/>
  <c r="C132" i="19"/>
  <c r="C133" i="19" s="1"/>
  <c r="Y131" i="19"/>
  <c r="X131" i="19"/>
  <c r="W131" i="19"/>
  <c r="T131" i="19"/>
  <c r="Q131" i="19"/>
  <c r="N131" i="19"/>
  <c r="Y130" i="19"/>
  <c r="W130" i="19"/>
  <c r="T130" i="19"/>
  <c r="Q130" i="19"/>
  <c r="N130" i="19"/>
  <c r="Y129" i="19"/>
  <c r="W129" i="19"/>
  <c r="T129" i="19"/>
  <c r="Q129" i="19"/>
  <c r="N129" i="19"/>
  <c r="C129" i="19"/>
  <c r="C130" i="19" s="1"/>
  <c r="T128" i="19"/>
  <c r="Q128" i="19"/>
  <c r="N128" i="19"/>
  <c r="D128" i="19"/>
  <c r="C128" i="19"/>
  <c r="T127" i="19"/>
  <c r="Q127" i="19"/>
  <c r="N127" i="19"/>
  <c r="T126" i="19"/>
  <c r="Q126" i="19"/>
  <c r="N126" i="19"/>
  <c r="Y125" i="19"/>
  <c r="W125" i="19"/>
  <c r="T125" i="19"/>
  <c r="Q125" i="19"/>
  <c r="N125" i="19"/>
  <c r="Y124" i="19"/>
  <c r="X124" i="19"/>
  <c r="W124" i="19"/>
  <c r="T124" i="19"/>
  <c r="Q124" i="19"/>
  <c r="N124" i="19"/>
  <c r="D124" i="19"/>
  <c r="C124" i="19"/>
  <c r="C125" i="19" s="1"/>
  <c r="C126" i="19" s="1"/>
  <c r="Y123" i="19"/>
  <c r="X123" i="19"/>
  <c r="W123" i="19"/>
  <c r="T123" i="19"/>
  <c r="Q123" i="19"/>
  <c r="N123" i="19"/>
  <c r="Y122" i="19"/>
  <c r="X122" i="19"/>
  <c r="W122" i="19"/>
  <c r="T122" i="19"/>
  <c r="Q122" i="19"/>
  <c r="N122" i="19"/>
  <c r="X121" i="19"/>
  <c r="T121" i="19"/>
  <c r="Q121" i="19"/>
  <c r="N121" i="19"/>
  <c r="D121" i="19"/>
  <c r="C121" i="19"/>
  <c r="C122" i="19" s="1"/>
  <c r="T120" i="19"/>
  <c r="Q120" i="19"/>
  <c r="N120" i="19"/>
  <c r="D120" i="19"/>
  <c r="D122" i="19" s="1"/>
  <c r="C120" i="19"/>
  <c r="T119" i="19"/>
  <c r="Q119" i="19"/>
  <c r="N119" i="19"/>
  <c r="T118" i="19"/>
  <c r="Q118" i="19"/>
  <c r="N118" i="19"/>
  <c r="Y117" i="19"/>
  <c r="X117" i="19"/>
  <c r="W117" i="19"/>
  <c r="T117" i="19"/>
  <c r="Q117" i="19"/>
  <c r="N117" i="19"/>
  <c r="T116" i="19"/>
  <c r="Q116" i="19"/>
  <c r="N116" i="19"/>
  <c r="D116" i="19"/>
  <c r="C116" i="19"/>
  <c r="T115" i="19"/>
  <c r="Q115" i="19"/>
  <c r="N115" i="19"/>
  <c r="Y114" i="19"/>
  <c r="X114" i="19"/>
  <c r="W114" i="19"/>
  <c r="T114" i="19"/>
  <c r="Q114" i="19"/>
  <c r="N114" i="19"/>
  <c r="Y113" i="19"/>
  <c r="X113" i="19"/>
  <c r="W113" i="19"/>
  <c r="T113" i="19"/>
  <c r="Q113" i="19"/>
  <c r="N113" i="19"/>
  <c r="Y112" i="19"/>
  <c r="X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Y92" i="19"/>
  <c r="N92" i="19"/>
  <c r="Y91" i="19"/>
  <c r="X91" i="19"/>
  <c r="N91" i="19"/>
  <c r="Y90" i="19"/>
  <c r="X90" i="19"/>
  <c r="W90" i="19"/>
  <c r="N90" i="19"/>
  <c r="X89" i="19"/>
  <c r="W89" i="19"/>
  <c r="N89" i="19"/>
  <c r="Y88" i="19"/>
  <c r="X88" i="19"/>
  <c r="W88" i="19"/>
  <c r="N88" i="19"/>
  <c r="Y87" i="19"/>
  <c r="X87" i="19"/>
  <c r="N87" i="19"/>
  <c r="Y86" i="19"/>
  <c r="X86" i="19"/>
  <c r="N86" i="19"/>
  <c r="Y85" i="19"/>
  <c r="X85" i="19"/>
  <c r="W85" i="19"/>
  <c r="N85" i="19"/>
  <c r="Y84" i="19"/>
  <c r="X84" i="19"/>
  <c r="W84" i="19"/>
  <c r="N84" i="19"/>
  <c r="X83" i="19"/>
  <c r="W83" i="19"/>
  <c r="N83" i="19"/>
  <c r="N82" i="19"/>
  <c r="N81" i="19"/>
  <c r="N80" i="19"/>
  <c r="N79" i="19"/>
  <c r="N78" i="19"/>
  <c r="Z77" i="19"/>
  <c r="X77" i="19"/>
  <c r="N77" i="19"/>
  <c r="Z76" i="19"/>
  <c r="Z78" i="19" s="1"/>
  <c r="Y76" i="19"/>
  <c r="X76" i="19"/>
  <c r="N76" i="19"/>
  <c r="Z75" i="19"/>
  <c r="X75" i="19"/>
  <c r="N75" i="19"/>
  <c r="Z74" i="19"/>
  <c r="Y74" i="19"/>
  <c r="X74" i="19"/>
  <c r="N74" i="19"/>
  <c r="N73" i="19"/>
  <c r="Z72" i="19"/>
  <c r="Y72" i="19"/>
  <c r="X72" i="19"/>
  <c r="N72" i="19"/>
  <c r="N71" i="19"/>
  <c r="Z70" i="19"/>
  <c r="AD61" i="19"/>
  <c r="A61" i="19"/>
  <c r="AD32" i="19"/>
  <c r="W32" i="19"/>
  <c r="P32" i="19"/>
  <c r="B16" i="21" s="1"/>
  <c r="I32" i="19"/>
  <c r="B14" i="21" s="1"/>
  <c r="A32" i="19"/>
  <c r="B12" i="21" s="1"/>
  <c r="AD6" i="19"/>
  <c r="W6" i="19"/>
  <c r="B17" i="21" s="1"/>
  <c r="I6" i="19"/>
  <c r="B13" i="21" s="1"/>
  <c r="A6" i="19"/>
  <c r="A51" i="23"/>
  <c r="A62" i="19"/>
  <c r="B123" i="21"/>
  <c r="B62" i="21"/>
  <c r="B61" i="21"/>
  <c r="H26" i="21"/>
  <c r="H28" i="21" s="1"/>
  <c r="H29" i="21" s="1"/>
  <c r="H31" i="21" s="1"/>
  <c r="H24" i="21"/>
  <c r="B20" i="21"/>
  <c r="B19" i="21"/>
  <c r="B18" i="21"/>
  <c r="B15" i="21"/>
  <c r="B11" i="21"/>
  <c r="X78" i="19" l="1"/>
  <c r="W115" i="19"/>
  <c r="Y115" i="19"/>
  <c r="X104" i="19"/>
  <c r="H33" i="21"/>
  <c r="H34" i="21" s="1"/>
  <c r="H35" i="21" s="1"/>
  <c r="H36" i="21" s="1"/>
  <c r="H37" i="21" s="1"/>
  <c r="H38" i="21" s="1"/>
  <c r="H40" i="21" s="1"/>
  <c r="H32" i="21"/>
  <c r="W92" i="19"/>
  <c r="Y93" i="19"/>
  <c r="Y95" i="19" s="1"/>
  <c r="H53" i="24"/>
  <c r="A53" i="24"/>
  <c r="AD62" i="19"/>
  <c r="W62" i="19"/>
  <c r="A52" i="23"/>
  <c r="P62" i="19"/>
  <c r="I62" i="19"/>
  <c r="C118" i="19"/>
  <c r="C117" i="19"/>
  <c r="W104" i="19"/>
  <c r="Y104" i="19"/>
  <c r="X115" i="19"/>
  <c r="D125" i="19"/>
  <c r="D126" i="19" s="1"/>
  <c r="H52" i="24"/>
  <c r="A52" i="24"/>
  <c r="W61" i="19"/>
  <c r="Y70" i="19"/>
  <c r="W86" i="19"/>
  <c r="Y128" i="19"/>
  <c r="X82" i="19"/>
  <c r="X100" i="19" s="1"/>
  <c r="X111" i="19" s="1"/>
  <c r="M226" i="19"/>
  <c r="Y82" i="19"/>
  <c r="Y100" i="19" s="1"/>
  <c r="Y111" i="19" s="1"/>
  <c r="D129" i="19"/>
  <c r="D130" i="19" s="1"/>
  <c r="W87" i="19"/>
  <c r="W91" i="19"/>
  <c r="Y121" i="19"/>
  <c r="I61" i="19"/>
  <c r="Y75" i="19"/>
  <c r="Y77" i="19"/>
  <c r="W128" i="19"/>
  <c r="H27" i="21"/>
  <c r="P61" i="19"/>
  <c r="X70" i="19"/>
  <c r="D117" i="19"/>
  <c r="D118" i="19" s="1"/>
  <c r="X128" i="19"/>
  <c r="W82" i="19"/>
  <c r="W100" i="19" s="1"/>
  <c r="W111" i="19" s="1"/>
  <c r="R226" i="19"/>
  <c r="W93" i="19" l="1"/>
  <c r="W95" i="19" s="1"/>
  <c r="P226" i="19"/>
  <c r="S226" i="19"/>
  <c r="Y78" i="19"/>
  <c r="X92" i="19"/>
  <c r="X93" i="19" s="1"/>
  <c r="X95" i="19" s="1"/>
  <c r="O226" i="19"/>
  <c r="L226" i="19"/>
  <c r="H43" i="21"/>
  <c r="H41" i="21"/>
  <c r="H45" i="21" l="1"/>
  <c r="H46" i="21" s="1"/>
  <c r="H47" i="21" s="1"/>
  <c r="H48" i="21" s="1"/>
  <c r="H66" i="21" s="1"/>
  <c r="H67" i="21" s="1"/>
  <c r="H68" i="21" s="1"/>
  <c r="H69" i="21" s="1"/>
  <c r="H70" i="21" s="1"/>
  <c r="H71" i="21" s="1"/>
  <c r="H73" i="21" s="1"/>
  <c r="H74" i="21" s="1"/>
  <c r="H75" i="21" s="1"/>
  <c r="H76" i="21" s="1"/>
  <c r="H77" i="21" s="1"/>
  <c r="H78" i="21" s="1"/>
  <c r="H80" i="21" s="1"/>
  <c r="H44" i="2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<sst xmlns="http://schemas.openxmlformats.org/spreadsheetml/2006/main" count="1536" uniqueCount="244">
  <si>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</si>
  <si>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</si>
  <si>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</si>
  <si>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</si>
  <si>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</si>
  <si>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</si>
  <si>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</si>
  <si>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</si>
  <si>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</si>
  <si>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</si>
  <si>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</si>
  <si>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</si>
  <si>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</si>
  <si>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</si>
  <si>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</si>
  <si>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</si>
  <si>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</si>
  <si>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</si>
  <si>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</si>
  <si>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</si>
  <si>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</si>
  <si>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</si>
  <si>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</si>
  <si>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</si>
  <si>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</si>
  <si>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</si>
  <si>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</si>
  <si>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</si>
  <si>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</si>
  <si>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</si>
  <si>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</si>
  <si>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</si>
  <si>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</si>
  <si>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</si>
  <si>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</si>
  <si>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</si>
  <si>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</si>
  <si>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</si>
  <si>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</si>
  <si>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</si>
  <si>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</si>
  <si>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</si>
  <si>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</si>
  <si>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</si>
  <si>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</si>
  <si>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</si>
  <si>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</si>
  <si>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</si>
  <si>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</si>
  <si>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</si>
  <si>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</si>
  <si>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</si>
  <si>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</si>
  <si>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</si>
  <si>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</si>
  <si>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</si>
  <si>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</si>
  <si>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</si>
  <si>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</si>
  <si>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</si>
  <si>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</si>
  <si>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</si>
  <si>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</si>
  <si>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</si>
  <si>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</si>
  <si>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</si>
  <si>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</si>
  <si>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</si>
  <si>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</si>
  <si>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</si>
  <si>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</si>
  <si>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</si>
  <si>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</si>
  <si>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</si>
  <si>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</si>
  <si>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</si>
  <si>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</si>
  <si>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</si>
  <si>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</si>
  <si>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</si>
  <si>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</si>
  <si>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</si>
  <si>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</si>
  <si>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</si>
  <si>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</si>
  <si>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</si>
  <si>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</si>
  <si>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</si>
  <si>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</si>
  <si>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</si>
  <si>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</si>
  <si>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</si>
  <si>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</si>
  <si>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</si>
  <si>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</si>
  <si>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</si>
  <si>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</si>
  <si>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</si>
  <si>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</si>
  <si>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</si>
  <si>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</si>
  <si>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</si>
  <si>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</si>
  <si>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</si>
  <si>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</si>
  <si>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</si>
  <si>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</si>
  <si>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</si>
  <si>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</si>
  <si>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</si>
  <si>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</si>
  <si>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</si>
  <si>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</si>
  <si>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</si>
  <si>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</si>
  <si>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</si>
  <si>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</si>
  <si>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</si>
  <si>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</si>
  <si>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</si>
  <si>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</si>
  <si>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</si>
  <si>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</si>
  <si>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</si>
  <si>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</si>
  <si>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</si>
  <si>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</si>
  <si>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</si>
  <si>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</si>
  <si>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</si>
  <si>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</si>
  <si>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</si>
  <si>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</si>
  <si>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</si>
  <si>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</si>
  <si>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</si>
  <si>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</si>
  <si>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</si>
  <si>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</si>
  <si>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</si>
  <si>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</si>
  <si>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</si>
  <si>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</si>
  <si>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</si>
  <si>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</si>
  <si>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</si>
  <si>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</si>
  <si>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</si>
  <si>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</si>
  <si>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</si>
  <si>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</si>
  <si>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</si>
  <si>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</si>
  <si>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</si>
  <si>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</si>
  <si>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</si>
  <si>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</si>
  <si>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</si>
  <si>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</si>
  <si>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</si>
  <si>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</si>
  <si>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</si>
  <si>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</si>
  <si>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</si>
  <si>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</si>
  <si>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</si>
  <si>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</si>
  <si>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</si>
  <si>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</si>
  <si>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</si>
  <si>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</si>
  <si>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</si>
  <si>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</si>
  <si>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</si>
  <si>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</si>
  <si>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</si>
  <si>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</si>
  <si>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</si>
  <si>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</si>
  <si>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</si>
  <si>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</si>
  <si>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</si>
  <si>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</si>
  <si>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</si>
  <si>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</si>
  <si>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</si>
  <si>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</si>
  <si>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</si>
  <si>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</si>
  <si>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</si>
  <si>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</si>
  <si>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</si>
  <si>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</si>
  <si>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</si>
  <si>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</si>
  <si>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</si>
  <si>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</si>
  <si>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</si>
  <si>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</si>
  <si>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</si>
  <si>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</si>
  <si>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</si>
  <si>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</si>
  <si>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</si>
  <si>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</si>
  <si>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</si>
  <si>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</si>
  <si>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</si>
  <si>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</si>
  <si>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</si>
  <si>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</si>
  <si>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</si>
  <si>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</si>
  <si>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</si>
  <si>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</si>
  <si>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</si>
  <si>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</si>
  <si>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</si>
  <si>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</si>
  <si>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</si>
  <si>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</si>
  <si>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</si>
  <si>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</si>
  <si>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</si>
  <si>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</si>
  <si>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</si>
  <si>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</si>
  <si>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</si>
  <si>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</si>
  <si>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</si>
  <si>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</si>
  <si>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</si>
  <si>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2019</t>
  </si>
  <si>
    <t>2020</t>
  </si>
  <si>
    <t>2021</t>
  </si>
  <si>
    <t>19-21</t>
  </si>
  <si>
    <t>20-21</t>
  </si>
  <si>
    <t>*</t>
  </si>
  <si>
    <t>Hittil i år</t>
  </si>
  <si>
    <t>Finans Norge / Skadeforsikringsstatistikk</t>
  </si>
  <si>
    <t>Skadestatistikk for landbasert forsikring 1. kvartal 2021</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</si>
  <si>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</si>
  <si>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</si>
  <si>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punkt 4. Prinsipper, begreper og definisjoner på side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</si>
</sst>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cellStyleXfs>
  <cellXfs count="220">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0" fontId="3" fillId="0" borderId="0" xfId="4"/>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26" fillId="0" borderId="0" xfId="9" applyFont="1"/>
    <xf numFmtId="0" fontId="3" fillId="0" borderId="0" xfId="9"/>
    <xf numFmtId="0" fontId="0" fillId="0" borderId="0" xfId="9" applyFont="1"/>
    <xf numFmtId="0" fontId="27" fillId="0" borderId="0" xfId="9" applyFont="1" applyAlignment="1">
      <alignment horizontal="right"/>
    </xf>
    <xf numFmtId="0" fontId="29" fillId="0" borderId="0" xfId="9" applyFont="1" applyAlignment="1">
      <alignment horizontal="left"/>
    </xf>
    <xf numFmtId="0" fontId="32"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30" fillId="0" borderId="0" xfId="9" applyFont="1" applyAlignment="1">
      <alignment horizontal="left"/>
    </xf>
    <xf numFmtId="14" fontId="31" fillId="0" borderId="0" xfId="9" applyNumberFormat="1" applyFont="1" applyAlignment="1">
      <alignment horizontal="left"/>
    </xf>
    <xf numFmtId="0" fontId="31" fillId="0" borderId="0" xfId="9" applyFont="1" applyAlignment="1">
      <alignment horizontal="left"/>
    </xf>
    <xf numFmtId="0" fontId="33" fillId="0" borderId="0" xfId="4" applyFont="1" applyAlignment="1">
      <alignment vertical="center"/>
    </xf>
    <xf numFmtId="0" fontId="34" fillId="0" borderId="0" xfId="4" applyFont="1" applyAlignment="1">
      <alignment vertical="center"/>
    </xf>
    <xf numFmtId="0" fontId="35" fillId="0" borderId="0" xfId="4" applyFont="1"/>
    <xf numFmtId="14" fontId="28" fillId="0" borderId="0" xfId="9" applyNumberFormat="1" applyFont="1"/>
    <xf numFmtId="14" fontId="36"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67" fontId="39" fillId="0" borderId="0" xfId="0" applyNumberFormat="1" applyFont="1"/>
    <xf numFmtId="3"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0" borderId="28" xfId="0" applyNumberFormat="1" applyFont="1" applyBorder="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0" fontId="13" fillId="0" borderId="0" xfId="0" applyFont="1"/>
    <xf numFmtId="0" fontId="13" fillId="0" borderId="6" xfId="0" applyFont="1" applyBorder="1"/>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5">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'Tab2'!$B$71:$B$223</c:f>
              <c:numCache>
                <c:formatCode>General</c:formatCode>
                <c:ptCount val="15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'Tab2'!$C$71:$C$223</c:f>
              <c:numCache>
                <c:formatCode>General</c:formatCode>
                <c:ptCount val="153"/>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'Tab2'!$B$71:$B$223</c:f>
              <c:numCache>
                <c:formatCode>General</c:formatCode>
                <c:ptCount val="15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'Tab2'!$D$71:$D$223</c:f>
              <c:numCache>
                <c:formatCode>General</c:formatCode>
                <c:ptCount val="153"/>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32.126135816742334</c:v>
                </c:pt>
                <c:pt idx="1">
                  <c:v>349.28489816585994</c:v>
                </c:pt>
                <c:pt idx="2">
                  <c:v>74.844381229580648</c:v>
                </c:pt>
                <c:pt idx="3">
                  <c:v>432.63372008264372</c:v>
                </c:pt>
                <c:pt idx="4" formatCode="0.000">
                  <c:v>3457.6917967443956</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2004.8948327261578</c:v>
                </c:pt>
                <c:pt idx="1">
                  <c:v>1824.3973235769665</c:v>
                </c:pt>
                <c:pt idx="2">
                  <c:v>545.64501203044745</c:v>
                </c:pt>
                <c:pt idx="3">
                  <c:v>421.08048263052808</c:v>
                </c:pt>
                <c:pt idx="4">
                  <c:v>160.97506029357834</c:v>
                </c:pt>
                <c:pt idx="5">
                  <c:v>669.81500735484826</c:v>
                </c:pt>
                <c:pt idx="6">
                  <c:v>77.155455798829564</c:v>
                </c:pt>
                <c:pt idx="7">
                  <c:v>286.86351714177783</c:v>
                </c:pt>
                <c:pt idx="8">
                  <c:v>43.233376973261215</c:v>
                </c:pt>
                <c:pt idx="9">
                  <c:v>230.76050452690811</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2229.8794272830219</c:v>
                </c:pt>
                <c:pt idx="1">
                  <c:v>1959.3996641893941</c:v>
                </c:pt>
                <c:pt idx="2">
                  <c:v>488.6673083519845</c:v>
                </c:pt>
                <c:pt idx="3">
                  <c:v>502.10305881512238</c:v>
                </c:pt>
                <c:pt idx="4">
                  <c:v>218.00562808048574</c:v>
                </c:pt>
                <c:pt idx="5">
                  <c:v>1302.9366576102254</c:v>
                </c:pt>
                <c:pt idx="6">
                  <c:v>66.026009004013829</c:v>
                </c:pt>
                <c:pt idx="7">
                  <c:v>374.9547510546671</c:v>
                </c:pt>
                <c:pt idx="8">
                  <c:v>35.680164690636182</c:v>
                </c:pt>
                <c:pt idx="9">
                  <c:v>253.99079153284541</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2021</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2965.4204490303</c:v>
                </c:pt>
                <c:pt idx="1">
                  <c:v>1585.4037215067142</c:v>
                </c:pt>
                <c:pt idx="2">
                  <c:v>482.14262646559507</c:v>
                </c:pt>
                <c:pt idx="3">
                  <c:v>609.6751307627203</c:v>
                </c:pt>
                <c:pt idx="4">
                  <c:v>254.93649516953667</c:v>
                </c:pt>
                <c:pt idx="5">
                  <c:v>110.55182730182818</c:v>
                </c:pt>
                <c:pt idx="6">
                  <c:v>64.208836868916421</c:v>
                </c:pt>
                <c:pt idx="7">
                  <c:v>398.64248721138262</c:v>
                </c:pt>
                <c:pt idx="8">
                  <c:v>25.507322123697413</c:v>
                </c:pt>
                <c:pt idx="9">
                  <c:v>293.02247437515626</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6246.0660115942028</c:v>
                </c:pt>
                <c:pt idx="1">
                  <c:v>22919.924612648218</c:v>
                </c:pt>
                <c:pt idx="2">
                  <c:v>6910.1016739130437</c:v>
                </c:pt>
                <c:pt idx="3" formatCode="_ * #\ ##0_ ;_ * \-#\ ##0_ ;_ * &quot;-&quot;??_ ;_ @_ ">
                  <c:v>67340.42820387517</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7767.2878601449283</c:v>
                </c:pt>
                <c:pt idx="1">
                  <c:v>22180.308750988144</c:v>
                </c:pt>
                <c:pt idx="2">
                  <c:v>8117.2696444099374</c:v>
                </c:pt>
                <c:pt idx="3" formatCode="_ * #\ ##0_ ;_ * \-#\ ##0_ ;_ * &quot;-&quot;??_ ;_ @_ ">
                  <c:v>79263.819190509574</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2021</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8185.2405021739132</c:v>
                </c:pt>
                <c:pt idx="1">
                  <c:v>34994.274094861663</c:v>
                </c:pt>
                <c:pt idx="2">
                  <c:v>6121.5967593167707</c:v>
                </c:pt>
                <c:pt idx="3" formatCode="_ * #\ ##0_ ;_ * \-#\ ##0_ ;_ * &quot;-&quot;??_ ;_ @_ ">
                  <c:v>83362.541784050933</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1397.4160606846913</c:v>
                </c:pt>
                <c:pt idx="1">
                  <c:v>1170.7788601930165</c:v>
                </c:pt>
                <c:pt idx="2">
                  <c:v>123.67116062391185</c:v>
                </c:pt>
                <c:pt idx="3">
                  <c:v>1137.4260748015045</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1769.0740395034682</c:v>
                </c:pt>
                <c:pt idx="1">
                  <c:v>1168.8644293205766</c:v>
                </c:pt>
                <c:pt idx="2">
                  <c:v>145.45299812029876</c:v>
                </c:pt>
                <c:pt idx="3">
                  <c:v>1105.8876245280721</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2021</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1464.197591740502</c:v>
                </c:pt>
                <c:pt idx="1">
                  <c:v>1823.5241188431366</c:v>
                </c:pt>
                <c:pt idx="2">
                  <c:v>112.87324166947003</c:v>
                </c:pt>
                <c:pt idx="3">
                  <c:v>1150.2292182839055</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2019</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81899</c:v>
                </c:pt>
                <c:pt idx="1">
                  <c:v>32150.909694972008</c:v>
                </c:pt>
                <c:pt idx="2">
                  <c:v>46176.703657196675</c:v>
                </c:pt>
                <c:pt idx="3">
                  <c:v>12689.963847746456</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2020</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161525</c:v>
                </c:pt>
                <c:pt idx="1">
                  <c:v>33779.378607928287</c:v>
                </c:pt>
                <c:pt idx="2">
                  <c:v>50338.839690263172</c:v>
                </c:pt>
                <c:pt idx="3">
                  <c:v>11707.421245421247</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2021</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34290.493589743593</c:v>
                </c:pt>
                <c:pt idx="1">
                  <c:v>44786.944784527106</c:v>
                </c:pt>
                <c:pt idx="2">
                  <c:v>57244.673067196847</c:v>
                </c:pt>
                <c:pt idx="3">
                  <c:v>14184.867654085045</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2019</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1566.1477556109726</c:v>
                </c:pt>
                <c:pt idx="1">
                  <c:v>3033.5280000000002</c:v>
                </c:pt>
                <c:pt idx="2">
                  <c:v>2645.6721469387758</c:v>
                </c:pt>
                <c:pt idx="3">
                  <c:v>3154.2796002720661</c:v>
                </c:pt>
                <c:pt idx="4">
                  <c:v>7597.1933333333336</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2020</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1428.2980049875312</c:v>
                </c:pt>
                <c:pt idx="1">
                  <c:v>4087.944</c:v>
                </c:pt>
                <c:pt idx="2">
                  <c:v>2497.8568816326533</c:v>
                </c:pt>
                <c:pt idx="3">
                  <c:v>3848.8858368649612</c:v>
                </c:pt>
                <c:pt idx="4">
                  <c:v>7537.45</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2021</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1433.3104738154614</c:v>
                </c:pt>
                <c:pt idx="1">
                  <c:v>3104.3150039000002</c:v>
                </c:pt>
                <c:pt idx="2">
                  <c:v>2405.7066122448982</c:v>
                </c:pt>
                <c:pt idx="3">
                  <c:v>6189.8587348924812</c:v>
                </c:pt>
                <c:pt idx="4">
                  <c:v>7214.3441666666668</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'Tab2'!$K$71:$K$220</c:f>
              <c:numCache>
                <c:formatCode>General</c:formatCode>
                <c:ptCount val="15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'Tab2'!$N$71:$N$223</c:f>
              <c:numCache>
                <c:formatCode>#\ ##0.0</c:formatCode>
                <c:ptCount val="153"/>
                <c:pt idx="0">
                  <c:v>235.15885687732347</c:v>
                </c:pt>
                <c:pt idx="1">
                  <c:v>196.98220292504575</c:v>
                </c:pt>
                <c:pt idx="2">
                  <c:v>180.13968354430384</c:v>
                </c:pt>
                <c:pt idx="3">
                  <c:v>220.664243772242</c:v>
                </c:pt>
                <c:pt idx="4">
                  <c:v>236.6244240837697</c:v>
                </c:pt>
                <c:pt idx="5">
                  <c:v>223.82939003436425</c:v>
                </c:pt>
                <c:pt idx="6">
                  <c:v>221.92283645655877</c:v>
                </c:pt>
                <c:pt idx="7">
                  <c:v>248.22182885906039</c:v>
                </c:pt>
                <c:pt idx="8">
                  <c:v>268.23652317880794</c:v>
                </c:pt>
                <c:pt idx="9">
                  <c:v>293.19008943089432</c:v>
                </c:pt>
                <c:pt idx="10">
                  <c:v>259.80088709677426</c:v>
                </c:pt>
                <c:pt idx="11">
                  <c:v>294.64919841269847</c:v>
                </c:pt>
                <c:pt idx="12">
                  <c:v>273.18504687500001</c:v>
                </c:pt>
                <c:pt idx="13">
                  <c:v>292.31965384615387</c:v>
                </c:pt>
                <c:pt idx="14">
                  <c:v>235.27773134328362</c:v>
                </c:pt>
                <c:pt idx="15">
                  <c:v>275.32891970802922</c:v>
                </c:pt>
                <c:pt idx="16">
                  <c:v>300.79157446808512</c:v>
                </c:pt>
                <c:pt idx="17">
                  <c:v>296.82571927374306</c:v>
                </c:pt>
                <c:pt idx="18">
                  <c:v>242.90505532503462</c:v>
                </c:pt>
                <c:pt idx="19">
                  <c:v>285.78508831521742</c:v>
                </c:pt>
                <c:pt idx="20">
                  <c:v>272.01007978723408</c:v>
                </c:pt>
                <c:pt idx="21">
                  <c:v>193.90108865710562</c:v>
                </c:pt>
                <c:pt idx="22">
                  <c:v>302.00583766233768</c:v>
                </c:pt>
                <c:pt idx="23">
                  <c:v>400.0732778489118</c:v>
                </c:pt>
                <c:pt idx="24">
                  <c:v>282.64259822560206</c:v>
                </c:pt>
                <c:pt idx="25">
                  <c:v>228.44284557907849</c:v>
                </c:pt>
                <c:pt idx="26">
                  <c:v>201.01099255583128</c:v>
                </c:pt>
                <c:pt idx="27">
                  <c:v>253.5972972972973</c:v>
                </c:pt>
                <c:pt idx="28">
                  <c:v>271.53604495747271</c:v>
                </c:pt>
                <c:pt idx="29">
                  <c:v>218.45146882494006</c:v>
                </c:pt>
                <c:pt idx="30">
                  <c:v>189.45566308243733</c:v>
                </c:pt>
                <c:pt idx="31">
                  <c:v>220.5193889541716</c:v>
                </c:pt>
                <c:pt idx="32">
                  <c:v>237.96126900584801</c:v>
                </c:pt>
                <c:pt idx="33">
                  <c:v>228.79883949191679</c:v>
                </c:pt>
                <c:pt idx="34">
                  <c:v>239.45324480369521</c:v>
                </c:pt>
                <c:pt idx="35">
                  <c:v>247.56479954180998</c:v>
                </c:pt>
                <c:pt idx="36">
                  <c:v>231.27107428571432</c:v>
                </c:pt>
                <c:pt idx="37">
                  <c:v>199.2761455981942</c:v>
                </c:pt>
                <c:pt idx="38">
                  <c:v>230.25795941375418</c:v>
                </c:pt>
                <c:pt idx="39">
                  <c:v>190.00865061590159</c:v>
                </c:pt>
                <c:pt idx="40">
                  <c:v>238.40875835189308</c:v>
                </c:pt>
                <c:pt idx="41">
                  <c:v>198.40916299559478</c:v>
                </c:pt>
                <c:pt idx="42">
                  <c:v>229.22657836644592</c:v>
                </c:pt>
                <c:pt idx="43">
                  <c:v>271.18190109890105</c:v>
                </c:pt>
                <c:pt idx="44">
                  <c:v>324.79961538461544</c:v>
                </c:pt>
                <c:pt idx="45">
                  <c:v>283.94877317339154</c:v>
                </c:pt>
                <c:pt idx="46">
                  <c:v>288.4887242128122</c:v>
                </c:pt>
                <c:pt idx="47">
                  <c:v>237.78626349892022</c:v>
                </c:pt>
                <c:pt idx="48">
                  <c:v>286.48258565310493</c:v>
                </c:pt>
                <c:pt idx="49">
                  <c:v>246.46010095642944</c:v>
                </c:pt>
                <c:pt idx="50">
                  <c:v>299.47478214665244</c:v>
                </c:pt>
                <c:pt idx="51">
                  <c:v>284.33636363636379</c:v>
                </c:pt>
                <c:pt idx="52">
                  <c:v>623.5478343949045</c:v>
                </c:pt>
                <c:pt idx="53">
                  <c:v>386.1114405888539</c:v>
                </c:pt>
                <c:pt idx="54">
                  <c:v>393.00942408376989</c:v>
                </c:pt>
                <c:pt idx="55">
                  <c:v>379.02657320872294</c:v>
                </c:pt>
                <c:pt idx="56">
                  <c:v>410.32980986639262</c:v>
                </c:pt>
                <c:pt idx="57">
                  <c:v>450.26714943705235</c:v>
                </c:pt>
                <c:pt idx="58">
                  <c:v>476.83819344933471</c:v>
                </c:pt>
                <c:pt idx="59">
                  <c:v>425.44984247967488</c:v>
                </c:pt>
                <c:pt idx="60">
                  <c:v>448.83912386706953</c:v>
                </c:pt>
                <c:pt idx="61">
                  <c:v>397.6288615847543</c:v>
                </c:pt>
                <c:pt idx="62">
                  <c:v>404.12516533066133</c:v>
                </c:pt>
                <c:pt idx="63">
                  <c:v>464.49606256206562</c:v>
                </c:pt>
                <c:pt idx="64">
                  <c:v>506.63187869822497</c:v>
                </c:pt>
                <c:pt idx="65">
                  <c:v>509.09285225048927</c:v>
                </c:pt>
                <c:pt idx="66">
                  <c:v>685.04933628318588</c:v>
                </c:pt>
                <c:pt idx="67">
                  <c:v>620.40271497584502</c:v>
                </c:pt>
                <c:pt idx="68">
                  <c:v>517.14695506692169</c:v>
                </c:pt>
                <c:pt idx="69">
                  <c:v>375.56207421503336</c:v>
                </c:pt>
                <c:pt idx="70">
                  <c:v>465.59066951566956</c:v>
                </c:pt>
                <c:pt idx="71">
                  <c:v>709.88247191011237</c:v>
                </c:pt>
                <c:pt idx="72">
                  <c:v>974.2323846863469</c:v>
                </c:pt>
                <c:pt idx="73">
                  <c:v>644.9454379562045</c:v>
                </c:pt>
                <c:pt idx="74">
                  <c:v>579.24656799259969</c:v>
                </c:pt>
                <c:pt idx="75">
                  <c:v>732.86586016559318</c:v>
                </c:pt>
                <c:pt idx="76">
                  <c:v>667.46205397987194</c:v>
                </c:pt>
                <c:pt idx="77">
                  <c:v>580.75702272727278</c:v>
                </c:pt>
                <c:pt idx="78">
                  <c:v>717.71583029197086</c:v>
                </c:pt>
                <c:pt idx="79">
                  <c:v>653.9992522522524</c:v>
                </c:pt>
                <c:pt idx="80">
                  <c:v>855.34134380453759</c:v>
                </c:pt>
                <c:pt idx="81">
                  <c:v>565.52046749777412</c:v>
                </c:pt>
                <c:pt idx="82">
                  <c:v>601.64202412868633</c:v>
                </c:pt>
                <c:pt idx="83">
                  <c:v>655.40036856127881</c:v>
                </c:pt>
                <c:pt idx="84">
                  <c:v>719.00989786856132</c:v>
                </c:pt>
                <c:pt idx="85">
                  <c:v>475.36075396825396</c:v>
                </c:pt>
                <c:pt idx="86">
                  <c:v>628.44626991150437</c:v>
                </c:pt>
                <c:pt idx="87">
                  <c:v>587.40400877193031</c:v>
                </c:pt>
                <c:pt idx="88">
                  <c:v>574.92462620932281</c:v>
                </c:pt>
                <c:pt idx="89">
                  <c:v>438.74680555555562</c:v>
                </c:pt>
                <c:pt idx="90">
                  <c:v>609.09987402258901</c:v>
                </c:pt>
                <c:pt idx="91">
                  <c:v>645.49256896551731</c:v>
                </c:pt>
                <c:pt idx="92">
                  <c:v>784.60741852487149</c:v>
                </c:pt>
                <c:pt idx="93">
                  <c:v>575.4012977099236</c:v>
                </c:pt>
                <c:pt idx="94">
                  <c:v>662.06982949701614</c:v>
                </c:pt>
                <c:pt idx="95">
                  <c:v>690.72231932773138</c:v>
                </c:pt>
                <c:pt idx="96">
                  <c:v>864.57613617021286</c:v>
                </c:pt>
                <c:pt idx="97">
                  <c:v>679.73936601859691</c:v>
                </c:pt>
                <c:pt idx="98">
                  <c:v>868.48104414261513</c:v>
                </c:pt>
                <c:pt idx="99">
                  <c:v>734.28453642384068</c:v>
                </c:pt>
                <c:pt idx="100">
                  <c:v>759.34603363412634</c:v>
                </c:pt>
                <c:pt idx="101">
                  <c:v>702.9633934426231</c:v>
                </c:pt>
                <c:pt idx="102">
                  <c:v>918.11080016247013</c:v>
                </c:pt>
                <c:pt idx="103">
                  <c:v>881.75054931836439</c:v>
                </c:pt>
                <c:pt idx="104">
                  <c:v>925.298768</c:v>
                </c:pt>
                <c:pt idx="105">
                  <c:v>751.19540970564856</c:v>
                </c:pt>
                <c:pt idx="106">
                  <c:v>992.30896730462507</c:v>
                </c:pt>
                <c:pt idx="107">
                  <c:v>937.93941943128004</c:v>
                </c:pt>
                <c:pt idx="108">
                  <c:v>2057.4592816697445</c:v>
                </c:pt>
                <c:pt idx="109">
                  <c:v>1049.4064243011774</c:v>
                </c:pt>
                <c:pt idx="110">
                  <c:v>1054.4548218895704</c:v>
                </c:pt>
                <c:pt idx="111">
                  <c:v>1078.7521542462487</c:v>
                </c:pt>
                <c:pt idx="112">
                  <c:v>1274.8872161327517</c:v>
                </c:pt>
                <c:pt idx="113">
                  <c:v>927.06829197214904</c:v>
                </c:pt>
                <c:pt idx="114">
                  <c:v>1105.3865833390562</c:v>
                </c:pt>
                <c:pt idx="115">
                  <c:v>931.58028892414688</c:v>
                </c:pt>
                <c:pt idx="116">
                  <c:v>1032.0633628555886</c:v>
                </c:pt>
                <c:pt idx="117">
                  <c:v>754.53271741770538</c:v>
                </c:pt>
                <c:pt idx="118">
                  <c:v>1040.2894665826284</c:v>
                </c:pt>
                <c:pt idx="119">
                  <c:v>979.53104559960457</c:v>
                </c:pt>
                <c:pt idx="120">
                  <c:v>1202.9665823687071</c:v>
                </c:pt>
                <c:pt idx="121">
                  <c:v>1177.9313650956178</c:v>
                </c:pt>
                <c:pt idx="122">
                  <c:v>857.11715115918253</c:v>
                </c:pt>
                <c:pt idx="123">
                  <c:v>1035.2974861508544</c:v>
                </c:pt>
                <c:pt idx="124">
                  <c:v>1021.081744432644</c:v>
                </c:pt>
                <c:pt idx="125">
                  <c:v>838.50967969717544</c:v>
                </c:pt>
                <c:pt idx="126">
                  <c:v>1233.4921894769541</c:v>
                </c:pt>
                <c:pt idx="127">
                  <c:v>986.25097752695069</c:v>
                </c:pt>
                <c:pt idx="128">
                  <c:v>1082.0454495588449</c:v>
                </c:pt>
                <c:pt idx="129">
                  <c:v>828.65658939066475</c:v>
                </c:pt>
                <c:pt idx="130">
                  <c:v>1096.905499730299</c:v>
                </c:pt>
                <c:pt idx="131">
                  <c:v>973.92637856958356</c:v>
                </c:pt>
                <c:pt idx="132">
                  <c:v>1119.6048537294707</c:v>
                </c:pt>
                <c:pt idx="133">
                  <c:v>861.80156314949977</c:v>
                </c:pt>
                <c:pt idx="134">
                  <c:v>1511.4466531689902</c:v>
                </c:pt>
                <c:pt idx="135">
                  <c:v>1025.5171852801182</c:v>
                </c:pt>
                <c:pt idx="136">
                  <c:v>1099.3400824693192</c:v>
                </c:pt>
                <c:pt idx="137">
                  <c:v>815.35337485308526</c:v>
                </c:pt>
                <c:pt idx="138">
                  <c:v>962.94090291921259</c:v>
                </c:pt>
                <c:pt idx="139">
                  <c:v>1202.3941037735849</c:v>
                </c:pt>
                <c:pt idx="140">
                  <c:v>1227.4707748830997</c:v>
                </c:pt>
                <c:pt idx="141">
                  <c:v>1116.6713976089763</c:v>
                </c:pt>
                <c:pt idx="142">
                  <c:v>1244.7018011074917</c:v>
                </c:pt>
                <c:pt idx="143">
                  <c:v>1098.1913735594512</c:v>
                </c:pt>
                <c:pt idx="144">
                  <c:v>1168.1826153555151</c:v>
                </c:pt>
                <c:pt idx="145">
                  <c:v>1018.5707897094017</c:v>
                </c:pt>
                <c:pt idx="146">
                  <c:v>1417.6227369074836</c:v>
                </c:pt>
                <c:pt idx="147">
                  <c:v>1320.2031421915767</c:v>
                </c:pt>
                <c:pt idx="148">
                  <c:v>1193.6087572945899</c:v>
                </c:pt>
                <c:pt idx="149">
                  <c:v>1002.6286202227799</c:v>
                </c:pt>
                <c:pt idx="150">
                  <c:v>1183.3670773091433</c:v>
                </c:pt>
                <c:pt idx="151">
                  <c:v>1243.8469699510392</c:v>
                </c:pt>
                <c:pt idx="152">
                  <c:v>1833.6665337273914</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'Tab2'!$K$71:$K$223</c:f>
              <c:numCache>
                <c:formatCode>General</c:formatCode>
                <c:ptCount val="15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'Tab2'!$L$71:$L$223</c:f>
              <c:numCache>
                <c:formatCode>#,##0</c:formatCode>
                <c:ptCount val="153"/>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'Tab2'!$K$103:$K$220</c:f>
              <c:numCache>
                <c:formatCode>General</c:formatCode>
                <c:ptCount val="11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'Tab2'!$Q$103:$Q$223</c:f>
              <c:numCache>
                <c:formatCode>#\ ##0.0</c:formatCode>
                <c:ptCount val="121"/>
                <c:pt idx="0">
                  <c:v>689.37434502923975</c:v>
                </c:pt>
                <c:pt idx="1">
                  <c:v>666.89353926096999</c:v>
                </c:pt>
                <c:pt idx="2">
                  <c:v>778.13275404157048</c:v>
                </c:pt>
                <c:pt idx="3">
                  <c:v>764.90715922107734</c:v>
                </c:pt>
                <c:pt idx="4">
                  <c:v>731.8818</c:v>
                </c:pt>
                <c:pt idx="5">
                  <c:v>727.207900677201</c:v>
                </c:pt>
                <c:pt idx="6">
                  <c:v>776.45945885005665</c:v>
                </c:pt>
                <c:pt idx="7">
                  <c:v>745.32425531914885</c:v>
                </c:pt>
                <c:pt idx="8">
                  <c:v>782.62159242761697</c:v>
                </c:pt>
                <c:pt idx="9">
                  <c:v>607.80029185022033</c:v>
                </c:pt>
                <c:pt idx="10">
                  <c:v>670.59130794702037</c:v>
                </c:pt>
                <c:pt idx="11">
                  <c:v>802.5471978021975</c:v>
                </c:pt>
                <c:pt idx="12">
                  <c:v>734.83764835164845</c:v>
                </c:pt>
                <c:pt idx="13">
                  <c:v>842.97824972737203</c:v>
                </c:pt>
                <c:pt idx="14">
                  <c:v>722.49530401737263</c:v>
                </c:pt>
                <c:pt idx="15">
                  <c:v>659.65422246220305</c:v>
                </c:pt>
                <c:pt idx="16">
                  <c:v>909.17617773019288</c:v>
                </c:pt>
                <c:pt idx="17">
                  <c:v>768.46359192348598</c:v>
                </c:pt>
                <c:pt idx="18">
                  <c:v>810.84209883103074</c:v>
                </c:pt>
                <c:pt idx="19">
                  <c:v>611.48849365750516</c:v>
                </c:pt>
                <c:pt idx="20">
                  <c:v>796.70022823779198</c:v>
                </c:pt>
                <c:pt idx="21">
                  <c:v>962.48307570977943</c:v>
                </c:pt>
                <c:pt idx="22">
                  <c:v>952.8840994764397</c:v>
                </c:pt>
                <c:pt idx="23">
                  <c:v>1081.2163343717555</c:v>
                </c:pt>
                <c:pt idx="24">
                  <c:v>1005.6535919835562</c:v>
                </c:pt>
                <c:pt idx="25">
                  <c:v>1063.4820266120776</c:v>
                </c:pt>
                <c:pt idx="26">
                  <c:v>1152.9592169907885</c:v>
                </c:pt>
                <c:pt idx="27">
                  <c:v>896.35304878048782</c:v>
                </c:pt>
                <c:pt idx="28">
                  <c:v>944.29452165156113</c:v>
                </c:pt>
                <c:pt idx="29">
                  <c:v>904.89976429287867</c:v>
                </c:pt>
                <c:pt idx="30">
                  <c:v>678.19066132264572</c:v>
                </c:pt>
                <c:pt idx="31">
                  <c:v>1147.0303972194629</c:v>
                </c:pt>
                <c:pt idx="32">
                  <c:v>1062.7702514792902</c:v>
                </c:pt>
                <c:pt idx="33">
                  <c:v>1338.3005968688847</c:v>
                </c:pt>
                <c:pt idx="34">
                  <c:v>871.88097345132712</c:v>
                </c:pt>
                <c:pt idx="35">
                  <c:v>1413.5088647342998</c:v>
                </c:pt>
                <c:pt idx="36">
                  <c:v>1225.8132074569792</c:v>
                </c:pt>
                <c:pt idx="37">
                  <c:v>1003.1852235965748</c:v>
                </c:pt>
                <c:pt idx="38">
                  <c:v>1048.8042450142455</c:v>
                </c:pt>
                <c:pt idx="39">
                  <c:v>1082.3950561797751</c:v>
                </c:pt>
                <c:pt idx="40">
                  <c:v>1265.2181273062731</c:v>
                </c:pt>
                <c:pt idx="41">
                  <c:v>1317.0014142335767</c:v>
                </c:pt>
                <c:pt idx="42">
                  <c:v>1695.7862812210917</c:v>
                </c:pt>
                <c:pt idx="43">
                  <c:v>1155.6952207911688</c:v>
                </c:pt>
                <c:pt idx="44">
                  <c:v>1173.817511436414</c:v>
                </c:pt>
                <c:pt idx="45">
                  <c:v>979.68094090909085</c:v>
                </c:pt>
                <c:pt idx="46">
                  <c:v>1278.3332253649637</c:v>
                </c:pt>
                <c:pt idx="47">
                  <c:v>1322.2281306306309</c:v>
                </c:pt>
                <c:pt idx="48">
                  <c:v>1483.6105759162308</c:v>
                </c:pt>
                <c:pt idx="49">
                  <c:v>1138.8392965271596</c:v>
                </c:pt>
                <c:pt idx="50">
                  <c:v>1202.1660142984806</c:v>
                </c:pt>
                <c:pt idx="51">
                  <c:v>1058.7236722912971</c:v>
                </c:pt>
                <c:pt idx="52">
                  <c:v>1021.0857193605686</c:v>
                </c:pt>
                <c:pt idx="53">
                  <c:v>976.78567460317458</c:v>
                </c:pt>
                <c:pt idx="54">
                  <c:v>903.29636725663704</c:v>
                </c:pt>
                <c:pt idx="55">
                  <c:v>973.15367543859736</c:v>
                </c:pt>
                <c:pt idx="56">
                  <c:v>983.69878627968353</c:v>
                </c:pt>
                <c:pt idx="57">
                  <c:v>1012.0227213541667</c:v>
                </c:pt>
                <c:pt idx="58">
                  <c:v>1130.564365768897</c:v>
                </c:pt>
                <c:pt idx="59">
                  <c:v>1072.8550258620687</c:v>
                </c:pt>
                <c:pt idx="60">
                  <c:v>1270.3934133790742</c:v>
                </c:pt>
                <c:pt idx="61">
                  <c:v>1075.9924681933844</c:v>
                </c:pt>
                <c:pt idx="62">
                  <c:v>1141.0905498721231</c:v>
                </c:pt>
                <c:pt idx="63">
                  <c:v>1085.4958823529414</c:v>
                </c:pt>
                <c:pt idx="64">
                  <c:v>1453.6484851063831</c:v>
                </c:pt>
                <c:pt idx="65">
                  <c:v>1377.0604775993238</c:v>
                </c:pt>
                <c:pt idx="66">
                  <c:v>902.20073005093434</c:v>
                </c:pt>
                <c:pt idx="67">
                  <c:v>1180.2665935430464</c:v>
                </c:pt>
                <c:pt idx="68">
                  <c:v>1236.1984085315835</c:v>
                </c:pt>
                <c:pt idx="69">
                  <c:v>1478.991909836066</c:v>
                </c:pt>
                <c:pt idx="70">
                  <c:v>1888.4346263200646</c:v>
                </c:pt>
                <c:pt idx="71">
                  <c:v>1454.7441860465119</c:v>
                </c:pt>
                <c:pt idx="72">
                  <c:v>1313.5088920000003</c:v>
                </c:pt>
                <c:pt idx="73">
                  <c:v>1341.0293675417663</c:v>
                </c:pt>
                <c:pt idx="74">
                  <c:v>1593.9048524720893</c:v>
                </c:pt>
                <c:pt idx="75">
                  <c:v>1472.6871800947874</c:v>
                </c:pt>
                <c:pt idx="76">
                  <c:v>2003.113228438229</c:v>
                </c:pt>
                <c:pt idx="77">
                  <c:v>1676.3161714507369</c:v>
                </c:pt>
                <c:pt idx="78">
                  <c:v>1573.8840923317684</c:v>
                </c:pt>
                <c:pt idx="79">
                  <c:v>1589.0655658914743</c:v>
                </c:pt>
                <c:pt idx="80">
                  <c:v>2040.3317933947776</c:v>
                </c:pt>
                <c:pt idx="81">
                  <c:v>1830.5401450381685</c:v>
                </c:pt>
                <c:pt idx="82">
                  <c:v>1553.4565610510044</c:v>
                </c:pt>
                <c:pt idx="83">
                  <c:v>1542.1151183818745</c:v>
                </c:pt>
                <c:pt idx="84">
                  <c:v>1365.9215174655785</c:v>
                </c:pt>
                <c:pt idx="85">
                  <c:v>1232.3150663866368</c:v>
                </c:pt>
                <c:pt idx="86">
                  <c:v>1361.8257475957028</c:v>
                </c:pt>
                <c:pt idx="87">
                  <c:v>1268.8650709821593</c:v>
                </c:pt>
                <c:pt idx="88">
                  <c:v>1350.0659204162753</c:v>
                </c:pt>
                <c:pt idx="89">
                  <c:v>1320.1391950887983</c:v>
                </c:pt>
                <c:pt idx="90">
                  <c:v>1542.162307947541</c:v>
                </c:pt>
                <c:pt idx="91">
                  <c:v>1401.6430871728999</c:v>
                </c:pt>
                <c:pt idx="92">
                  <c:v>1710.0032176403713</c:v>
                </c:pt>
                <c:pt idx="93">
                  <c:v>1325.6320141568635</c:v>
                </c:pt>
                <c:pt idx="94">
                  <c:v>1438.1416289808765</c:v>
                </c:pt>
                <c:pt idx="95">
                  <c:v>1255.2201334388492</c:v>
                </c:pt>
                <c:pt idx="96">
                  <c:v>1446.1499587226101</c:v>
                </c:pt>
                <c:pt idx="97">
                  <c:v>1351.8350060423886</c:v>
                </c:pt>
                <c:pt idx="98">
                  <c:v>1501.2791786671528</c:v>
                </c:pt>
                <c:pt idx="99">
                  <c:v>1573.0517159723267</c:v>
                </c:pt>
                <c:pt idx="100">
                  <c:v>1388.6997958710776</c:v>
                </c:pt>
                <c:pt idx="101">
                  <c:v>1074.5571633562124</c:v>
                </c:pt>
                <c:pt idx="102">
                  <c:v>1606.3132581171897</c:v>
                </c:pt>
                <c:pt idx="103">
                  <c:v>1302.7978672210272</c:v>
                </c:pt>
                <c:pt idx="104">
                  <c:v>1384.8691603055447</c:v>
                </c:pt>
                <c:pt idx="105">
                  <c:v>1784.3369719519187</c:v>
                </c:pt>
                <c:pt idx="106">
                  <c:v>1012.8397148676171</c:v>
                </c:pt>
                <c:pt idx="107">
                  <c:v>1269.8377695417789</c:v>
                </c:pt>
                <c:pt idx="108">
                  <c:v>1318.3558450233804</c:v>
                </c:pt>
                <c:pt idx="109">
                  <c:v>1526.4815344630601</c:v>
                </c:pt>
                <c:pt idx="110">
                  <c:v>1871.3336202063444</c:v>
                </c:pt>
                <c:pt idx="111">
                  <c:v>1478.4089485278173</c:v>
                </c:pt>
                <c:pt idx="112">
                  <c:v>1405.0325187876406</c:v>
                </c:pt>
                <c:pt idx="113">
                  <c:v>1362.2918017123636</c:v>
                </c:pt>
                <c:pt idx="114">
                  <c:v>1501.1533950536041</c:v>
                </c:pt>
                <c:pt idx="115">
                  <c:v>1229.9806642606613</c:v>
                </c:pt>
                <c:pt idx="116">
                  <c:v>1783.2593117517176</c:v>
                </c:pt>
                <c:pt idx="117">
                  <c:v>1194.4601995413352</c:v>
                </c:pt>
                <c:pt idx="118">
                  <c:v>1038.756021928436</c:v>
                </c:pt>
                <c:pt idx="119">
                  <c:v>1194.2306337854523</c:v>
                </c:pt>
                <c:pt idx="120">
                  <c:v>1472.3414376564972</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'Tab2'!$K$103:$K$223</c:f>
              <c:numCache>
                <c:formatCode>General</c:formatCode>
                <c:ptCount val="12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'Tab2'!$O$103:$O$223</c:f>
              <c:numCache>
                <c:formatCode>#,##0</c:formatCode>
                <c:ptCount val="121"/>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'Tab2'!$K$103:$K$220</c:f>
              <c:numCache>
                <c:formatCode>General</c:formatCode>
                <c:ptCount val="11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'Tab2'!$T$103:$T$223</c:f>
              <c:numCache>
                <c:formatCode>#\ ##0.0</c:formatCode>
                <c:ptCount val="121"/>
                <c:pt idx="0">
                  <c:v>255.88609941520471</c:v>
                </c:pt>
                <c:pt idx="1">
                  <c:v>318.36807736720556</c:v>
                </c:pt>
                <c:pt idx="2">
                  <c:v>370.01485565819871</c:v>
                </c:pt>
                <c:pt idx="3">
                  <c:v>331.40005727376865</c:v>
                </c:pt>
                <c:pt idx="4">
                  <c:v>322.59991428571431</c:v>
                </c:pt>
                <c:pt idx="5">
                  <c:v>294.76630925507908</c:v>
                </c:pt>
                <c:pt idx="6">
                  <c:v>386.29034385569338</c:v>
                </c:pt>
                <c:pt idx="7">
                  <c:v>191.58475923852183</c:v>
                </c:pt>
                <c:pt idx="8">
                  <c:v>305.62992761692658</c:v>
                </c:pt>
                <c:pt idx="9">
                  <c:v>329.30409691629967</c:v>
                </c:pt>
                <c:pt idx="10">
                  <c:v>374.39190397350995</c:v>
                </c:pt>
                <c:pt idx="11">
                  <c:v>282.69596153846157</c:v>
                </c:pt>
                <c:pt idx="12">
                  <c:v>277.88411538461543</c:v>
                </c:pt>
                <c:pt idx="13">
                  <c:v>334.59909487459112</c:v>
                </c:pt>
                <c:pt idx="14">
                  <c:v>373.21849077090138</c:v>
                </c:pt>
                <c:pt idx="15">
                  <c:v>362.08362850971923</c:v>
                </c:pt>
                <c:pt idx="16">
                  <c:v>306.57487687366171</c:v>
                </c:pt>
                <c:pt idx="17">
                  <c:v>354.64993623804469</c:v>
                </c:pt>
                <c:pt idx="18">
                  <c:v>372.43229011689681</c:v>
                </c:pt>
                <c:pt idx="19">
                  <c:v>341.03832452431323</c:v>
                </c:pt>
                <c:pt idx="20">
                  <c:v>329.70340764331218</c:v>
                </c:pt>
                <c:pt idx="21">
                  <c:v>361.9383648790747</c:v>
                </c:pt>
                <c:pt idx="22">
                  <c:v>381.87415706806286</c:v>
                </c:pt>
                <c:pt idx="23">
                  <c:v>305.29989615784029</c:v>
                </c:pt>
                <c:pt idx="24">
                  <c:v>301.8407297019528</c:v>
                </c:pt>
                <c:pt idx="25">
                  <c:v>359.50942681678606</c:v>
                </c:pt>
                <c:pt idx="26">
                  <c:v>318.21226202661222</c:v>
                </c:pt>
                <c:pt idx="27">
                  <c:v>294.17544207317059</c:v>
                </c:pt>
                <c:pt idx="28">
                  <c:v>291.98166163142002</c:v>
                </c:pt>
                <c:pt idx="29">
                  <c:v>320.29906720160483</c:v>
                </c:pt>
                <c:pt idx="30">
                  <c:v>328.43983967935878</c:v>
                </c:pt>
                <c:pt idx="31">
                  <c:v>319.60310824230385</c:v>
                </c:pt>
                <c:pt idx="32">
                  <c:v>251.0796646942801</c:v>
                </c:pt>
                <c:pt idx="33">
                  <c:v>304.66001467710373</c:v>
                </c:pt>
                <c:pt idx="34">
                  <c:v>350.13632743362848</c:v>
                </c:pt>
                <c:pt idx="35">
                  <c:v>290.40770048309173</c:v>
                </c:pt>
                <c:pt idx="36">
                  <c:v>296.02514340344175</c:v>
                </c:pt>
                <c:pt idx="37">
                  <c:v>274.52932921027599</c:v>
                </c:pt>
                <c:pt idx="38">
                  <c:v>287.96820037986703</c:v>
                </c:pt>
                <c:pt idx="39">
                  <c:v>314.81999063670418</c:v>
                </c:pt>
                <c:pt idx="40">
                  <c:v>236.74149907749077</c:v>
                </c:pt>
                <c:pt idx="41">
                  <c:v>271.5334443430657</c:v>
                </c:pt>
                <c:pt idx="42">
                  <c:v>229.29715541165589</c:v>
                </c:pt>
                <c:pt idx="43">
                  <c:v>371.8999310027599</c:v>
                </c:pt>
                <c:pt idx="44">
                  <c:v>283.15271271729188</c:v>
                </c:pt>
                <c:pt idx="45">
                  <c:v>331.96270454545459</c:v>
                </c:pt>
                <c:pt idx="46">
                  <c:v>263.25759580291975</c:v>
                </c:pt>
                <c:pt idx="47">
                  <c:v>273.32153153153172</c:v>
                </c:pt>
                <c:pt idx="48">
                  <c:v>249.72473821989533</c:v>
                </c:pt>
                <c:pt idx="49">
                  <c:v>282.96911843276939</c:v>
                </c:pt>
                <c:pt idx="50">
                  <c:v>263.85601429848083</c:v>
                </c:pt>
                <c:pt idx="51">
                  <c:v>306.79792628774442</c:v>
                </c:pt>
                <c:pt idx="52">
                  <c:v>248.4660435168739</c:v>
                </c:pt>
                <c:pt idx="53">
                  <c:v>314.97649029982369</c:v>
                </c:pt>
                <c:pt idx="54">
                  <c:v>222.53723893805298</c:v>
                </c:pt>
                <c:pt idx="55">
                  <c:v>223.46593421052646</c:v>
                </c:pt>
                <c:pt idx="56">
                  <c:v>219.65421723834655</c:v>
                </c:pt>
                <c:pt idx="57">
                  <c:v>207.02007378472234</c:v>
                </c:pt>
                <c:pt idx="58">
                  <c:v>207.87927888792348</c:v>
                </c:pt>
                <c:pt idx="59">
                  <c:v>191.43681034482771</c:v>
                </c:pt>
                <c:pt idx="60">
                  <c:v>201.98611492281304</c:v>
                </c:pt>
                <c:pt idx="61">
                  <c:v>233.5826844783715</c:v>
                </c:pt>
                <c:pt idx="62">
                  <c:v>222.77863171355506</c:v>
                </c:pt>
                <c:pt idx="63">
                  <c:v>189.3704075630252</c:v>
                </c:pt>
                <c:pt idx="64">
                  <c:v>222.79871489361705</c:v>
                </c:pt>
                <c:pt idx="65">
                  <c:v>212.83165680473374</c:v>
                </c:pt>
                <c:pt idx="66">
                  <c:v>202.98188879456706</c:v>
                </c:pt>
                <c:pt idx="67">
                  <c:v>184.86571192052992</c:v>
                </c:pt>
                <c:pt idx="68">
                  <c:v>205.3916201804758</c:v>
                </c:pt>
                <c:pt idx="69">
                  <c:v>241.4994590163935</c:v>
                </c:pt>
                <c:pt idx="70">
                  <c:v>236.67364337936635</c:v>
                </c:pt>
                <c:pt idx="71">
                  <c:v>338.10261427425843</c:v>
                </c:pt>
                <c:pt idx="72">
                  <c:v>266.73025600000005</c:v>
                </c:pt>
                <c:pt idx="73">
                  <c:v>292.73978122513927</c:v>
                </c:pt>
                <c:pt idx="74">
                  <c:v>289.07530303030296</c:v>
                </c:pt>
                <c:pt idx="75">
                  <c:v>341.42823064770948</c:v>
                </c:pt>
                <c:pt idx="76">
                  <c:v>295.39388888888897</c:v>
                </c:pt>
                <c:pt idx="77">
                  <c:v>244.58662529092325</c:v>
                </c:pt>
                <c:pt idx="78">
                  <c:v>245.59052816901402</c:v>
                </c:pt>
                <c:pt idx="79">
                  <c:v>248.51879844961243</c:v>
                </c:pt>
                <c:pt idx="80">
                  <c:v>187.97428955453154</c:v>
                </c:pt>
                <c:pt idx="81">
                  <c:v>236.12941221374041</c:v>
                </c:pt>
                <c:pt idx="82">
                  <c:v>202.18864374033998</c:v>
                </c:pt>
                <c:pt idx="83">
                  <c:v>217.02577273845125</c:v>
                </c:pt>
                <c:pt idx="84">
                  <c:v>208.67681112544903</c:v>
                </c:pt>
                <c:pt idx="85">
                  <c:v>218.7341017117871</c:v>
                </c:pt>
                <c:pt idx="86">
                  <c:v>228.59709009617217</c:v>
                </c:pt>
                <c:pt idx="87">
                  <c:v>225.59404042907033</c:v>
                </c:pt>
                <c:pt idx="88">
                  <c:v>197.35998537984355</c:v>
                </c:pt>
                <c:pt idx="89">
                  <c:v>205.13719994109528</c:v>
                </c:pt>
                <c:pt idx="90">
                  <c:v>200.92095930112913</c:v>
                </c:pt>
                <c:pt idx="91">
                  <c:v>208.16701099188924</c:v>
                </c:pt>
                <c:pt idx="92">
                  <c:v>190.19851709043829</c:v>
                </c:pt>
                <c:pt idx="93">
                  <c:v>191.41550134876107</c:v>
                </c:pt>
                <c:pt idx="94">
                  <c:v>202.08120260534042</c:v>
                </c:pt>
                <c:pt idx="95">
                  <c:v>198.93557432120915</c:v>
                </c:pt>
                <c:pt idx="96">
                  <c:v>175.55992521922258</c:v>
                </c:pt>
                <c:pt idx="97">
                  <c:v>189.15501482091034</c:v>
                </c:pt>
                <c:pt idx="98">
                  <c:v>146.82863762900573</c:v>
                </c:pt>
                <c:pt idx="99">
                  <c:v>174.99053719349592</c:v>
                </c:pt>
                <c:pt idx="100">
                  <c:v>140.92508548473768</c:v>
                </c:pt>
                <c:pt idx="101">
                  <c:v>165.39607097776255</c:v>
                </c:pt>
                <c:pt idx="102">
                  <c:v>160.53075092891066</c:v>
                </c:pt>
                <c:pt idx="103">
                  <c:v>157.62658677916238</c:v>
                </c:pt>
                <c:pt idx="104">
                  <c:v>150.77656403037184</c:v>
                </c:pt>
                <c:pt idx="105">
                  <c:v>127.2576754945279</c:v>
                </c:pt>
                <c:pt idx="106">
                  <c:v>135.89463679565512</c:v>
                </c:pt>
                <c:pt idx="107">
                  <c:v>130.67210242587603</c:v>
                </c:pt>
                <c:pt idx="108">
                  <c:v>121.1800935203741</c:v>
                </c:pt>
                <c:pt idx="109">
                  <c:v>140.64047600999402</c:v>
                </c:pt>
                <c:pt idx="110">
                  <c:v>154.30187916138175</c:v>
                </c:pt>
                <c:pt idx="111">
                  <c:v>118.64501282119105</c:v>
                </c:pt>
                <c:pt idx="112">
                  <c:v>124.25469262926967</c:v>
                </c:pt>
                <c:pt idx="113">
                  <c:v>143.16970382418373</c:v>
                </c:pt>
                <c:pt idx="114">
                  <c:v>146.36378579740693</c:v>
                </c:pt>
                <c:pt idx="115">
                  <c:v>133.44338209652892</c:v>
                </c:pt>
                <c:pt idx="116">
                  <c:v>146.64900846924428</c:v>
                </c:pt>
                <c:pt idx="117">
                  <c:v>125.51254594874635</c:v>
                </c:pt>
                <c:pt idx="118">
                  <c:v>158.09775421538563</c:v>
                </c:pt>
                <c:pt idx="119">
                  <c:v>113.0152480686935</c:v>
                </c:pt>
                <c:pt idx="120">
                  <c:v>113.50104101388935</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'Tab2'!$K$103:$K$223</c:f>
              <c:numCache>
                <c:formatCode>General</c:formatCode>
                <c:ptCount val="12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'Tab2'!$R$103:$R$223</c:f>
              <c:numCache>
                <c:formatCode>#,##0</c:formatCode>
                <c:ptCount val="121"/>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8</xdr:col>
      <xdr:colOff>60533</xdr:colOff>
      <xdr:row>48</xdr:row>
      <xdr:rowOff>54340</xdr:rowOff>
    </xdr:to>
    <xdr:pic>
      <xdr:nvPicPr>
        <xdr:cNvPr id="2" name="Picture 1">
          <a:extLst>
            <a:ext uri="{FF2B5EF4-FFF2-40B4-BE49-F238E27FC236}">
              <a16:creationId xmlns:a16="http://schemas.microsoft.com/office/drawing/2014/main" id="{C6BBB1CE-52C4-4BED-B9DC-7AB0CA1392E3}"/>
            </a:ext>
          </a:extLst>
        </xdr:cNvPr>
        <xdr:cNvPicPr>
          <a:picLocks noChangeAspect="1"/>
        </xdr:cNvPicPr>
      </xdr:nvPicPr>
      <xdr:blipFill>
        <a:blip xmlns:r="http://schemas.openxmlformats.org/officeDocument/2006/relationships" r:embed="rId1"/>
        <a:stretch>
          <a:fillRect/>
        </a:stretch>
      </xdr:blipFill>
      <xdr:spPr>
        <a:xfrm>
          <a:off x="0" y="142875"/>
          <a:ext cx="6791533" cy="10071465"/>
        </a:xfrm>
        <a:prstGeom prst="rect">
          <a:avLst/>
        </a:prstGeom>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2021 </a:t>
          </a:r>
          <a:r>
            <a:rPr lang="nb-NO" sz="1000">
              <a:effectLst/>
              <a:latin typeface="Arial"/>
              <a:ea typeface="ＭＳ 明朝"/>
              <a:cs typeface="Times New Roman"/>
            </a:rPr>
            <a:t>(7. juni 2021)</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202412</xdr:colOff>
      <xdr:row>2</xdr:row>
      <xdr:rowOff>23813</xdr:rowOff>
    </xdr:from>
    <xdr:to>
      <xdr:col>6</xdr:col>
      <xdr:colOff>497350</xdr:colOff>
      <xdr:row>46</xdr:row>
      <xdr:rowOff>184876</xdr:rowOff>
    </xdr:to>
    <xdr:sp macro="" textlink="">
      <xdr:nvSpPr>
        <xdr:cNvPr id="5" name="Text Box 2">
          <a:extLst>
            <a:ext uri="{FF2B5EF4-FFF2-40B4-BE49-F238E27FC236}">
              <a16:creationId xmlns:a16="http://schemas.microsoft.com/office/drawing/2014/main" id="{2E830DC5-4BE6-477D-9CE0-440A55F107F7}"/>
            </a:ext>
          </a:extLst>
        </xdr:cNvPr>
        <xdr:cNvSpPr txBox="1">
          <a:spLocks noChangeArrowheads="1"/>
        </xdr:cNvSpPr>
      </xdr:nvSpPr>
      <xdr:spPr bwMode="auto">
        <a:xfrm>
          <a:off x="2714631" y="285751"/>
          <a:ext cx="2700000" cy="8424000"/>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Brannskadene økte med 26 %, fra 703 mill.kr i fjor til nå 885 mill.kr. Vannskadeerstatningene økte med hele 58 %. Hovedsakelig skyldes dette vannskader forårsaket av frost som særlig var i februar i år. Også i år var det en del snøtyngdeskader på hus og hytter. Det var lite skader etter innbrudd og tyveri og fortsatt færre enn tidligere år. Men rettshjelp-skadene økte; kanskje mer nabokrangel i hjemmekontor-tilværelsen? Antall rettshjelp-saker hittil i år er på nesten 3600 som er en økning på 9 %, og erstatningen utgjorde 85,5 mill.kr som er en økning på 25% fra samme tid i fjor.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5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Næringsbygg og landbruk – færre storskader på brann og mer vannskader etter frost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Hittil i år har det blitt erstattet skader for totalt 1,585 mrd.kr mot 1,959 mrd.kr i fjor. Reduksjonen skyldes at det i fjor var en stor brann i et parkeringshus på Sola flyplass (ca. 500 mill.kr), mens det i år ikke har vært like store branner som denne. Hittil i år er brannerstatningene på 580 mill.kr mot 1,066 milliarder kr i fjor. Vannskade-erstatninger økte med 53 % fra i fjor til 633 mill.kr. Her er det frostskadene som utgjør hoveddelen av økningen; fra 2 mill.kr i fjor til 171 mill.kr i år.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r>
            <a:rPr kumimoji="0" lang="nb-NO" sz="1050" b="1" i="0" u="none" strike="noStrike" kern="0" cap="none" spc="0" normalizeH="0" baseline="0">
              <a:ln>
                <a:noFill/>
              </a:ln>
              <a:solidFill>
                <a:sysClr val="windowText" lastClr="000000"/>
              </a:solidFill>
              <a:effectLst/>
              <a:uLnTx/>
              <a:uFillTx/>
              <a:latin typeface="Times New Roman" pitchFamily="18" charset="0"/>
              <a:ea typeface="+mn-ea"/>
              <a:cs typeface="Times New Roman" pitchFamily="18" charset="0"/>
            </a:rPr>
            <a:t>Reiseforsikring – «forbud» mot unødvendige utenlandsreiser i år</a:t>
          </a:r>
        </a:p>
        <a:p>
          <a:r>
            <a:rPr kumimoji="0" lang="nb-NO" sz="1000" b="0" i="0" u="none" strike="noStrike" kern="0" cap="none" spc="0" normalizeH="0" baseline="0">
              <a:ln>
                <a:noFill/>
              </a:ln>
              <a:solidFill>
                <a:sysClr val="windowText" lastClr="000000"/>
              </a:solidFill>
              <a:effectLst/>
              <a:uLnTx/>
              <a:uFillTx/>
              <a:latin typeface="Times New Roman" pitchFamily="18" charset="0"/>
              <a:ea typeface="+mn-ea"/>
              <a:cs typeface="Times New Roman" pitchFamily="18" charset="0"/>
            </a:rPr>
            <a:t>Hittil i år er det meldt 34.300 reiseskader mot hele 161.500 i 1.kv. i fjor; i 2019 var det 82.000. Samlet erstatning hittil i år er på 111 mill.kr, mot fjoråret på 1,3 mrd.kr og i 1.kv. 2019 var det 670 mill.kr. I fjor var det avbestilling som ble den største posten, mens det i «vanlige år» er reisesykdom. Siden det har vært få utenlandsreisende så langt i år grunnet koronatiltakene, er det også langt mindre reisesykdom. I et vanlig førstekvartal er det nesten 50% av reiseerstatningene som er etter sykdom, mens det i år er bare en andel på 22 %.</a:t>
          </a:r>
          <a:endPar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0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5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Behandlingsforsikring – økt bruk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Det er fortsatt stor økning i porteføljen på behandlingsforsikring, som gjenspeiler seg i bruken av denne forsikringen – antall forsikrede personer økte med 3 % fra 1.kv. i fjor til 1.kv. i år. Antall meldte tilfeller har økt fra 71.500 1.kv.2020 til nå 85.200, og erstatningene har økt fra 370 mill.kr i fjor til 447 mill.kr i år (pr. 1.kv). I fjor var det reduksjon av bruk på fysioterapi som følge av koronapålegg om nedstenging av slike tilbud. Og fortsatt har ikke denne erstatningsposten kommet opp på «normalt nivå». Hittil i år er fysioterapi-bruk på 83,4 mill.kr, mot samme tid i fjor på 70,3 mill.kr, mens det 1.kv.2019 var på 91,5 mill.kr.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05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xdr:txBody>
    </xdr:sp>
    <xdr:clientData/>
  </xdr:twoCellAnchor>
  <xdr:twoCellAnchor>
    <xdr:from>
      <xdr:col>0</xdr:col>
      <xdr:colOff>0</xdr:colOff>
      <xdr:row>2</xdr:row>
      <xdr:rowOff>11907</xdr:rowOff>
    </xdr:from>
    <xdr:to>
      <xdr:col>2</xdr:col>
      <xdr:colOff>187781</xdr:colOff>
      <xdr:row>46</xdr:row>
      <xdr:rowOff>172970</xdr:rowOff>
    </xdr:to>
    <xdr:sp macro="" textlink="">
      <xdr:nvSpPr>
        <xdr:cNvPr id="4" name="Text Box 1">
          <a:extLst>
            <a:ext uri="{FF2B5EF4-FFF2-40B4-BE49-F238E27FC236}">
              <a16:creationId xmlns:a16="http://schemas.microsoft.com/office/drawing/2014/main" id="{0BC080E3-75B3-45DF-92F7-3EF51F0503CB}"/>
            </a:ext>
          </a:extLst>
        </xdr:cNvPr>
        <xdr:cNvSpPr txBox="1">
          <a:spLocks noChangeArrowheads="1"/>
        </xdr:cNvSpPr>
      </xdr:nvSpPr>
      <xdr:spPr bwMode="auto">
        <a:xfrm>
          <a:off x="0" y="273845"/>
          <a:ext cx="2700000" cy="8424000"/>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b-NO" sz="105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HOVEDTREKK – Kald vinter ga mange frostskader og branner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1"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Merk at korona-begrensende tiltak først ble innført fra 12.mars i fjor, mens det hittil i år mer eller mindre har vært slike tiltak i hele 1.kvartal. Betydningen i år har vært størst på reise siden «unødvendige fritidsreiser» ble frarådet. For næringslivet har det også vært mye nedstenginger særlig innen reiseliv og restaurant, dette kan ha medført mindre aktivitet på en del områder.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Erstatningene for landbasert forsikring totalt hittil i år ble på 12,2 milliarder kr, mot 12,8 milliarder i fjor til samme tid. Reduksjonen skyldes i stor grad færre reiseskader. Brannskader på næringsbygg ble redusert, mens brann på private bygninger og innbo økte. Til sammen i 1.kv. i år er det brannskader for nesten 1,5 mrd.kr på privat og næring, som er ca. 300 mill.kr lavere enn i fjor til samme tid. Men i fjor var det en stor brann på Sola flyplass (parkeringshus) som alene var på rundt 500 mill.kr.  De totale vannskadene på bygning og innbo økte fra 1,2 mrd.kr til nå 1,8 mrd.kr, noe som hovedsakelig skyldes økte frostskader; nesten 540 mill.kr i år mot 27 i fjor! Ikke siden 2010 har det vært mer frostskader, men da var det til gjengjeld hele 865 mill.kr i 1.kvartal (nominelt beløp).</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Motorerstatningene er redusert med 76 mill.kr fra i fjor, mens antall meldte skader økte med 1 %. Reduksjonen på motorerstatning skyldes for en stor del brannen i parkeringshuset i fjor; da ble det brannerstatninger på motorkjøretøy for noe over 200 mill.kr, mens de nå er på et mer normalt nivå med 75 mill.kr. Koronatiltakene i år har særlig innvirket på reiseskadene; hittil i år er det erstatning på 111 mill.kr mot fjorårets 1.kvartal på 1,3 mrd.kr!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Motor – mindre rush-trafikk i sentrale strøk og færre skader på nyttekjøretøy</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Av totalt 4,347 mrd.kr i erstatning hittil i år på motor samlet, utgjør person-/varebil 86 %. Totalt ble erstatningene hittil i år nesten 2 % lavere enn i fjor. Det er særlig lastebil/buss hvor det er stor reduksjon fra i fjor; fra 287 mill.kr i fjor til nå 276 mill.kr. For traktor/arbeidsmaskin var det en økning fra i fjor på nesten 8 % – fra 198 mill.kr til nå 213 mill.kr. Etter lang periode med økte glasskader, er antall og erstatningsbeløpet hittil i år redusert; antall med 33 % og erstatningene med 17 %; riktignok bare fra 1.kv. i fjor til i år. Erstatningen for glasskader utgjør nå 349 mill.kr hittil i år. Redningsskadene har økt fra 1.kv. i for med nesten 18 % i erstatning og utgjør nå 284 mill.kr.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rtl="0" eaLnBrk="1" fontAlgn="auto" latinLnBrk="0" hangingPunct="1"/>
          <a:r>
            <a:rPr kumimoji="0" lang="en-US" sz="1050" b="1" i="0" u="none" strike="noStrike" kern="0" cap="none" spc="0" normalizeH="0" baseline="0">
              <a:ln>
                <a:noFill/>
              </a:ln>
              <a:solidFill>
                <a:sysClr val="windowText" lastClr="000000"/>
              </a:solidFill>
              <a:effectLst/>
              <a:uLnTx/>
              <a:uFillTx/>
              <a:latin typeface="Times New Roman" pitchFamily="18" charset="0"/>
              <a:ea typeface="+mn-ea"/>
              <a:cs typeface="Times New Roman" pitchFamily="18" charset="0"/>
            </a:rPr>
            <a:t>Hus, hjem, hytte – kald vinter ga økte brann- og vannskader</a:t>
          </a:r>
          <a:endParaRPr kumimoji="0" lang="nb-NO" sz="1050" b="1" i="0" u="none" strike="noStrike" kern="0" cap="none" spc="0" normalizeH="0" baseline="0">
            <a:ln>
              <a:noFill/>
            </a:ln>
            <a:solidFill>
              <a:sysClr val="windowText" lastClr="000000"/>
            </a:solidFill>
            <a:effectLst/>
            <a:uLnTx/>
            <a:uFillTx/>
            <a:latin typeface="Times New Roman" pitchFamily="18" charset="0"/>
            <a:ea typeface="+mn-ea"/>
            <a:cs typeface="Times New Roman" pitchFamily="18" charset="0"/>
          </a:endParaRPr>
        </a:p>
        <a:p>
          <a:r>
            <a:rPr lang="en-US" sz="1000" b="0" i="0" baseline="0">
              <a:effectLst/>
              <a:latin typeface="Times New Roman" panose="02020603050405020304" pitchFamily="18" charset="0"/>
              <a:ea typeface="+mn-ea"/>
              <a:cs typeface="Times New Roman" panose="02020603050405020304" pitchFamily="18" charset="0"/>
            </a:rPr>
            <a:t>For hus, hjem og hytter økte de totale erstatningene med 33 % fra i fjor og utgjør nå 2,965 milliarder kr.</a:t>
          </a:r>
          <a:r>
            <a:rPr kumimoji="0" lang="en-US"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Codan Forsikring</a:t>
          </a:r>
        </a:p>
        <a:p>
          <a:pPr algn="l" rtl="0">
            <a:defRPr sz="1000"/>
          </a:pPr>
          <a:r>
            <a:rPr lang="en-US" sz="1050" b="0" i="0" strike="noStrike">
              <a:solidFill>
                <a:srgbClr val="000000"/>
              </a:solidFill>
              <a:latin typeface="Times New Roman" pitchFamily="18" charset="0"/>
              <a:ea typeface="+mn-ea"/>
              <a:cs typeface="Times New Roman" pitchFamily="18" charset="0"/>
            </a:rPr>
            <a:t>  Danica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DNB Forsikring</a:t>
          </a:r>
        </a:p>
        <a:p>
          <a:pPr algn="l" rtl="0">
            <a:defRPr sz="1000"/>
          </a:pPr>
          <a:r>
            <a:rPr lang="en-US" sz="1050" b="0" i="0" strike="noStrike">
              <a:solidFill>
                <a:srgbClr val="000000"/>
              </a:solidFill>
              <a:latin typeface="Times New Roman" pitchFamily="18" charset="0"/>
              <a:ea typeface="+mn-ea"/>
              <a:cs typeface="Times New Roman" pitchFamily="18" charset="0"/>
            </a:rPr>
            <a:t>  Eika</a:t>
          </a:r>
        </a:p>
        <a:p>
          <a:pPr algn="l" rtl="0">
            <a:defRPr sz="1000"/>
          </a:pPr>
          <a:r>
            <a:rPr lang="en-US" sz="1050" b="0" i="0" strike="noStrike">
              <a:solidFill>
                <a:srgbClr val="000000"/>
              </a:solidFill>
              <a:latin typeface="Times New Roman" pitchFamily="18" charset="0"/>
              <a:ea typeface="+mn-ea"/>
              <a:cs typeface="Times New Roman" pitchFamily="18" charset="0"/>
            </a:rPr>
            <a:t>  Euro Accident</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a:t>
          </a:r>
        </a:p>
        <a:p>
          <a:pPr algn="l" rtl="0">
            <a:defRPr sz="1000"/>
          </a:pPr>
          <a:r>
            <a:rPr lang="en-US" sz="1050" b="0" i="0" strike="noStrike">
              <a:solidFill>
                <a:srgbClr val="000000"/>
              </a:solidFill>
              <a:latin typeface="Times New Roman" pitchFamily="18" charset="0"/>
              <a:ea typeface="+mn-ea"/>
              <a:cs typeface="Times New Roman" pitchFamily="18" charset="0"/>
            </a:rPr>
            <a:t>  Fremtind Livsforsikring    </a:t>
          </a:r>
        </a:p>
        <a:p>
          <a:pPr algn="l" rtl="0">
            <a:defRPr sz="1000"/>
          </a:pPr>
          <a:r>
            <a:rPr lang="en-US" sz="1050" b="0" i="0" strike="noStrike">
              <a:solidFill>
                <a:srgbClr val="000000"/>
              </a:solidFill>
              <a:latin typeface="Times New Roman" pitchFamily="18" charset="0"/>
              <a:ea typeface="+mn-ea"/>
              <a:cs typeface="Times New Roman" pitchFamily="18" charset="0"/>
            </a:rPr>
            <a:t>  Fremtind Skadeforsirking</a:t>
          </a:r>
        </a:p>
        <a:p>
          <a:pPr algn="l" rtl="0">
            <a:defRPr sz="1000"/>
          </a:pPr>
          <a:r>
            <a:rPr lang="en-US" sz="1050" b="0" i="0" strike="noStrike">
              <a:solidFill>
                <a:srgbClr val="000000"/>
              </a:solidFill>
              <a:latin typeface="Times New Roman" pitchFamily="18" charset="0"/>
              <a:ea typeface="+mn-ea"/>
              <a:cs typeface="Times New Roman" pitchFamily="18" charset="0"/>
            </a:rPr>
            <a:t>  Frende 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a:t>
          </a:r>
        </a:p>
        <a:p>
          <a:pPr algn="l" rtl="0">
            <a:defRPr sz="1000"/>
          </a:pPr>
          <a:r>
            <a:rPr lang="en-US" sz="1050" b="0" i="0" strike="noStrike">
              <a:solidFill>
                <a:srgbClr val="000000"/>
              </a:solidFill>
              <a:latin typeface="Times New Roman" pitchFamily="18" charset="0"/>
              <a:ea typeface="+mn-ea"/>
              <a:cs typeface="Times New Roman" pitchFamily="18" charset="0"/>
            </a:rPr>
            <a:t>  If Skadeforsikring    </a:t>
          </a:r>
        </a:p>
        <a:p>
          <a:pPr algn="l" rtl="0">
            <a:defRPr sz="1000"/>
          </a:pPr>
          <a:r>
            <a:rPr lang="en-US" sz="1050" b="0" i="0" strike="noStrike">
              <a:solidFill>
                <a:srgbClr val="000000"/>
              </a:solidFill>
              <a:latin typeface="Times New Roman" pitchFamily="18" charset="0"/>
              <a:ea typeface="+mn-ea"/>
              <a:cs typeface="Times New Roman" pitchFamily="18" charset="0"/>
            </a:rPr>
            <a:t>  Insr    </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    </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    </a:t>
          </a:r>
        </a:p>
        <a:p>
          <a:pPr algn="l" rtl="0">
            <a:defRPr sz="1000"/>
          </a:pPr>
          <a:r>
            <a:rPr lang="en-US" sz="1050" b="0" i="0" strike="noStrike">
              <a:solidFill>
                <a:srgbClr val="000000"/>
              </a:solidFill>
              <a:latin typeface="Times New Roman" pitchFamily="18" charset="0"/>
              <a:ea typeface="+mn-ea"/>
              <a:cs typeface="Times New Roman" pitchFamily="18" charset="0"/>
            </a:rPr>
            <a:t>  KNIF Tryghet Forsikring    </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    </a:t>
          </a:r>
        </a:p>
        <a:p>
          <a:pPr algn="l" rtl="0">
            <a:defRPr sz="1000"/>
          </a:pPr>
          <a:r>
            <a:rPr lang="en-US" sz="1050" b="0" i="0" strike="noStrike">
              <a:solidFill>
                <a:srgbClr val="000000"/>
              </a:solidFill>
              <a:latin typeface="Times New Roman" pitchFamily="18" charset="0"/>
              <a:ea typeface="+mn-ea"/>
              <a:cs typeface="Times New Roman" pitchFamily="18" charset="0"/>
            </a:rPr>
            <a:t>  Møretrygd    </a:t>
          </a:r>
        </a:p>
        <a:p>
          <a:pPr algn="l" rtl="0">
            <a:defRPr sz="1000"/>
          </a:pPr>
          <a:r>
            <a:rPr lang="en-US" sz="1050" b="0" i="0" strike="noStrike">
              <a:solidFill>
                <a:srgbClr val="000000"/>
              </a:solidFill>
              <a:latin typeface="Times New Roman" pitchFamily="18" charset="0"/>
              <a:ea typeface="+mn-ea"/>
              <a:cs typeface="Times New Roman" pitchFamily="18" charset="0"/>
            </a:rPr>
            <a:t>  Nordea Liv    </a:t>
          </a:r>
        </a:p>
        <a:p>
          <a:pPr algn="l" rtl="0">
            <a:defRPr sz="1000"/>
          </a:pPr>
          <a:r>
            <a:rPr lang="en-US" sz="1050" b="0" i="0" strike="noStrike">
              <a:solidFill>
                <a:srgbClr val="000000"/>
              </a:solidFill>
              <a:latin typeface="Times New Roman" pitchFamily="18" charset="0"/>
              <a:ea typeface="+mn-ea"/>
              <a:cs typeface="Times New Roman" pitchFamily="18" charset="0"/>
            </a:rPr>
            <a:t>  OBOS Skadeforsikring    </a:t>
          </a:r>
        </a:p>
        <a:p>
          <a:pPr algn="l" rtl="0">
            <a:defRPr sz="1000"/>
          </a:pPr>
          <a:r>
            <a:rPr lang="en-US" sz="1050" b="0" i="0" strike="noStrike">
              <a:solidFill>
                <a:srgbClr val="000000"/>
              </a:solidFill>
              <a:latin typeface="Times New Roman" pitchFamily="18" charset="0"/>
              <a:ea typeface="+mn-ea"/>
              <a:cs typeface="Times New Roman" pitchFamily="18" charset="0"/>
            </a:rPr>
            <a:t>  Oslo Forsikring    </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    </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    </a:t>
          </a:r>
        </a:p>
        <a:p>
          <a:pPr algn="l" rtl="0">
            <a:defRPr sz="1000"/>
          </a:pPr>
          <a:r>
            <a:rPr lang="en-US" sz="1050" b="0" i="0" strike="noStrike">
              <a:solidFill>
                <a:srgbClr val="000000"/>
              </a:solidFill>
              <a:latin typeface="Times New Roman" pitchFamily="18" charset="0"/>
              <a:ea typeface="+mn-ea"/>
              <a:cs typeface="Times New Roman" pitchFamily="18" charset="0"/>
            </a:rPr>
            <a:t>  Skogbrand    </a:t>
          </a:r>
        </a:p>
        <a:p>
          <a:pPr algn="l" rtl="0">
            <a:defRPr sz="1000"/>
          </a:pPr>
          <a:r>
            <a:rPr lang="en-US" sz="1050" b="0" i="0" strike="noStrike">
              <a:solidFill>
                <a:srgbClr val="000000"/>
              </a:solidFill>
              <a:latin typeface="Times New Roman" pitchFamily="18" charset="0"/>
              <a:ea typeface="+mn-ea"/>
              <a:cs typeface="Times New Roman" pitchFamily="18" charset="0"/>
            </a:rPr>
            <a:t>  Storebrand Forsikring    </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    </a:t>
          </a:r>
        </a:p>
        <a:p>
          <a:pPr algn="l" rtl="0">
            <a:defRPr sz="1000"/>
          </a:pPr>
          <a:r>
            <a:rPr lang="en-US" sz="1050" b="0" i="0" strike="noStrike">
              <a:solidFill>
                <a:srgbClr val="000000"/>
              </a:solidFill>
              <a:latin typeface="Times New Roman" pitchFamily="18" charset="0"/>
              <a:ea typeface="+mn-ea"/>
              <a:cs typeface="Times New Roman" pitchFamily="18" charset="0"/>
            </a:rPr>
            <a:t>  Troll Forsikring    </a:t>
          </a:r>
        </a:p>
        <a:p>
          <a:pPr algn="l" rtl="0">
            <a:defRPr sz="1000"/>
          </a:pPr>
          <a:r>
            <a:rPr lang="en-US" sz="1050" b="0" i="0" strike="noStrike">
              <a:solidFill>
                <a:srgbClr val="000000"/>
              </a:solidFill>
              <a:latin typeface="Times New Roman" pitchFamily="18" charset="0"/>
              <a:ea typeface="+mn-ea"/>
              <a:cs typeface="Times New Roman" pitchFamily="18" charset="0"/>
            </a:rPr>
            <a:t>  Tryg    </a:t>
          </a:r>
        </a:p>
        <a:p>
          <a:pPr algn="l" rtl="0">
            <a:defRPr sz="1000"/>
          </a:pPr>
          <a:r>
            <a:rPr lang="en-US" sz="1050" b="0" i="0" strike="noStrike">
              <a:solidFill>
                <a:srgbClr val="000000"/>
              </a:solidFill>
              <a:latin typeface="Times New Roman" pitchFamily="18" charset="0"/>
              <a:ea typeface="+mn-ea"/>
              <a:cs typeface="Times New Roman" pitchFamily="18" charset="0"/>
            </a:rPr>
            <a:t>  W. R. Berkley    </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   </a:t>
          </a:r>
          <a:r>
            <a:rPr lang="nb-NO" sz="1050" b="0" i="0" u="none" strike="noStrike">
              <a:effectLst/>
              <a:latin typeface="Times New Roman" panose="02020603050405020304" pitchFamily="18" charset="0"/>
              <a:ea typeface="+mn-ea"/>
              <a:cs typeface="Times New Roman" panose="02020603050405020304" pitchFamily="18" charset="0"/>
            </a:rPr>
            <a:t>    </a:t>
          </a:r>
          <a:r>
            <a:rPr lang="nb-NO" sz="1050">
              <a:latin typeface="Times New Roman" panose="02020603050405020304" pitchFamily="18" charset="0"/>
              <a:cs typeface="Times New Roman" panose="02020603050405020304" pitchFamily="18" charset="0"/>
            </a:rPr>
            <a:t> </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defaultColWidth="11.42578125" defaultRowHeight="12.75" x14ac:dyDescent="0.2"/>
  <cols>
    <col min="1" max="1" width="16.425781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425781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425781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425781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425781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425781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425781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425781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425781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425781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425781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425781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425781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425781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425781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425781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425781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425781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425781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425781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425781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425781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425781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425781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425781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425781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425781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425781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425781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425781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425781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425781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425781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425781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425781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425781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425781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425781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425781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425781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425781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425781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425781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425781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425781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425781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425781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425781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425781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425781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425781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425781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425781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425781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425781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425781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425781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425781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425781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425781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425781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425781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425781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425781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x14ac:dyDescent="0.2">
      <c r="B5" s="99"/>
      <c r="C5" s="99"/>
      <c r="D5" s="99"/>
      <c r="E5" s="99"/>
      <c r="F5" s="99"/>
      <c r="G5" s="99"/>
      <c r="H5" s="99"/>
    </row>
    <row r="6" spans="2:9" ht="23.25" x14ac:dyDescent="0.35">
      <c r="B6" s="101"/>
      <c r="C6" s="99"/>
      <c r="D6" s="99"/>
      <c r="E6" s="99"/>
      <c r="F6" s="99"/>
      <c r="G6" s="99"/>
      <c r="H6" s="99"/>
      <c r="I6" s="102"/>
    </row>
    <row r="7" spans="2:9" x14ac:dyDescent="0.2">
      <c r="B7" s="99"/>
      <c r="C7" s="99"/>
      <c r="D7" s="99"/>
      <c r="E7" s="99"/>
      <c r="F7" s="99"/>
      <c r="G7" s="99"/>
      <c r="H7" s="99"/>
      <c r="I7" s="99"/>
    </row>
    <row r="8" spans="2:9" x14ac:dyDescent="0.2">
      <c r="B8" s="99"/>
      <c r="C8" s="99"/>
      <c r="D8" s="99"/>
      <c r="F8" s="99"/>
      <c r="G8" s="99"/>
      <c r="H8" s="99"/>
    </row>
    <row r="9" spans="2:9" x14ac:dyDescent="0.2">
      <c r="B9" s="99"/>
      <c r="C9" s="99"/>
      <c r="D9" s="99"/>
      <c r="E9" s="99"/>
      <c r="F9" s="99"/>
      <c r="G9" s="99"/>
      <c r="H9" s="99"/>
    </row>
    <row r="10" spans="2:9" ht="23.25" x14ac:dyDescent="0.35">
      <c r="B10" s="99"/>
      <c r="C10" s="99"/>
      <c r="D10" s="99"/>
      <c r="I10" s="102"/>
    </row>
    <row r="11" spans="2:9" x14ac:dyDescent="0.2">
      <c r="B11" s="99"/>
      <c r="C11" s="99"/>
      <c r="D11" s="99"/>
    </row>
    <row r="12" spans="2:9" ht="27" customHeight="1" x14ac:dyDescent="0.35">
      <c r="B12" s="99"/>
      <c r="C12" s="99"/>
      <c r="D12" s="99"/>
      <c r="E12" s="99"/>
      <c r="F12" s="99"/>
      <c r="G12" s="99"/>
      <c r="H12" s="99"/>
      <c r="I12" s="102"/>
    </row>
    <row r="13" spans="2:9" ht="19.5" customHeight="1" x14ac:dyDescent="0.35">
      <c r="B13" s="99"/>
      <c r="C13" s="94"/>
      <c r="D13" s="94"/>
      <c r="E13" s="94"/>
      <c r="F13" s="94"/>
      <c r="G13" s="94"/>
      <c r="H13" s="94"/>
      <c r="I13" s="102"/>
    </row>
    <row r="14" spans="2:9" x14ac:dyDescent="0.2">
      <c r="B14" s="99"/>
      <c r="C14" s="99"/>
      <c r="D14" s="99"/>
      <c r="F14" s="99"/>
      <c r="G14" s="99"/>
      <c r="H14" s="99"/>
    </row>
    <row r="15" spans="2:9" x14ac:dyDescent="0.2">
      <c r="B15" s="99"/>
      <c r="C15" s="99"/>
      <c r="D15" s="99"/>
      <c r="F15" s="99"/>
      <c r="G15" s="99"/>
      <c r="H15" s="99"/>
      <c r="I15" s="99"/>
    </row>
    <row r="16" spans="2:9" ht="34.5" x14ac:dyDescent="0.45">
      <c r="B16" s="99"/>
      <c r="C16" s="99"/>
      <c r="D16" s="99"/>
      <c r="E16" s="103"/>
      <c r="F16" s="99"/>
      <c r="G16" s="99"/>
      <c r="H16" s="99"/>
      <c r="I16" s="99"/>
    </row>
    <row r="17" spans="2:9" ht="33" x14ac:dyDescent="0.45">
      <c r="B17" s="99"/>
      <c r="C17" s="99"/>
      <c r="D17" s="99"/>
      <c r="E17" s="104"/>
      <c r="F17" s="99"/>
      <c r="G17" s="99"/>
      <c r="H17" s="99"/>
      <c r="I17" s="99"/>
    </row>
    <row r="18" spans="2:9" ht="33" x14ac:dyDescent="0.45">
      <c r="D18" s="104"/>
    </row>
    <row r="19" spans="2:9" ht="18.75" x14ac:dyDescent="0.3">
      <c r="E19" s="105"/>
      <c r="I19" s="106"/>
    </row>
    <row r="21" spans="2:9" x14ac:dyDescent="0.2">
      <c r="E21" s="107"/>
    </row>
    <row r="22" spans="2:9" ht="26.25" x14ac:dyDescent="0.4">
      <c r="E22" s="108"/>
    </row>
    <row r="25" spans="2:9" ht="18.75" x14ac:dyDescent="0.3">
      <c r="E25" s="109"/>
    </row>
    <row r="26" spans="2:9" ht="18.75" x14ac:dyDescent="0.3">
      <c r="E26" s="110"/>
    </row>
    <row r="28" spans="2:9" x14ac:dyDescent="0.2">
      <c r="D28" s="94"/>
      <c r="E28" s="94"/>
      <c r="F28" s="94"/>
      <c r="G28" s="94"/>
      <c r="H28" s="94"/>
    </row>
    <row r="33" spans="1:9" ht="35.25" x14ac:dyDescent="0.2">
      <c r="A33" s="111"/>
    </row>
    <row r="36" spans="1:9" ht="33" x14ac:dyDescent="0.2">
      <c r="B36" s="112"/>
    </row>
    <row r="39" spans="1:9" ht="18" x14ac:dyDescent="0.25">
      <c r="B39" s="113"/>
    </row>
    <row r="41" spans="1:9" ht="18.75" x14ac:dyDescent="0.3">
      <c r="I41" s="114"/>
    </row>
    <row r="43" spans="1:9" ht="18.75" x14ac:dyDescent="0.3">
      <c r="B43" s="199"/>
      <c r="C43" s="199"/>
      <c r="D43" s="199"/>
    </row>
    <row r="57" spans="10:10" ht="18.75" x14ac:dyDescent="0.3">
      <c r="J57" s="115"/>
    </row>
  </sheetData>
  <mergeCells count="1">
    <mergeCell ref="B43:D43"/>
  </mergeCells>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2021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8"/>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200">
        <v>1</v>
      </c>
      <c r="I61" s="77"/>
    </row>
    <row r="62" spans="1:14" ht="12.75" customHeight="1" x14ac:dyDescent="0.2">
      <c r="B62" s="54" t="str">
        <f>+B124</f>
        <v>Skadestatistikk for landbasert forsikring 1. kvartal 2021</v>
      </c>
      <c r="H62" s="201"/>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200">
        <v>2</v>
      </c>
      <c r="I123"/>
      <c r="J123" s="69"/>
      <c r="K123" s="69"/>
      <c r="L123" s="69"/>
    </row>
    <row r="124" spans="2:13" ht="12.75" customHeight="1" x14ac:dyDescent="0.2">
      <c r="B124" s="54" t="str">
        <f>"Skadestatistikk for landbasert forsikring 1. kvartal 2021"</f>
        <v>Skadestatistikk for landbasert forsikring 1. kvartal 2021</v>
      </c>
      <c r="H124" s="201"/>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c r="B46" s="73"/>
      <c r="C46" s="73"/>
      <c r="D46" s="73"/>
      <c r="E46" s="73"/>
      <c r="F46" s="73"/>
      <c r="G46" s="73"/>
      <c r="M46" s="77"/>
    </row>
    <row r="47" spans="1:13" ht="15.6" customHeight="1" x14ac:dyDescent="0.25">
      <c r="A47" s="93"/>
      <c r="B47" s="73"/>
      <c r="C47" s="73"/>
      <c r="D47" s="73"/>
      <c r="E47" s="73"/>
      <c r="F47" s="73"/>
      <c r="G47" s="73"/>
      <c r="M47" s="77"/>
    </row>
    <row r="48" spans="1:13" ht="15.6" customHeight="1" x14ac:dyDescent="0.25">
      <c r="A48" s="197" t="s">
        <v>241</v>
      </c>
      <c r="B48" s="73"/>
      <c r="C48" s="73"/>
      <c r="D48" s="73"/>
      <c r="E48" s="73"/>
      <c r="F48" s="73"/>
      <c r="G48" s="73"/>
      <c r="M48" s="77"/>
    </row>
    <row r="49" spans="1:13" ht="15.6" customHeight="1" x14ac:dyDescent="0.25">
      <c r="A49" s="197" t="s">
        <v>242</v>
      </c>
      <c r="B49" s="73"/>
      <c r="C49" s="73"/>
      <c r="D49" s="73"/>
      <c r="E49" s="73"/>
      <c r="F49" s="73"/>
      <c r="G49" s="73"/>
      <c r="M49" s="77"/>
    </row>
    <row r="50" spans="1:13" ht="15.6" customHeight="1" x14ac:dyDescent="0.2">
      <c r="A50" s="198" t="s">
        <v>243</v>
      </c>
      <c r="B50" s="52"/>
      <c r="C50" s="52"/>
      <c r="D50" s="52"/>
      <c r="E50" s="52"/>
      <c r="F50" s="52"/>
      <c r="G50" s="52"/>
      <c r="H50" s="77"/>
    </row>
    <row r="51" spans="1:13" ht="15.6" customHeight="1" x14ac:dyDescent="0.2">
      <c r="A51" s="54" t="str">
        <f>+Innhold!B123</f>
        <v>Finans Norge / Skadeforsikringsstatistikk</v>
      </c>
      <c r="G51" s="200">
        <v>3</v>
      </c>
      <c r="H51" s="77"/>
    </row>
    <row r="52" spans="1:13" ht="15.6" customHeight="1" x14ac:dyDescent="0.2">
      <c r="A52" s="54" t="str">
        <f>+Innhold!B124</f>
        <v>Skadestatistikk for landbasert forsikring 1. kvartal 2021</v>
      </c>
      <c r="G52" s="201"/>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27"/>
  <sheetViews>
    <sheetView showGridLines="0" showRowColHeaders="0" zoomScaleNormal="100" workbookViewId="0"/>
  </sheetViews>
  <sheetFormatPr defaultColWidth="11.42578125" defaultRowHeight="12.75" x14ac:dyDescent="0.2"/>
  <cols>
    <col min="1" max="1" width="26.42578125" style="166" customWidth="1"/>
    <col min="2" max="2" width="8.140625" style="166" customWidth="1"/>
    <col min="3" max="4" width="10.42578125" style="166" customWidth="1"/>
    <col min="5" max="5" width="9.85546875" style="166" customWidth="1"/>
    <col min="6" max="6" width="1.5703125" style="166" customWidth="1"/>
    <col min="7" max="7" width="7.5703125" style="166" customWidth="1"/>
    <col min="8" max="8" width="8.85546875" style="166" customWidth="1"/>
    <col min="9" max="21" width="11.42578125" style="166" customWidth="1"/>
    <col min="22" max="22" width="15.42578125" style="166" customWidth="1"/>
    <col min="23" max="16384" width="11.42578125" style="166"/>
  </cols>
  <sheetData>
    <row r="1" spans="1:36" s="1" customFormat="1" ht="5.25" customHeight="1" x14ac:dyDescent="0.2"/>
    <row r="2" spans="1:36" s="1" customFormat="1" x14ac:dyDescent="0.2">
      <c r="A2" s="164" t="s">
        <v>0</v>
      </c>
      <c r="B2" s="2"/>
      <c r="C2" s="2"/>
      <c r="D2" s="2"/>
      <c r="E2" s="2"/>
      <c r="F2" s="2"/>
      <c r="G2" s="2"/>
    </row>
    <row r="3" spans="1:36" s="1" customFormat="1" ht="6" customHeight="1" x14ac:dyDescent="0.2">
      <c r="A3" s="165"/>
      <c r="B3" s="2"/>
      <c r="C3" s="2"/>
      <c r="D3" s="2"/>
      <c r="E3" s="2"/>
      <c r="F3" s="2"/>
      <c r="G3" s="2"/>
    </row>
    <row r="4" spans="1:36" s="1" customFormat="1" ht="12.75" customHeight="1" x14ac:dyDescent="0.2">
      <c r="A4" s="202" t="s">
        <v>90</v>
      </c>
      <c r="B4" s="2"/>
      <c r="C4" s="2"/>
      <c r="D4" s="2"/>
      <c r="E4" s="2"/>
      <c r="F4" s="2"/>
      <c r="G4" s="2"/>
      <c r="H4" s="67"/>
    </row>
    <row r="5" spans="1:36" s="1" customFormat="1" ht="12.75" customHeight="1" x14ac:dyDescent="0.2">
      <c r="A5" s="202"/>
      <c r="B5" s="2"/>
      <c r="C5" s="2"/>
      <c r="D5" s="2"/>
      <c r="E5" s="2"/>
      <c r="F5" s="2"/>
      <c r="G5" s="2"/>
      <c r="H5" s="67"/>
    </row>
    <row r="6" spans="1:36" s="1" customFormat="1"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165"/>
      <c r="B7" s="2"/>
      <c r="C7" s="2"/>
      <c r="D7" s="2"/>
      <c r="E7" s="2"/>
      <c r="F7" s="2"/>
      <c r="G7" s="2"/>
      <c r="H7" s="67"/>
      <c r="V7" s="88"/>
      <c r="AJ7" s="88"/>
    </row>
    <row r="8" spans="1:36" s="1" customFormat="1" x14ac:dyDescent="0.2">
      <c r="A8" s="165"/>
      <c r="B8" s="2"/>
      <c r="C8" s="2"/>
      <c r="D8" s="2"/>
      <c r="E8" s="2"/>
      <c r="F8" s="2"/>
      <c r="G8" s="2"/>
      <c r="H8" s="67"/>
    </row>
    <row r="9" spans="1:36" s="1" customFormat="1" x14ac:dyDescent="0.2">
      <c r="A9" s="165"/>
      <c r="B9" s="2"/>
      <c r="C9" s="2"/>
      <c r="D9" s="2"/>
      <c r="E9" s="2"/>
      <c r="F9" s="2"/>
      <c r="G9" s="2"/>
      <c r="H9" s="67"/>
    </row>
    <row r="10" spans="1:36" s="1" customFormat="1" x14ac:dyDescent="0.2">
      <c r="A10" s="165"/>
      <c r="B10" s="2"/>
      <c r="C10" s="2"/>
      <c r="D10" s="2"/>
      <c r="E10" s="2"/>
      <c r="F10" s="2"/>
      <c r="G10" s="2"/>
      <c r="H10" s="67"/>
    </row>
    <row r="11" spans="1:36" s="1" customFormat="1" x14ac:dyDescent="0.2">
      <c r="A11" s="165"/>
      <c r="B11" s="2"/>
      <c r="C11" s="2"/>
      <c r="D11" s="2"/>
      <c r="E11" s="2"/>
      <c r="F11" s="2"/>
      <c r="G11" s="2"/>
      <c r="H11" s="67"/>
    </row>
    <row r="12" spans="1:36" s="1" customFormat="1" x14ac:dyDescent="0.2">
      <c r="A12" s="165"/>
      <c r="B12" s="2"/>
      <c r="C12" s="2"/>
      <c r="D12" s="2"/>
      <c r="E12" s="2"/>
      <c r="F12" s="2"/>
      <c r="G12" s="2"/>
      <c r="H12" s="67"/>
    </row>
    <row r="13" spans="1:36" s="1" customFormat="1" x14ac:dyDescent="0.2">
      <c r="A13" s="165"/>
      <c r="B13" s="2"/>
      <c r="C13" s="2"/>
      <c r="D13" s="2"/>
      <c r="E13" s="2"/>
      <c r="F13" s="2"/>
      <c r="G13" s="2"/>
      <c r="H13" s="67"/>
    </row>
    <row r="14" spans="1:36" s="1" customFormat="1" x14ac:dyDescent="0.2">
      <c r="A14" s="165"/>
      <c r="B14" s="2"/>
      <c r="C14" s="2"/>
      <c r="D14" s="2"/>
      <c r="E14" s="2"/>
      <c r="F14" s="2"/>
      <c r="G14" s="2"/>
      <c r="H14" s="67"/>
    </row>
    <row r="15" spans="1:36" s="1" customFormat="1" x14ac:dyDescent="0.2">
      <c r="A15" s="165"/>
      <c r="B15" s="2"/>
      <c r="C15" s="2"/>
      <c r="D15" s="2"/>
      <c r="E15" s="2"/>
      <c r="F15" s="2"/>
      <c r="G15" s="2"/>
      <c r="H15" s="67"/>
    </row>
    <row r="16" spans="1:36" s="1" customFormat="1" x14ac:dyDescent="0.2">
      <c r="A16" s="165"/>
      <c r="B16" s="2"/>
      <c r="C16" s="2"/>
      <c r="D16" s="2"/>
      <c r="E16" s="2"/>
      <c r="F16" s="2"/>
      <c r="G16" s="2"/>
      <c r="H16" s="67"/>
    </row>
    <row r="17" spans="1:30" s="1" customFormat="1" x14ac:dyDescent="0.2">
      <c r="A17" s="165"/>
      <c r="B17" s="2"/>
      <c r="C17" s="2"/>
      <c r="D17" s="2"/>
      <c r="E17" s="2"/>
      <c r="F17" s="2"/>
      <c r="G17" s="2"/>
      <c r="H17" s="67"/>
    </row>
    <row r="18" spans="1:30" s="1" customFormat="1" x14ac:dyDescent="0.2">
      <c r="A18" s="165"/>
      <c r="B18" s="2"/>
      <c r="C18" s="2"/>
      <c r="D18" s="2"/>
      <c r="E18" s="2"/>
      <c r="F18" s="2"/>
      <c r="G18" s="2"/>
      <c r="H18" s="67"/>
    </row>
    <row r="19" spans="1:30" s="1" customFormat="1" x14ac:dyDescent="0.2">
      <c r="A19" s="165"/>
      <c r="B19" s="2"/>
      <c r="C19" s="2"/>
      <c r="D19" s="2"/>
      <c r="E19" s="2"/>
      <c r="F19" s="2"/>
      <c r="G19" s="2"/>
      <c r="H19" s="67"/>
    </row>
    <row r="20" spans="1:30" s="1" customFormat="1" x14ac:dyDescent="0.2">
      <c r="A20" s="165"/>
      <c r="B20" s="2"/>
      <c r="C20" s="2"/>
      <c r="D20" s="2"/>
      <c r="E20" s="2"/>
      <c r="F20" s="2"/>
      <c r="G20" s="2"/>
      <c r="H20" s="67"/>
    </row>
    <row r="21" spans="1:30" s="1" customFormat="1" x14ac:dyDescent="0.2">
      <c r="A21" s="165"/>
      <c r="B21" s="2"/>
      <c r="C21" s="2"/>
      <c r="D21" s="2"/>
      <c r="E21" s="2"/>
      <c r="F21" s="2"/>
      <c r="G21" s="2"/>
      <c r="H21" s="67"/>
    </row>
    <row r="22" spans="1:30" s="1" customFormat="1" x14ac:dyDescent="0.2">
      <c r="A22" s="165"/>
      <c r="B22" s="2"/>
      <c r="C22" s="2"/>
      <c r="D22" s="2"/>
      <c r="E22" s="2"/>
      <c r="F22" s="2"/>
      <c r="G22" s="2"/>
      <c r="H22" s="67"/>
    </row>
    <row r="23" spans="1:30" s="1" customFormat="1" x14ac:dyDescent="0.2">
      <c r="A23" s="165"/>
      <c r="B23" s="2"/>
      <c r="C23" s="2"/>
      <c r="D23" s="2"/>
      <c r="E23" s="2"/>
      <c r="F23" s="2"/>
      <c r="G23" s="2"/>
      <c r="H23" s="67"/>
    </row>
    <row r="24" spans="1:30" s="1" customFormat="1" x14ac:dyDescent="0.2">
      <c r="A24" s="165"/>
      <c r="B24" s="2"/>
      <c r="C24" s="2"/>
      <c r="D24" s="2"/>
      <c r="E24" s="2"/>
      <c r="F24" s="2"/>
      <c r="G24" s="2"/>
      <c r="H24" s="67"/>
    </row>
    <row r="25" spans="1:30" s="1" customFormat="1" x14ac:dyDescent="0.2">
      <c r="A25" s="165"/>
      <c r="B25" s="2"/>
      <c r="C25" s="2"/>
      <c r="D25" s="2"/>
      <c r="E25" s="2"/>
      <c r="F25" s="2"/>
      <c r="G25" s="2"/>
      <c r="H25" s="67"/>
    </row>
    <row r="26" spans="1:30" s="1" customFormat="1" x14ac:dyDescent="0.2">
      <c r="A26" s="165"/>
      <c r="B26" s="2"/>
      <c r="C26" s="2"/>
      <c r="D26" s="2"/>
      <c r="E26" s="2"/>
      <c r="F26" s="2"/>
      <c r="G26" s="2"/>
      <c r="H26" s="67"/>
    </row>
    <row r="27" spans="1:30" s="1" customFormat="1" x14ac:dyDescent="0.2">
      <c r="A27" s="165"/>
      <c r="B27" s="2"/>
      <c r="C27" s="2"/>
      <c r="D27" s="2"/>
      <c r="E27" s="2"/>
      <c r="F27" s="2"/>
      <c r="G27" s="2"/>
      <c r="H27" s="67"/>
    </row>
    <row r="28" spans="1:30" s="1" customFormat="1" x14ac:dyDescent="0.2">
      <c r="A28" s="165"/>
      <c r="B28" s="2"/>
      <c r="C28" s="2"/>
      <c r="D28" s="2"/>
      <c r="E28" s="2"/>
      <c r="F28" s="2"/>
      <c r="G28" s="2"/>
      <c r="H28" s="67"/>
    </row>
    <row r="29" spans="1:30" s="1" customFormat="1" x14ac:dyDescent="0.2">
      <c r="A29" s="165"/>
      <c r="B29" s="2"/>
      <c r="C29" s="2"/>
      <c r="D29" s="2"/>
      <c r="E29" s="2"/>
      <c r="F29" s="2"/>
      <c r="G29" s="2"/>
      <c r="H29" s="67"/>
    </row>
    <row r="30" spans="1:30" s="1" customFormat="1" x14ac:dyDescent="0.2">
      <c r="A30" s="165"/>
      <c r="B30" s="2"/>
      <c r="C30" s="2"/>
      <c r="D30" s="2"/>
      <c r="E30" s="2"/>
      <c r="F30" s="2"/>
      <c r="G30" s="2"/>
      <c r="H30" s="67"/>
    </row>
    <row r="31" spans="1:30" s="1" customFormat="1" x14ac:dyDescent="0.2">
      <c r="A31" s="165"/>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2021</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x14ac:dyDescent="0.2">
      <c r="A33" s="165"/>
      <c r="B33" s="2"/>
      <c r="C33" s="2"/>
      <c r="D33" s="2"/>
      <c r="E33" s="2"/>
      <c r="F33" s="2"/>
      <c r="G33" s="2"/>
      <c r="H33" s="67"/>
    </row>
    <row r="34" spans="1:8" s="1" customFormat="1" x14ac:dyDescent="0.2">
      <c r="A34" s="165"/>
      <c r="B34" s="2"/>
      <c r="C34" s="2"/>
      <c r="D34" s="2"/>
      <c r="E34" s="2"/>
      <c r="F34" s="2"/>
      <c r="G34" s="2"/>
      <c r="H34" s="67"/>
    </row>
    <row r="35" spans="1:8" s="1" customFormat="1" x14ac:dyDescent="0.2">
      <c r="A35" s="165"/>
      <c r="B35" s="2"/>
      <c r="C35" s="2"/>
      <c r="D35" s="2"/>
      <c r="E35" s="2"/>
      <c r="F35" s="2"/>
      <c r="G35" s="2"/>
      <c r="H35" s="67"/>
    </row>
    <row r="36" spans="1:8" s="1" customFormat="1" x14ac:dyDescent="0.2">
      <c r="A36" s="165"/>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s="1" customFormat="1" x14ac:dyDescent="0.2">
      <c r="A49" s="47"/>
      <c r="B49" s="48"/>
      <c r="C49" s="49"/>
      <c r="D49" s="49"/>
      <c r="E49" s="98"/>
      <c r="F49" s="49"/>
      <c r="G49" s="50"/>
      <c r="H49" s="51"/>
    </row>
    <row r="50" spans="1:36" s="1" customFormat="1" x14ac:dyDescent="0.2">
      <c r="A50" s="47"/>
      <c r="B50" s="48"/>
      <c r="C50" s="49"/>
      <c r="D50" s="49"/>
      <c r="E50" s="49"/>
      <c r="F50" s="49"/>
      <c r="G50" s="50"/>
      <c r="H50" s="51"/>
    </row>
    <row r="51" spans="1:36" s="1" customFormat="1" x14ac:dyDescent="0.2">
      <c r="A51" s="47"/>
      <c r="B51" s="48"/>
      <c r="C51" s="49"/>
      <c r="D51" s="49"/>
      <c r="E51" s="49"/>
      <c r="F51" s="49"/>
      <c r="G51" s="50"/>
      <c r="H51" s="51"/>
    </row>
    <row r="52" spans="1:36" s="1" customFormat="1" x14ac:dyDescent="0.2">
      <c r="A52" s="47"/>
      <c r="B52" s="48"/>
      <c r="C52" s="49"/>
      <c r="D52" s="49"/>
      <c r="E52" s="49"/>
      <c r="F52" s="49"/>
      <c r="G52" s="50"/>
      <c r="H52" s="51"/>
    </row>
    <row r="53" spans="1:36" s="1" customFormat="1" x14ac:dyDescent="0.2">
      <c r="A53" s="47"/>
      <c r="B53" s="48"/>
      <c r="C53" s="49"/>
      <c r="D53" s="49"/>
      <c r="E53" s="49"/>
      <c r="F53" s="49"/>
      <c r="G53" s="50"/>
      <c r="H53" s="51"/>
    </row>
    <row r="54" spans="1:36" s="1" customFormat="1" x14ac:dyDescent="0.2">
      <c r="A54" s="47"/>
      <c r="B54" s="48"/>
      <c r="C54" s="49"/>
      <c r="D54" s="49"/>
      <c r="E54" s="49"/>
      <c r="F54" s="49"/>
      <c r="G54" s="50"/>
      <c r="H54" s="51"/>
    </row>
    <row r="55" spans="1:36" s="1" customFormat="1" x14ac:dyDescent="0.2">
      <c r="A55" s="47"/>
      <c r="B55" s="48"/>
      <c r="C55" s="49"/>
      <c r="D55" s="49"/>
      <c r="E55" s="49"/>
      <c r="F55" s="49"/>
      <c r="G55" s="50"/>
      <c r="H55" s="51"/>
    </row>
    <row r="56" spans="1:36" s="1" customFormat="1" x14ac:dyDescent="0.2">
      <c r="A56" s="47"/>
      <c r="B56" s="48"/>
      <c r="C56" s="49"/>
      <c r="D56" s="49"/>
      <c r="E56" s="49"/>
      <c r="F56" s="49"/>
      <c r="G56" s="50"/>
      <c r="H56" s="51"/>
    </row>
    <row r="57" spans="1:36" s="1" customFormat="1" x14ac:dyDescent="0.2">
      <c r="A57" s="47"/>
      <c r="B57" s="48"/>
      <c r="C57" s="49"/>
      <c r="D57" s="49"/>
      <c r="E57" s="49"/>
      <c r="F57" s="49"/>
      <c r="G57" s="50"/>
      <c r="H57" s="51"/>
    </row>
    <row r="58" spans="1:36" s="1" customFormat="1" x14ac:dyDescent="0.2">
      <c r="A58" s="47"/>
      <c r="B58" s="48"/>
      <c r="C58" s="49"/>
      <c r="D58" s="49"/>
      <c r="E58" s="49"/>
      <c r="F58" s="49"/>
      <c r="G58" s="50"/>
      <c r="H58" s="51"/>
    </row>
    <row r="59" spans="1:36" s="1" customFormat="1" x14ac:dyDescent="0.2">
      <c r="A59" s="47"/>
      <c r="B59" s="48"/>
      <c r="C59" s="49"/>
      <c r="D59" s="49"/>
      <c r="E59" s="49"/>
      <c r="F59" s="49"/>
      <c r="G59" s="50"/>
      <c r="H59" s="51"/>
    </row>
    <row r="60" spans="1:36" s="1" customForma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s="1" customFormat="1" x14ac:dyDescent="0.2">
      <c r="A61" s="54" t="str">
        <f>+Innhold!B123</f>
        <v>Finans Norge / Skadeforsikringsstatistikk</v>
      </c>
      <c r="H61" s="200">
        <v>4</v>
      </c>
      <c r="I61" s="54" t="str">
        <f>+Innhold!B123</f>
        <v>Finans Norge / Skadeforsikringsstatistikk</v>
      </c>
      <c r="O61" s="200">
        <v>5</v>
      </c>
      <c r="P61" s="54" t="str">
        <f>+Innhold!B123</f>
        <v>Finans Norge / Skadeforsikringsstatistikk</v>
      </c>
      <c r="V61" s="200">
        <v>6</v>
      </c>
      <c r="W61" s="54" t="str">
        <f>+Innhold!B123</f>
        <v>Finans Norge / Skadeforsikringsstatistikk</v>
      </c>
      <c r="AC61" s="200">
        <v>7</v>
      </c>
      <c r="AD61" s="54" t="str">
        <f>+Innhold!B123</f>
        <v>Finans Norge / Skadeforsikringsstatistikk</v>
      </c>
      <c r="AJ61" s="200">
        <v>8</v>
      </c>
    </row>
    <row r="62" spans="1:36" s="1" customFormat="1" x14ac:dyDescent="0.2">
      <c r="A62" s="54" t="str">
        <f>+Innhold!B124</f>
        <v>Skadestatistikk for landbasert forsikring 1. kvartal 2021</v>
      </c>
      <c r="H62" s="201"/>
      <c r="I62" s="54" t="str">
        <f>+Innhold!B124</f>
        <v>Skadestatistikk for landbasert forsikring 1. kvartal 2021</v>
      </c>
      <c r="O62" s="201"/>
      <c r="P62" s="54" t="str">
        <f>+Innhold!B124</f>
        <v>Skadestatistikk for landbasert forsikring 1. kvartal 2021</v>
      </c>
      <c r="V62" s="201"/>
      <c r="W62" s="54" t="str">
        <f>+Innhold!B124</f>
        <v>Skadestatistikk for landbasert forsikring 1. kvartal 2021</v>
      </c>
      <c r="AC62" s="201"/>
      <c r="AD62" s="54" t="str">
        <f>+Innhold!B124</f>
        <v>Skadestatistikk for landbasert forsikring 1. kvartal 2021</v>
      </c>
      <c r="AJ62" s="201"/>
    </row>
    <row r="67" spans="1:26" ht="12.75" customHeight="1" x14ac:dyDescent="0.2"/>
    <row r="68" spans="1:26" ht="12.75" customHeight="1" x14ac:dyDescent="0.2">
      <c r="M68" s="167" t="s">
        <v>177</v>
      </c>
      <c r="P68" s="167" t="s">
        <v>179</v>
      </c>
      <c r="S68" s="167" t="s">
        <v>178</v>
      </c>
    </row>
    <row r="69" spans="1:26" x14ac:dyDescent="0.2">
      <c r="A69" s="168" t="s">
        <v>183</v>
      </c>
      <c r="B69" s="169"/>
      <c r="C69" s="169"/>
      <c r="D69" s="169" t="s">
        <v>74</v>
      </c>
      <c r="E69" s="169"/>
      <c r="F69" s="169"/>
      <c r="G69" s="169"/>
      <c r="H69" s="168"/>
      <c r="I69" s="170">
        <v>156.38500000000002</v>
      </c>
      <c r="J69" s="171" t="s">
        <v>231</v>
      </c>
      <c r="M69" s="167" t="s">
        <v>161</v>
      </c>
      <c r="P69" s="167" t="s">
        <v>175</v>
      </c>
      <c r="S69" s="167" t="s">
        <v>176</v>
      </c>
      <c r="V69" s="168" t="s">
        <v>184</v>
      </c>
      <c r="W69" s="169"/>
      <c r="X69" s="169"/>
      <c r="Y69" s="169"/>
      <c r="Z69" s="169"/>
    </row>
    <row r="70" spans="1:26" x14ac:dyDescent="0.2">
      <c r="A70" s="169" t="s">
        <v>75</v>
      </c>
      <c r="B70" s="169" t="s">
        <v>76</v>
      </c>
      <c r="C70" s="169" t="s">
        <v>26</v>
      </c>
      <c r="D70" s="169" t="s">
        <v>77</v>
      </c>
      <c r="E70" s="169"/>
      <c r="F70" s="169"/>
      <c r="G70" s="169"/>
      <c r="I70" s="172" t="s">
        <v>159</v>
      </c>
      <c r="J70" s="166" t="s">
        <v>229</v>
      </c>
      <c r="K70" s="172" t="s">
        <v>76</v>
      </c>
      <c r="L70" s="172" t="s">
        <v>108</v>
      </c>
      <c r="M70" s="172" t="s">
        <v>157</v>
      </c>
      <c r="N70" s="172" t="s">
        <v>158</v>
      </c>
      <c r="O70" s="172" t="s">
        <v>108</v>
      </c>
      <c r="P70" s="172" t="s">
        <v>157</v>
      </c>
      <c r="Q70" s="172" t="s">
        <v>158</v>
      </c>
      <c r="R70" s="172" t="s">
        <v>108</v>
      </c>
      <c r="S70" s="172" t="s">
        <v>157</v>
      </c>
      <c r="T70" s="172" t="s">
        <v>158</v>
      </c>
      <c r="V70" s="169" t="s">
        <v>81</v>
      </c>
      <c r="W70" s="169"/>
      <c r="X70" s="173" t="str">
        <f>+'Tab3'!C6</f>
        <v>2019</v>
      </c>
      <c r="Y70" s="173" t="str">
        <f>+'Tab3'!D6</f>
        <v>2020</v>
      </c>
      <c r="Z70" s="173" t="str">
        <f>+'Tab3'!E6</f>
        <v>2021</v>
      </c>
    </row>
    <row r="71" spans="1:26" x14ac:dyDescent="0.2">
      <c r="A71" s="169">
        <v>1</v>
      </c>
      <c r="B71" s="169">
        <v>1983</v>
      </c>
      <c r="C71" s="169">
        <v>97</v>
      </c>
      <c r="D71" s="169">
        <v>78.3</v>
      </c>
      <c r="E71" s="169"/>
      <c r="F71" s="169"/>
      <c r="G71" s="169"/>
      <c r="I71" s="174">
        <v>53.8</v>
      </c>
      <c r="J71" s="166">
        <v>1</v>
      </c>
      <c r="K71" s="166">
        <v>1983</v>
      </c>
      <c r="L71" s="175">
        <v>11621</v>
      </c>
      <c r="M71" s="174">
        <v>80.900000000000006</v>
      </c>
      <c r="N71" s="174">
        <f t="shared" ref="N71:N102" si="0">M71/I71*$I$69</f>
        <v>235.15885687732347</v>
      </c>
      <c r="V71" s="169"/>
      <c r="W71" s="169"/>
      <c r="X71" s="169"/>
      <c r="Y71" s="169"/>
      <c r="Z71" s="169"/>
    </row>
    <row r="72" spans="1:26" x14ac:dyDescent="0.2">
      <c r="A72" s="169">
        <v>2</v>
      </c>
      <c r="B72" s="169"/>
      <c r="C72" s="169">
        <v>78.8</v>
      </c>
      <c r="D72" s="169">
        <v>61.3</v>
      </c>
      <c r="E72" s="169"/>
      <c r="F72" s="169"/>
      <c r="G72" s="169"/>
      <c r="I72" s="174">
        <v>54.7</v>
      </c>
      <c r="J72" s="166">
        <v>2</v>
      </c>
      <c r="L72" s="175">
        <v>11120</v>
      </c>
      <c r="M72" s="174">
        <v>68.900000000000006</v>
      </c>
      <c r="N72" s="174">
        <f t="shared" si="0"/>
        <v>196.98220292504575</v>
      </c>
      <c r="V72" s="169" t="s">
        <v>26</v>
      </c>
      <c r="W72" s="169"/>
      <c r="X72" s="176">
        <f>IF('Tab6'!C36="",'Tab6'!C35,'Tab6'!C36)</f>
        <v>4508.8045500981743</v>
      </c>
      <c r="Y72" s="176">
        <f>IF('Tab6'!D36="",'Tab6'!D35,'Tab6'!D36)</f>
        <v>4422.1313349224683</v>
      </c>
      <c r="Z72" s="176">
        <f>IF('Tab6'!E36="",'Tab6'!E35,'Tab6'!E36)</f>
        <v>4346.5809320392218</v>
      </c>
    </row>
    <row r="73" spans="1:26" x14ac:dyDescent="0.2">
      <c r="A73" s="169">
        <v>3</v>
      </c>
      <c r="B73" s="169"/>
      <c r="C73" s="169">
        <v>84.8</v>
      </c>
      <c r="D73" s="169">
        <v>63</v>
      </c>
      <c r="E73" s="169"/>
      <c r="F73" s="169"/>
      <c r="G73" s="169"/>
      <c r="I73" s="174">
        <v>55.3</v>
      </c>
      <c r="J73" s="166">
        <v>3</v>
      </c>
      <c r="L73" s="175">
        <v>11918</v>
      </c>
      <c r="M73" s="174">
        <v>63.7</v>
      </c>
      <c r="N73" s="174">
        <f t="shared" si="0"/>
        <v>180.13968354430384</v>
      </c>
      <c r="V73" s="169"/>
      <c r="W73" s="169"/>
      <c r="X73" s="176"/>
      <c r="Y73" s="176"/>
      <c r="Z73" s="176"/>
    </row>
    <row r="74" spans="1:26" x14ac:dyDescent="0.2">
      <c r="A74" s="169">
        <v>4</v>
      </c>
      <c r="B74" s="169"/>
      <c r="C74" s="169">
        <v>91.2</v>
      </c>
      <c r="D74" s="169">
        <v>70.8</v>
      </c>
      <c r="E74" s="169"/>
      <c r="F74" s="169"/>
      <c r="G74" s="169"/>
      <c r="I74" s="174">
        <v>56.2</v>
      </c>
      <c r="J74" s="166">
        <v>4</v>
      </c>
      <c r="L74" s="175">
        <v>11905</v>
      </c>
      <c r="M74" s="174">
        <v>79.3</v>
      </c>
      <c r="N74" s="174">
        <f t="shared" si="0"/>
        <v>220.664243772242</v>
      </c>
      <c r="V74" s="169" t="s">
        <v>63</v>
      </c>
      <c r="W74" s="169"/>
      <c r="X74" s="176">
        <f>IF('Tab6'!C36="",'Tab6'!C45+'Tab6'!C47,'Tab6'!C46+'Tab6'!C48)</f>
        <v>51.285518470431356</v>
      </c>
      <c r="Y74" s="176">
        <f>IF('Tab6'!D36="",'Tab6'!D45+'Tab6'!D47,'Tab6'!D46+'Tab6'!D48)</f>
        <v>50.699602071654894</v>
      </c>
      <c r="Z74" s="176">
        <f>IF('Tab6'!E36="",'Tab6'!E45+'Tab6'!E47,'Tab6'!E46+'Tab6'!E48)</f>
        <v>32.126135816742334</v>
      </c>
    </row>
    <row r="75" spans="1:26" x14ac:dyDescent="0.2">
      <c r="A75" s="169">
        <v>1</v>
      </c>
      <c r="B75" s="169">
        <v>1984</v>
      </c>
      <c r="C75" s="169">
        <v>112.2</v>
      </c>
      <c r="D75" s="169">
        <v>90.4</v>
      </c>
      <c r="E75" s="169"/>
      <c r="F75" s="169"/>
      <c r="G75" s="169"/>
      <c r="I75" s="174">
        <v>57.3</v>
      </c>
      <c r="J75" s="166">
        <v>1</v>
      </c>
      <c r="K75" s="166">
        <v>1984</v>
      </c>
      <c r="L75" s="175">
        <v>13205</v>
      </c>
      <c r="M75" s="174">
        <v>86.7</v>
      </c>
      <c r="N75" s="174">
        <f t="shared" si="0"/>
        <v>236.6244240837697</v>
      </c>
      <c r="V75" s="169" t="s">
        <v>39</v>
      </c>
      <c r="W75" s="169"/>
      <c r="X75" s="176">
        <f>IF('Tab6'!C36="",'Tab6'!C49,'Tab6'!C50)</f>
        <v>389.25617273343158</v>
      </c>
      <c r="Y75" s="176">
        <f>IF('Tab6'!D36="",'Tab6'!D49,'Tab6'!D50)</f>
        <v>422.96520540999342</v>
      </c>
      <c r="Z75" s="176">
        <f>IF('Tab6'!E36="",'Tab6'!E49,'Tab6'!E50)</f>
        <v>349.28489816585994</v>
      </c>
    </row>
    <row r="76" spans="1:26" x14ac:dyDescent="0.2">
      <c r="A76" s="169">
        <v>2</v>
      </c>
      <c r="B76" s="169"/>
      <c r="C76" s="169">
        <v>81.8</v>
      </c>
      <c r="D76" s="169">
        <v>64.400000000000006</v>
      </c>
      <c r="E76" s="169"/>
      <c r="F76" s="169"/>
      <c r="G76" s="169"/>
      <c r="I76" s="174">
        <v>58.2</v>
      </c>
      <c r="J76" s="166">
        <v>2</v>
      </c>
      <c r="L76" s="175">
        <v>12453</v>
      </c>
      <c r="M76" s="174">
        <v>83.3</v>
      </c>
      <c r="N76" s="174">
        <f t="shared" si="0"/>
        <v>223.82939003436425</v>
      </c>
      <c r="V76" s="169" t="s">
        <v>18</v>
      </c>
      <c r="W76" s="169"/>
      <c r="X76" s="176">
        <f>IF('Tab6'!C36="",'Tab6'!C43,'Tab6'!C44)</f>
        <v>79.584868540646866</v>
      </c>
      <c r="Y76" s="176">
        <f>IF('Tab6'!D36="",'Tab6'!D43,'Tab6'!D44)</f>
        <v>203.12499417206868</v>
      </c>
      <c r="Z76" s="176">
        <f>IF('Tab6'!E36="",'Tab6'!E43,'Tab6'!E44)</f>
        <v>74.844381229580648</v>
      </c>
    </row>
    <row r="77" spans="1:26" x14ac:dyDescent="0.2">
      <c r="A77" s="169">
        <v>3</v>
      </c>
      <c r="B77" s="169"/>
      <c r="C77" s="169">
        <v>90.4</v>
      </c>
      <c r="D77" s="169">
        <v>71.099999999999994</v>
      </c>
      <c r="E77" s="169"/>
      <c r="F77" s="169"/>
      <c r="G77" s="169"/>
      <c r="I77" s="174">
        <v>58.7</v>
      </c>
      <c r="J77" s="166">
        <v>3</v>
      </c>
      <c r="L77" s="175">
        <v>12278</v>
      </c>
      <c r="M77" s="174">
        <v>83.3</v>
      </c>
      <c r="N77" s="174">
        <f t="shared" si="0"/>
        <v>221.92283645655877</v>
      </c>
      <c r="V77" s="169" t="s">
        <v>82</v>
      </c>
      <c r="W77" s="169"/>
      <c r="X77" s="176">
        <f>IF('Tab6'!C36="",'Tab6'!C37+'Tab6'!C39,'Tab6'!C38+'Tab6'!C40)</f>
        <v>449.97247157056444</v>
      </c>
      <c r="Y77" s="176">
        <f>IF('Tab6'!D36="",'Tab6'!D37+'Tab6'!D39,'Tab6'!D38+'Tab6'!D40)</f>
        <v>433.20674999740021</v>
      </c>
      <c r="Z77" s="176">
        <f>IF('Tab6'!E36="",'Tab6'!E37+'Tab6'!E39,'Tab6'!E38+'Tab6'!E40)</f>
        <v>432.63372008264372</v>
      </c>
    </row>
    <row r="78" spans="1:26" x14ac:dyDescent="0.2">
      <c r="A78" s="169">
        <v>4</v>
      </c>
      <c r="B78" s="169"/>
      <c r="C78" s="169">
        <v>92.9</v>
      </c>
      <c r="D78" s="169">
        <v>73.900000000000006</v>
      </c>
      <c r="E78" s="169"/>
      <c r="F78" s="169"/>
      <c r="G78" s="169"/>
      <c r="I78" s="174">
        <v>59.6</v>
      </c>
      <c r="J78" s="166">
        <v>4</v>
      </c>
      <c r="L78" s="175">
        <v>11449</v>
      </c>
      <c r="M78" s="174">
        <v>94.6</v>
      </c>
      <c r="N78" s="174">
        <f t="shared" si="0"/>
        <v>248.22182885906039</v>
      </c>
      <c r="V78" s="169" t="s">
        <v>83</v>
      </c>
      <c r="W78" s="169"/>
      <c r="X78" s="177">
        <f>X72-X77-X76-X75-X74</f>
        <v>3538.7055187831006</v>
      </c>
      <c r="Y78" s="177">
        <f>Y72-Y77-Y76-Y75-Y74</f>
        <v>3312.1347832713514</v>
      </c>
      <c r="Z78" s="177">
        <f>Z72-Z77-Z76-Z75-Z74</f>
        <v>3457.6917967443956</v>
      </c>
    </row>
    <row r="79" spans="1:26" x14ac:dyDescent="0.2">
      <c r="A79" s="169">
        <v>1</v>
      </c>
      <c r="B79" s="169">
        <v>1985</v>
      </c>
      <c r="C79" s="169">
        <v>123.4</v>
      </c>
      <c r="D79" s="169">
        <v>100.8</v>
      </c>
      <c r="E79" s="169"/>
      <c r="F79" s="169"/>
      <c r="G79" s="169"/>
      <c r="I79" s="174">
        <v>60.4</v>
      </c>
      <c r="J79" s="166">
        <v>1</v>
      </c>
      <c r="K79" s="166">
        <v>1985</v>
      </c>
      <c r="L79" s="175">
        <v>16918</v>
      </c>
      <c r="M79" s="174">
        <v>103.6</v>
      </c>
      <c r="N79" s="174">
        <f t="shared" si="0"/>
        <v>268.23652317880794</v>
      </c>
      <c r="V79" s="169"/>
      <c r="W79" s="169"/>
      <c r="X79" s="169"/>
      <c r="Y79" s="169"/>
      <c r="Z79" s="169"/>
    </row>
    <row r="80" spans="1:26" x14ac:dyDescent="0.2">
      <c r="A80" s="169">
        <v>2</v>
      </c>
      <c r="B80" s="169"/>
      <c r="C80" s="169">
        <v>102</v>
      </c>
      <c r="D80" s="169">
        <v>81.099999999999994</v>
      </c>
      <c r="E80" s="169"/>
      <c r="F80" s="169"/>
      <c r="G80" s="169"/>
      <c r="I80" s="174">
        <v>61.5</v>
      </c>
      <c r="J80" s="166">
        <v>2</v>
      </c>
      <c r="L80" s="175">
        <v>14237</v>
      </c>
      <c r="M80" s="174">
        <v>115.3</v>
      </c>
      <c r="N80" s="174">
        <f t="shared" si="0"/>
        <v>293.19008943089432</v>
      </c>
      <c r="V80" s="168" t="s">
        <v>162</v>
      </c>
      <c r="W80" s="169"/>
      <c r="X80" s="169"/>
      <c r="Y80" s="169"/>
    </row>
    <row r="81" spans="1:25" x14ac:dyDescent="0.2">
      <c r="A81" s="169">
        <v>3</v>
      </c>
      <c r="B81" s="169"/>
      <c r="C81" s="169">
        <v>108.4</v>
      </c>
      <c r="D81" s="169">
        <v>86</v>
      </c>
      <c r="E81" s="169"/>
      <c r="F81" s="169"/>
      <c r="G81" s="169"/>
      <c r="I81" s="174">
        <v>62</v>
      </c>
      <c r="J81" s="166">
        <v>3</v>
      </c>
      <c r="L81" s="175">
        <v>14329</v>
      </c>
      <c r="M81" s="174">
        <v>103</v>
      </c>
      <c r="N81" s="174">
        <f t="shared" si="0"/>
        <v>259.80088709677426</v>
      </c>
      <c r="V81" s="169"/>
      <c r="W81" s="169"/>
      <c r="X81" s="169"/>
      <c r="Y81" s="169"/>
    </row>
    <row r="82" spans="1:25" x14ac:dyDescent="0.2">
      <c r="A82" s="169">
        <v>4</v>
      </c>
      <c r="B82" s="169"/>
      <c r="C82" s="169">
        <v>109.6</v>
      </c>
      <c r="D82" s="169">
        <v>87.1</v>
      </c>
      <c r="E82" s="169"/>
      <c r="F82" s="169"/>
      <c r="G82" s="169"/>
      <c r="I82" s="174">
        <v>63</v>
      </c>
      <c r="J82" s="166">
        <v>4</v>
      </c>
      <c r="L82" s="175">
        <v>13060</v>
      </c>
      <c r="M82" s="174">
        <v>118.7</v>
      </c>
      <c r="N82" s="174">
        <f t="shared" si="0"/>
        <v>294.64919841269847</v>
      </c>
      <c r="V82" s="169"/>
      <c r="W82" s="173" t="str">
        <f>+'Tab4'!C6</f>
        <v>2019</v>
      </c>
      <c r="X82" s="173" t="str">
        <f>+'Tab4'!D6</f>
        <v>2020</v>
      </c>
      <c r="Y82" s="173" t="str">
        <f>+'Tab4'!E6</f>
        <v>2021</v>
      </c>
    </row>
    <row r="83" spans="1:25" x14ac:dyDescent="0.2">
      <c r="A83" s="169">
        <v>1</v>
      </c>
      <c r="B83" s="169">
        <v>1986</v>
      </c>
      <c r="C83" s="169">
        <v>141</v>
      </c>
      <c r="D83" s="169">
        <v>115.2</v>
      </c>
      <c r="E83" s="169"/>
      <c r="F83" s="169"/>
      <c r="G83" s="169"/>
      <c r="I83" s="174">
        <v>64</v>
      </c>
      <c r="J83" s="166">
        <v>1</v>
      </c>
      <c r="K83" s="166">
        <v>1986</v>
      </c>
      <c r="L83" s="175">
        <v>14314</v>
      </c>
      <c r="M83" s="174">
        <v>111.8</v>
      </c>
      <c r="N83" s="174">
        <f t="shared" si="0"/>
        <v>273.18504687500001</v>
      </c>
      <c r="V83" s="169" t="s">
        <v>84</v>
      </c>
      <c r="W83" s="176">
        <f>IF('Tab4'!C14="",'Tab4'!C13,'Tab4'!C14)</f>
        <v>2004.8948327261578</v>
      </c>
      <c r="X83" s="176">
        <f>IF('Tab4'!D14="",'Tab4'!D13,'Tab4'!D14)</f>
        <v>2229.8794272830219</v>
      </c>
      <c r="Y83" s="176">
        <f>IF('Tab4'!E14="",'Tab4'!E13,'Tab4'!E14)</f>
        <v>2965.4204490303</v>
      </c>
    </row>
    <row r="84" spans="1:25" x14ac:dyDescent="0.2">
      <c r="A84" s="169">
        <v>2</v>
      </c>
      <c r="B84" s="169"/>
      <c r="C84" s="169">
        <v>120.5</v>
      </c>
      <c r="D84" s="169">
        <v>93.2</v>
      </c>
      <c r="E84" s="169"/>
      <c r="F84" s="169"/>
      <c r="G84" s="169"/>
      <c r="I84" s="174">
        <v>65</v>
      </c>
      <c r="J84" s="166">
        <v>2</v>
      </c>
      <c r="L84" s="175">
        <v>13505</v>
      </c>
      <c r="M84" s="174">
        <v>121.5</v>
      </c>
      <c r="N84" s="174">
        <f t="shared" si="0"/>
        <v>292.31965384615387</v>
      </c>
      <c r="V84" s="169" t="s">
        <v>169</v>
      </c>
      <c r="W84" s="176">
        <f>IF('Tab4'!C16="",'Tab4'!C15,'Tab4'!C16)</f>
        <v>1824.3973235769665</v>
      </c>
      <c r="X84" s="176">
        <f>IF('Tab4'!D16="",'Tab4'!D15,'Tab4'!D16)</f>
        <v>1959.3996641893941</v>
      </c>
      <c r="Y84" s="176">
        <f>IF('Tab4'!E16="",'Tab4'!E15,'Tab4'!E16)</f>
        <v>1585.4037215067142</v>
      </c>
    </row>
    <row r="85" spans="1:25" x14ac:dyDescent="0.2">
      <c r="A85" s="169">
        <v>3</v>
      </c>
      <c r="B85" s="169"/>
      <c r="C85" s="169">
        <v>115.7</v>
      </c>
      <c r="D85" s="169">
        <v>91.1</v>
      </c>
      <c r="E85" s="169"/>
      <c r="F85" s="169"/>
      <c r="G85" s="169"/>
      <c r="I85" s="174">
        <v>67</v>
      </c>
      <c r="J85" s="166">
        <v>3</v>
      </c>
      <c r="L85" s="175">
        <v>12132</v>
      </c>
      <c r="M85" s="174">
        <v>100.8</v>
      </c>
      <c r="N85" s="174">
        <f t="shared" si="0"/>
        <v>235.27773134328362</v>
      </c>
      <c r="V85" s="169" t="s">
        <v>7</v>
      </c>
      <c r="W85" s="176">
        <f>IF('Tab4'!C18="",'Tab4'!C17,'Tab4'!C18)</f>
        <v>545.64501203044745</v>
      </c>
      <c r="X85" s="176">
        <f>IF('Tab4'!D18="",'Tab4'!D17,'Tab4'!D18)</f>
        <v>488.6673083519845</v>
      </c>
      <c r="Y85" s="176">
        <f>IF('Tab4'!E18="",'Tab4'!E17,'Tab4'!E18)</f>
        <v>482.14262646559507</v>
      </c>
    </row>
    <row r="86" spans="1:25" x14ac:dyDescent="0.2">
      <c r="A86" s="169">
        <v>4</v>
      </c>
      <c r="B86" s="169"/>
      <c r="C86" s="169">
        <v>114.4</v>
      </c>
      <c r="D86" s="169">
        <v>90.8</v>
      </c>
      <c r="E86" s="169"/>
      <c r="F86" s="169"/>
      <c r="G86" s="169"/>
      <c r="I86" s="174">
        <v>68.5</v>
      </c>
      <c r="J86" s="166">
        <v>4</v>
      </c>
      <c r="L86" s="175">
        <v>11763</v>
      </c>
      <c r="M86" s="174">
        <v>120.6</v>
      </c>
      <c r="N86" s="174">
        <f t="shared" si="0"/>
        <v>275.32891970802922</v>
      </c>
      <c r="V86" s="166" t="s">
        <v>8</v>
      </c>
      <c r="W86" s="176">
        <f>IF('Tab4'!C20="",'Tab4'!C19,'Tab4'!C20)</f>
        <v>421.08048263052808</v>
      </c>
      <c r="X86" s="176">
        <f>IF('Tab4'!D20="",'Tab4'!D19,'Tab4'!D20)</f>
        <v>502.10305881512238</v>
      </c>
      <c r="Y86" s="176">
        <f>IF('Tab4'!E20="",'Tab4'!E19,'Tab4'!E20)</f>
        <v>609.6751307627203</v>
      </c>
    </row>
    <row r="87" spans="1:25" x14ac:dyDescent="0.2">
      <c r="A87" s="169">
        <v>1</v>
      </c>
      <c r="B87" s="169">
        <v>1987</v>
      </c>
      <c r="C87" s="169">
        <v>152.19999999999999</v>
      </c>
      <c r="D87" s="169">
        <v>121.3</v>
      </c>
      <c r="E87" s="169"/>
      <c r="F87" s="169"/>
      <c r="G87" s="169"/>
      <c r="I87" s="174">
        <v>70.5</v>
      </c>
      <c r="J87" s="166">
        <v>1</v>
      </c>
      <c r="K87" s="166">
        <v>1987</v>
      </c>
      <c r="L87" s="175">
        <v>17280</v>
      </c>
      <c r="M87" s="174">
        <v>135.6</v>
      </c>
      <c r="N87" s="174">
        <f t="shared" si="0"/>
        <v>300.79157446808512</v>
      </c>
      <c r="V87" s="169" t="s">
        <v>9</v>
      </c>
      <c r="W87" s="176">
        <f>IF('Tab4'!C20="",'Tab4'!C21,'Tab4'!C22)</f>
        <v>160.97506029357834</v>
      </c>
      <c r="X87" s="176">
        <f>IF('Tab4'!D20="",'Tab4'!D21,'Tab4'!D22)</f>
        <v>218.00562808048574</v>
      </c>
      <c r="Y87" s="176">
        <f>IF('Tab4'!E20="",'Tab4'!E21,'Tab4'!E22)</f>
        <v>254.93649516953667</v>
      </c>
    </row>
    <row r="88" spans="1:25" x14ac:dyDescent="0.2">
      <c r="A88" s="169">
        <v>2</v>
      </c>
      <c r="B88" s="169"/>
      <c r="C88" s="169">
        <v>109.2</v>
      </c>
      <c r="D88" s="169">
        <v>86.1</v>
      </c>
      <c r="E88" s="169"/>
      <c r="F88" s="169"/>
      <c r="G88" s="169"/>
      <c r="I88" s="174">
        <v>71.599999999999994</v>
      </c>
      <c r="J88" s="166">
        <v>2</v>
      </c>
      <c r="L88" s="175">
        <v>12241</v>
      </c>
      <c r="M88" s="174">
        <v>135.9</v>
      </c>
      <c r="N88" s="174">
        <f t="shared" si="0"/>
        <v>296.82571927374306</v>
      </c>
      <c r="V88" s="169" t="s">
        <v>10</v>
      </c>
      <c r="W88" s="176">
        <f>IF('Tab4'!C22="",'Tab4'!C29,'Tab4'!C30)</f>
        <v>669.81500735484826</v>
      </c>
      <c r="X88" s="176">
        <f>IF('Tab4'!D22="",'Tab4'!D29,'Tab4'!D30)</f>
        <v>1302.9366576102254</v>
      </c>
      <c r="Y88" s="176">
        <f>IF('Tab4'!E22="",'Tab4'!E29,'Tab4'!E30)</f>
        <v>110.55182730182818</v>
      </c>
    </row>
    <row r="89" spans="1:25" x14ac:dyDescent="0.2">
      <c r="A89" s="169">
        <v>3</v>
      </c>
      <c r="B89" s="169"/>
      <c r="C89" s="169">
        <v>110.1</v>
      </c>
      <c r="D89" s="169">
        <v>87.3</v>
      </c>
      <c r="E89" s="169"/>
      <c r="F89" s="169"/>
      <c r="G89" s="169"/>
      <c r="I89" s="174">
        <v>72.3</v>
      </c>
      <c r="J89" s="166">
        <v>3</v>
      </c>
      <c r="L89" s="175">
        <v>11506</v>
      </c>
      <c r="M89" s="174">
        <v>112.3</v>
      </c>
      <c r="N89" s="174">
        <f t="shared" si="0"/>
        <v>242.90505532503462</v>
      </c>
      <c r="V89" s="169" t="s">
        <v>11</v>
      </c>
      <c r="W89" s="176">
        <f>IF('Tab4'!C30="",'Tab4'!C31,'Tab4'!C32)</f>
        <v>77.155455798829564</v>
      </c>
      <c r="X89" s="176">
        <f>IF('Tab4'!D30="",'Tab4'!D31,'Tab4'!D32)</f>
        <v>66.026009004013829</v>
      </c>
      <c r="Y89" s="176">
        <f>IF('Tab4'!E30="",'Tab4'!E31,'Tab4'!E32)</f>
        <v>64.208836868916421</v>
      </c>
    </row>
    <row r="90" spans="1:25" x14ac:dyDescent="0.2">
      <c r="A90" s="169">
        <v>4</v>
      </c>
      <c r="B90" s="169"/>
      <c r="C90" s="169">
        <v>112</v>
      </c>
      <c r="D90" s="169">
        <v>89.8</v>
      </c>
      <c r="E90" s="169"/>
      <c r="F90" s="169"/>
      <c r="G90" s="169"/>
      <c r="I90" s="174">
        <v>73.599999999999994</v>
      </c>
      <c r="J90" s="166">
        <v>4</v>
      </c>
      <c r="L90" s="175">
        <v>12860</v>
      </c>
      <c r="M90" s="174">
        <v>134.5</v>
      </c>
      <c r="N90" s="174">
        <f t="shared" si="0"/>
        <v>285.78508831521742</v>
      </c>
      <c r="V90" s="169" t="s">
        <v>12</v>
      </c>
      <c r="W90" s="176">
        <f>IF('Tab4'!C32="",'Tab4'!C33,'Tab4'!C34)</f>
        <v>286.86351714177783</v>
      </c>
      <c r="X90" s="176">
        <f>IF('Tab4'!D32="",'Tab4'!D33,'Tab4'!D34)</f>
        <v>374.9547510546671</v>
      </c>
      <c r="Y90" s="176">
        <f>IF('Tab4'!E32="",'Tab4'!E33,'Tab4'!E34)</f>
        <v>398.64248721138262</v>
      </c>
    </row>
    <row r="91" spans="1:25" x14ac:dyDescent="0.2">
      <c r="A91" s="169">
        <v>1</v>
      </c>
      <c r="B91" s="169">
        <v>1988</v>
      </c>
      <c r="C91" s="169">
        <v>134.1</v>
      </c>
      <c r="D91" s="169">
        <v>107.5</v>
      </c>
      <c r="E91" s="169"/>
      <c r="F91" s="169"/>
      <c r="G91" s="169"/>
      <c r="I91" s="174">
        <v>75.2</v>
      </c>
      <c r="J91" s="166">
        <v>1</v>
      </c>
      <c r="K91" s="166">
        <v>1988</v>
      </c>
      <c r="L91" s="175">
        <v>10180</v>
      </c>
      <c r="M91" s="174">
        <v>130.80000000000001</v>
      </c>
      <c r="N91" s="174">
        <f t="shared" si="0"/>
        <v>272.01007978723408</v>
      </c>
      <c r="V91" s="169" t="s">
        <v>13</v>
      </c>
      <c r="W91" s="176">
        <f>IF('Tab4'!C34="",'Tab4'!C35,'Tab4'!C36)</f>
        <v>43.233376973261215</v>
      </c>
      <c r="X91" s="176">
        <f>IF('Tab4'!D34="",'Tab4'!D35,'Tab4'!D36)</f>
        <v>35.680164690636182</v>
      </c>
      <c r="Y91" s="176">
        <f>IF('Tab4'!E34="",'Tab4'!E35,'Tab4'!E36)</f>
        <v>25.507322123697413</v>
      </c>
    </row>
    <row r="92" spans="1:25" x14ac:dyDescent="0.2">
      <c r="A92" s="169">
        <v>2</v>
      </c>
      <c r="B92" s="169"/>
      <c r="C92" s="169">
        <v>113.7</v>
      </c>
      <c r="D92" s="169">
        <v>90</v>
      </c>
      <c r="E92" s="169"/>
      <c r="F92" s="169"/>
      <c r="G92" s="169"/>
      <c r="I92" s="174">
        <v>76.7</v>
      </c>
      <c r="J92" s="166">
        <v>2</v>
      </c>
      <c r="L92" s="175">
        <v>11081</v>
      </c>
      <c r="M92" s="174">
        <v>95.1</v>
      </c>
      <c r="N92" s="174">
        <f t="shared" si="0"/>
        <v>193.90108865710562</v>
      </c>
      <c r="V92" s="169" t="s">
        <v>14</v>
      </c>
      <c r="W92" s="176">
        <f>IF('Tab4'!C38="",'Tab4'!C37,'Tab4'!C38)</f>
        <v>230.76050452690811</v>
      </c>
      <c r="X92" s="176">
        <f>IF('Tab4'!D38="",'Tab4'!D37,'Tab4'!D38)</f>
        <v>253.99079153284541</v>
      </c>
      <c r="Y92" s="176">
        <f>IF('Tab4'!E38="",'Tab4'!E37,'Tab4'!E38)</f>
        <v>293.02247437515626</v>
      </c>
    </row>
    <row r="93" spans="1:25" x14ac:dyDescent="0.2">
      <c r="A93" s="169">
        <v>3</v>
      </c>
      <c r="B93" s="169"/>
      <c r="C93" s="169">
        <v>116.3</v>
      </c>
      <c r="D93" s="169">
        <v>93.1</v>
      </c>
      <c r="E93" s="169"/>
      <c r="F93" s="169"/>
      <c r="G93" s="169"/>
      <c r="I93" s="174">
        <v>77</v>
      </c>
      <c r="J93" s="166">
        <v>3</v>
      </c>
      <c r="L93" s="175">
        <v>15987</v>
      </c>
      <c r="M93" s="174">
        <v>148.69999999999999</v>
      </c>
      <c r="N93" s="174">
        <f t="shared" si="0"/>
        <v>302.00583766233768</v>
      </c>
      <c r="V93" s="169" t="s">
        <v>85</v>
      </c>
      <c r="W93" s="177">
        <f>SUM(W83:W92)</f>
        <v>6264.8205730533036</v>
      </c>
      <c r="X93" s="177">
        <f>SUM(X83:X92)</f>
        <v>7431.6434606123967</v>
      </c>
      <c r="Y93" s="177">
        <f>SUM(Y83:Y92)</f>
        <v>6789.5113708158469</v>
      </c>
    </row>
    <row r="94" spans="1:25" x14ac:dyDescent="0.2">
      <c r="A94" s="169">
        <v>4</v>
      </c>
      <c r="B94" s="169"/>
      <c r="C94" s="169">
        <v>115.2</v>
      </c>
      <c r="D94" s="169">
        <v>93.4</v>
      </c>
      <c r="E94" s="169"/>
      <c r="F94" s="169"/>
      <c r="G94" s="169"/>
      <c r="I94" s="174">
        <v>78.099999999999994</v>
      </c>
      <c r="J94" s="166">
        <v>4</v>
      </c>
      <c r="L94" s="175">
        <v>12493</v>
      </c>
      <c r="M94" s="174">
        <v>199.8</v>
      </c>
      <c r="N94" s="174">
        <f t="shared" si="0"/>
        <v>400.0732778489118</v>
      </c>
      <c r="V94" s="169"/>
      <c r="W94" s="169"/>
      <c r="X94" s="169"/>
      <c r="Y94" s="169"/>
    </row>
    <row r="95" spans="1:25" x14ac:dyDescent="0.2">
      <c r="A95" s="169">
        <v>1</v>
      </c>
      <c r="B95" s="169">
        <v>1989</v>
      </c>
      <c r="C95" s="169">
        <v>106.6</v>
      </c>
      <c r="D95" s="169">
        <v>86.4</v>
      </c>
      <c r="E95" s="169"/>
      <c r="F95" s="169"/>
      <c r="G95" s="169"/>
      <c r="I95" s="174">
        <v>78.900000000000006</v>
      </c>
      <c r="J95" s="166">
        <v>1</v>
      </c>
      <c r="K95" s="166">
        <v>1989</v>
      </c>
      <c r="L95" s="175">
        <v>10988</v>
      </c>
      <c r="M95" s="174">
        <v>142.6</v>
      </c>
      <c r="N95" s="174">
        <f t="shared" si="0"/>
        <v>282.64259822560206</v>
      </c>
      <c r="V95" s="169" t="s">
        <v>170</v>
      </c>
      <c r="W95" s="178">
        <f>+W93+X72</f>
        <v>10773.625123151478</v>
      </c>
      <c r="X95" s="178">
        <f>+X93+Y72</f>
        <v>11853.774795534864</v>
      </c>
      <c r="Y95" s="178">
        <f>+Y93+Z72</f>
        <v>11136.092302855068</v>
      </c>
    </row>
    <row r="96" spans="1:25" x14ac:dyDescent="0.2">
      <c r="A96" s="169">
        <v>2</v>
      </c>
      <c r="B96" s="169"/>
      <c r="C96" s="169">
        <v>98</v>
      </c>
      <c r="D96" s="169">
        <v>79.599999999999994</v>
      </c>
      <c r="E96" s="169"/>
      <c r="F96" s="169"/>
      <c r="G96" s="169"/>
      <c r="I96" s="174">
        <v>80.3</v>
      </c>
      <c r="J96" s="166">
        <v>2</v>
      </c>
      <c r="L96" s="175">
        <v>10292</v>
      </c>
      <c r="M96" s="174">
        <v>117.3</v>
      </c>
      <c r="N96" s="174">
        <f t="shared" si="0"/>
        <v>228.44284557907849</v>
      </c>
    </row>
    <row r="97" spans="1:25" x14ac:dyDescent="0.2">
      <c r="A97" s="169">
        <v>3</v>
      </c>
      <c r="B97" s="169"/>
      <c r="C97" s="169">
        <v>96.9</v>
      </c>
      <c r="D97" s="169">
        <v>79</v>
      </c>
      <c r="E97" s="169"/>
      <c r="F97" s="169"/>
      <c r="G97" s="169"/>
      <c r="I97" s="174">
        <v>80.599999999999994</v>
      </c>
      <c r="J97" s="166">
        <v>3</v>
      </c>
      <c r="L97" s="175">
        <v>11352</v>
      </c>
      <c r="M97" s="174">
        <v>103.6</v>
      </c>
      <c r="N97" s="174">
        <f t="shared" si="0"/>
        <v>201.01099255583128</v>
      </c>
      <c r="Y97" s="169"/>
    </row>
    <row r="98" spans="1:25" x14ac:dyDescent="0.2">
      <c r="A98" s="169">
        <v>4</v>
      </c>
      <c r="B98" s="169"/>
      <c r="C98" s="169">
        <v>93.4</v>
      </c>
      <c r="D98" s="169">
        <v>76.8</v>
      </c>
      <c r="E98" s="169"/>
      <c r="F98" s="169"/>
      <c r="G98" s="169"/>
      <c r="I98" s="174">
        <v>81.400000000000006</v>
      </c>
      <c r="J98" s="166">
        <v>4</v>
      </c>
      <c r="L98" s="175">
        <v>11958</v>
      </c>
      <c r="M98" s="174">
        <v>132</v>
      </c>
      <c r="N98" s="174">
        <f t="shared" si="0"/>
        <v>253.5972972972973</v>
      </c>
      <c r="V98" s="168" t="s">
        <v>185</v>
      </c>
      <c r="W98" s="169"/>
      <c r="X98" s="169"/>
      <c r="Y98" s="169"/>
    </row>
    <row r="99" spans="1:25" x14ac:dyDescent="0.2">
      <c r="A99" s="169">
        <v>1</v>
      </c>
      <c r="B99" s="169">
        <v>1990</v>
      </c>
      <c r="C99" s="169">
        <v>99.4</v>
      </c>
      <c r="D99" s="169">
        <v>81.3</v>
      </c>
      <c r="E99" s="169"/>
      <c r="F99" s="169"/>
      <c r="G99" s="169"/>
      <c r="I99" s="174">
        <v>82.3</v>
      </c>
      <c r="J99" s="166">
        <v>1</v>
      </c>
      <c r="K99" s="166">
        <v>1990</v>
      </c>
      <c r="L99" s="175">
        <v>13741</v>
      </c>
      <c r="M99" s="174">
        <v>142.9</v>
      </c>
      <c r="N99" s="174">
        <f t="shared" si="0"/>
        <v>271.53604495747271</v>
      </c>
      <c r="V99" s="169"/>
      <c r="X99" s="169"/>
      <c r="Y99" s="169"/>
    </row>
    <row r="100" spans="1:25" x14ac:dyDescent="0.2">
      <c r="A100" s="169">
        <v>2</v>
      </c>
      <c r="B100" s="169"/>
      <c r="C100" s="169">
        <v>88.6</v>
      </c>
      <c r="D100" s="169">
        <v>73.099999999999994</v>
      </c>
      <c r="E100" s="169"/>
      <c r="F100" s="169"/>
      <c r="G100" s="169"/>
      <c r="I100" s="174">
        <v>83.4</v>
      </c>
      <c r="J100" s="166">
        <v>2</v>
      </c>
      <c r="L100" s="175">
        <v>10045</v>
      </c>
      <c r="M100" s="174">
        <v>116.5</v>
      </c>
      <c r="N100" s="174">
        <f t="shared" si="0"/>
        <v>218.45146882494006</v>
      </c>
      <c r="V100" s="169"/>
      <c r="W100" s="173" t="str">
        <f>+W82</f>
        <v>2019</v>
      </c>
      <c r="X100" s="173" t="str">
        <f>+X82</f>
        <v>2020</v>
      </c>
      <c r="Y100" s="173" t="str">
        <f>+Y82</f>
        <v>2021</v>
      </c>
    </row>
    <row r="101" spans="1:25" x14ac:dyDescent="0.2">
      <c r="A101" s="169">
        <v>3</v>
      </c>
      <c r="B101" s="169"/>
      <c r="C101" s="169">
        <v>88.2</v>
      </c>
      <c r="D101" s="169">
        <v>72.5</v>
      </c>
      <c r="E101" s="169"/>
      <c r="F101" s="169"/>
      <c r="G101" s="169"/>
      <c r="I101" s="174">
        <v>83.7</v>
      </c>
      <c r="J101" s="166">
        <v>3</v>
      </c>
      <c r="L101" s="175">
        <v>10870</v>
      </c>
      <c r="M101" s="174">
        <v>101.4</v>
      </c>
      <c r="N101" s="174">
        <f t="shared" si="0"/>
        <v>189.45566308243733</v>
      </c>
      <c r="V101" s="169" t="s">
        <v>18</v>
      </c>
      <c r="W101" s="179">
        <f>IF('Tab7'!C10="",+'Tab7'!C9+'Tab11'!C9,+'Tab7'!C10+'Tab11'!C10)</f>
        <v>6246.0660115942028</v>
      </c>
      <c r="X101" s="179">
        <f>IF('Tab7'!D10="",+'Tab7'!D9+'Tab11'!D9,+'Tab7'!D10+'Tab11'!D10)</f>
        <v>7767.2878601449283</v>
      </c>
      <c r="Y101" s="179">
        <f>IF('Tab7'!E10="",+'Tab7'!E9+'Tab11'!E9,+'Tab7'!E10+'Tab11'!E10)</f>
        <v>8185.2405021739132</v>
      </c>
    </row>
    <row r="102" spans="1:25" x14ac:dyDescent="0.2">
      <c r="A102" s="169">
        <v>4</v>
      </c>
      <c r="B102" s="169"/>
      <c r="C102" s="169">
        <v>84.8</v>
      </c>
      <c r="D102" s="169">
        <v>70.2</v>
      </c>
      <c r="E102" s="169"/>
      <c r="F102" s="169"/>
      <c r="G102" s="169"/>
      <c r="I102" s="174">
        <v>85.1</v>
      </c>
      <c r="J102" s="166">
        <v>4</v>
      </c>
      <c r="L102" s="175">
        <v>11076</v>
      </c>
      <c r="M102" s="174">
        <v>120</v>
      </c>
      <c r="N102" s="174">
        <f t="shared" si="0"/>
        <v>220.5193889541716</v>
      </c>
      <c r="V102" s="169" t="s">
        <v>86</v>
      </c>
      <c r="W102" s="179">
        <f>IF('Tab7'!C12="",+'Tab7'!C11+'Tab11'!C11,+'Tab7'!C12+'Tab11'!C12)</f>
        <v>22919.924612648218</v>
      </c>
      <c r="X102" s="179">
        <f>IF('Tab7'!D12="",+'Tab7'!D11+'Tab11'!D11,+'Tab7'!D12+'Tab11'!D12)</f>
        <v>22180.308750988144</v>
      </c>
      <c r="Y102" s="179">
        <f>IF('Tab7'!E12="",+'Tab7'!E11+'Tab11'!E11,+'Tab7'!E12+'Tab11'!E12)</f>
        <v>34994.274094861663</v>
      </c>
    </row>
    <row r="103" spans="1:25" x14ac:dyDescent="0.2">
      <c r="A103" s="169">
        <v>1</v>
      </c>
      <c r="B103" s="169">
        <v>1991</v>
      </c>
      <c r="C103" s="169">
        <v>97.5</v>
      </c>
      <c r="D103" s="169">
        <v>82.4</v>
      </c>
      <c r="E103" s="169"/>
      <c r="F103" s="169"/>
      <c r="G103" s="169"/>
      <c r="I103" s="174">
        <v>85.5</v>
      </c>
      <c r="J103" s="166">
        <v>1</v>
      </c>
      <c r="K103" s="166">
        <v>1991</v>
      </c>
      <c r="L103" s="175">
        <v>10172</v>
      </c>
      <c r="M103" s="174">
        <v>130.10000000000002</v>
      </c>
      <c r="N103" s="174">
        <f t="shared" ref="N103:N106" si="1">M103/I103*$I$69</f>
        <v>237.96126900584801</v>
      </c>
      <c r="O103" s="175">
        <v>6727</v>
      </c>
      <c r="P103" s="174">
        <v>376.9</v>
      </c>
      <c r="Q103" s="174">
        <f>P103/I103*$I$69</f>
        <v>689.37434502923975</v>
      </c>
      <c r="R103" s="175">
        <v>9077</v>
      </c>
      <c r="S103" s="174">
        <v>139.9</v>
      </c>
      <c r="T103" s="174">
        <f>S103/I103*$I$69</f>
        <v>255.88609941520471</v>
      </c>
      <c r="V103" s="169" t="s">
        <v>63</v>
      </c>
      <c r="W103" s="179">
        <f>IF('Tab7'!C14="",+'Tab7'!C13+'Tab11'!C13,+'Tab7'!C14+'Tab11'!C14)</f>
        <v>6910.1016739130437</v>
      </c>
      <c r="X103" s="179">
        <f>IF('Tab7'!D14="",+'Tab7'!D13+'Tab11'!D13,+'Tab7'!D14+'Tab11'!D14)</f>
        <v>8117.2696444099374</v>
      </c>
      <c r="Y103" s="179">
        <f>IF('Tab7'!E14="",+'Tab7'!E13+'Tab11'!E13,+'Tab7'!E14+'Tab11'!E14)</f>
        <v>6121.5967593167707</v>
      </c>
    </row>
    <row r="104" spans="1:25" x14ac:dyDescent="0.2">
      <c r="A104" s="169">
        <v>2</v>
      </c>
      <c r="B104" s="169"/>
      <c r="C104" s="169">
        <v>93.9</v>
      </c>
      <c r="D104" s="169">
        <v>78</v>
      </c>
      <c r="E104" s="169"/>
      <c r="F104" s="169"/>
      <c r="G104" s="169"/>
      <c r="I104" s="174">
        <v>86.6</v>
      </c>
      <c r="J104" s="166">
        <v>2</v>
      </c>
      <c r="L104" s="175">
        <v>10188</v>
      </c>
      <c r="M104" s="174">
        <v>126.69999999999993</v>
      </c>
      <c r="N104" s="174">
        <f t="shared" si="1"/>
        <v>228.79883949191679</v>
      </c>
      <c r="O104" s="175">
        <v>5864</v>
      </c>
      <c r="P104" s="174">
        <v>369.29999999999995</v>
      </c>
      <c r="Q104" s="174">
        <f t="shared" ref="Q104:Q167" si="2">P104/I104*$I$69</f>
        <v>666.89353926096999</v>
      </c>
      <c r="R104" s="175">
        <v>12525</v>
      </c>
      <c r="S104" s="174">
        <v>176.29999999999998</v>
      </c>
      <c r="T104" s="174">
        <f t="shared" ref="T104:T167" si="3">S104/I104*$I$69</f>
        <v>318.36807736720556</v>
      </c>
      <c r="V104" s="169" t="s">
        <v>14</v>
      </c>
      <c r="W104" s="180">
        <f>+W106-SUM(W101:W103)</f>
        <v>67340.42820387517</v>
      </c>
      <c r="X104" s="180">
        <f>+X106-SUM(X101:X103)</f>
        <v>79263.819190509574</v>
      </c>
      <c r="Y104" s="180">
        <f>+Y106-SUM(Y101:Y103)</f>
        <v>83362.541784050933</v>
      </c>
    </row>
    <row r="105" spans="1:25" x14ac:dyDescent="0.2">
      <c r="A105" s="169">
        <v>3</v>
      </c>
      <c r="B105" s="169"/>
      <c r="C105" s="169">
        <v>90.2</v>
      </c>
      <c r="D105" s="169">
        <v>76.099999999999994</v>
      </c>
      <c r="E105" s="169"/>
      <c r="F105" s="169"/>
      <c r="G105" s="169"/>
      <c r="I105" s="174">
        <v>86.6</v>
      </c>
      <c r="J105" s="166">
        <v>3</v>
      </c>
      <c r="L105" s="175">
        <v>10621</v>
      </c>
      <c r="M105" s="174">
        <v>132.60000000000002</v>
      </c>
      <c r="N105" s="174">
        <f t="shared" si="1"/>
        <v>239.45324480369521</v>
      </c>
      <c r="O105" s="175">
        <v>7951</v>
      </c>
      <c r="P105" s="174">
        <v>430.9</v>
      </c>
      <c r="Q105" s="174">
        <f t="shared" si="2"/>
        <v>778.13275404157048</v>
      </c>
      <c r="R105" s="175">
        <v>14126</v>
      </c>
      <c r="S105" s="174">
        <v>204.90000000000003</v>
      </c>
      <c r="T105" s="174">
        <f t="shared" si="3"/>
        <v>370.01485565819871</v>
      </c>
      <c r="V105" s="169"/>
      <c r="W105" s="169"/>
      <c r="X105" s="169"/>
      <c r="Y105" s="169"/>
    </row>
    <row r="106" spans="1:25" x14ac:dyDescent="0.2">
      <c r="A106" s="169">
        <v>4</v>
      </c>
      <c r="B106" s="169"/>
      <c r="C106" s="169">
        <v>92.6</v>
      </c>
      <c r="D106" s="169">
        <v>78.099999999999994</v>
      </c>
      <c r="E106" s="169"/>
      <c r="F106" s="169"/>
      <c r="G106" s="169"/>
      <c r="I106" s="174">
        <v>87.3</v>
      </c>
      <c r="J106" s="166">
        <v>4</v>
      </c>
      <c r="L106" s="175">
        <v>11640</v>
      </c>
      <c r="M106" s="174">
        <v>138.20000000000005</v>
      </c>
      <c r="N106" s="174">
        <f t="shared" si="1"/>
        <v>247.56479954180998</v>
      </c>
      <c r="O106" s="175">
        <v>13048</v>
      </c>
      <c r="P106" s="174">
        <v>427.00000000000023</v>
      </c>
      <c r="Q106" s="174">
        <f t="shared" si="2"/>
        <v>764.90715922107734</v>
      </c>
      <c r="R106" s="175">
        <v>13048</v>
      </c>
      <c r="S106" s="174">
        <v>185</v>
      </c>
      <c r="T106" s="174">
        <f t="shared" si="3"/>
        <v>331.40005727376865</v>
      </c>
      <c r="V106" s="169" t="s">
        <v>87</v>
      </c>
      <c r="W106" s="179">
        <f>IF('Tab7'!C8="",+'Tab7'!C7+'Tab11'!C7,+'Tab7'!C8+'Tab11'!C8)</f>
        <v>103416.52050203063</v>
      </c>
      <c r="X106" s="179">
        <f>IF('Tab7'!D8="",+'Tab7'!D7+'Tab11'!D7,+'Tab7'!D8+'Tab11'!D8)</f>
        <v>117328.68544605258</v>
      </c>
      <c r="Y106" s="179">
        <f>IF('Tab7'!E8="",+'Tab7'!E7+'Tab11'!E7,+'Tab7'!E8+'Tab11'!E8)</f>
        <v>132663.65314040327</v>
      </c>
    </row>
    <row r="107" spans="1:25" x14ac:dyDescent="0.2">
      <c r="A107" s="169">
        <v>1</v>
      </c>
      <c r="B107" s="169">
        <v>1992</v>
      </c>
      <c r="C107" s="169">
        <v>102</v>
      </c>
      <c r="D107" s="169">
        <v>87.1</v>
      </c>
      <c r="E107" s="169"/>
      <c r="F107" s="169"/>
      <c r="G107" s="169"/>
      <c r="I107" s="174">
        <v>87.5</v>
      </c>
      <c r="J107" s="166">
        <v>1</v>
      </c>
      <c r="K107" s="166">
        <v>1992</v>
      </c>
      <c r="L107" s="175">
        <v>10520</v>
      </c>
      <c r="M107" s="174">
        <v>129.4</v>
      </c>
      <c r="N107" s="174">
        <f>M107/I107*$I$69</f>
        <v>231.27107428571432</v>
      </c>
      <c r="O107" s="175">
        <v>6509</v>
      </c>
      <c r="P107" s="174">
        <v>409.5</v>
      </c>
      <c r="Q107" s="174">
        <f t="shared" si="2"/>
        <v>731.8818</v>
      </c>
      <c r="R107" s="175">
        <v>11030</v>
      </c>
      <c r="S107" s="174">
        <v>180.5</v>
      </c>
      <c r="T107" s="174">
        <f t="shared" si="3"/>
        <v>322.59991428571431</v>
      </c>
    </row>
    <row r="108" spans="1:25" x14ac:dyDescent="0.2">
      <c r="A108" s="169">
        <v>2</v>
      </c>
      <c r="B108" s="169"/>
      <c r="C108" s="169">
        <v>92.2</v>
      </c>
      <c r="D108" s="169">
        <v>78.900000000000006</v>
      </c>
      <c r="E108" s="169"/>
      <c r="F108" s="169"/>
      <c r="G108" s="169"/>
      <c r="I108" s="174">
        <v>88.6</v>
      </c>
      <c r="J108" s="166">
        <v>2</v>
      </c>
      <c r="L108" s="175">
        <v>10661</v>
      </c>
      <c r="M108" s="174">
        <v>112.9</v>
      </c>
      <c r="N108" s="174">
        <f t="shared" ref="N108:N171" si="4">M108/I108*$I$69</f>
        <v>199.2761455981942</v>
      </c>
      <c r="O108" s="175">
        <v>5632</v>
      </c>
      <c r="P108" s="174">
        <v>412</v>
      </c>
      <c r="Q108" s="174">
        <f t="shared" si="2"/>
        <v>727.207900677201</v>
      </c>
      <c r="R108" s="175">
        <v>13252</v>
      </c>
      <c r="S108" s="174">
        <v>167</v>
      </c>
      <c r="T108" s="174">
        <f t="shared" si="3"/>
        <v>294.76630925507908</v>
      </c>
    </row>
    <row r="109" spans="1:25" x14ac:dyDescent="0.2">
      <c r="A109" s="169">
        <v>3</v>
      </c>
      <c r="B109" s="169"/>
      <c r="C109" s="169">
        <v>93.3</v>
      </c>
      <c r="D109" s="169">
        <v>79.900000000000006</v>
      </c>
      <c r="E109" s="169"/>
      <c r="F109" s="169"/>
      <c r="G109" s="169"/>
      <c r="I109" s="174">
        <v>88.7</v>
      </c>
      <c r="J109" s="166">
        <v>3</v>
      </c>
      <c r="L109" s="175">
        <v>11590</v>
      </c>
      <c r="M109" s="174">
        <v>130.59999999999997</v>
      </c>
      <c r="N109" s="174">
        <f t="shared" si="4"/>
        <v>230.25795941375418</v>
      </c>
      <c r="O109" s="175">
        <v>8642</v>
      </c>
      <c r="P109" s="174">
        <v>440.40000000000009</v>
      </c>
      <c r="Q109" s="174">
        <f t="shared" si="2"/>
        <v>776.45945885005665</v>
      </c>
      <c r="R109" s="175">
        <v>15450</v>
      </c>
      <c r="S109" s="174">
        <v>219.10000000000002</v>
      </c>
      <c r="T109" s="174">
        <f t="shared" si="3"/>
        <v>386.29034385569338</v>
      </c>
      <c r="V109" s="168" t="s">
        <v>186</v>
      </c>
      <c r="W109" s="169"/>
      <c r="X109" s="169"/>
      <c r="Y109" s="169"/>
    </row>
    <row r="110" spans="1:25" x14ac:dyDescent="0.2">
      <c r="A110" s="169">
        <v>4</v>
      </c>
      <c r="B110" s="169"/>
      <c r="C110" s="169">
        <v>90.8</v>
      </c>
      <c r="D110" s="169">
        <v>77.599999999999994</v>
      </c>
      <c r="E110" s="169"/>
      <c r="F110" s="169"/>
      <c r="G110" s="169"/>
      <c r="I110" s="174">
        <v>89.3</v>
      </c>
      <c r="J110" s="166">
        <v>4</v>
      </c>
      <c r="L110" s="175">
        <v>11917</v>
      </c>
      <c r="M110" s="174">
        <v>108.50000000000006</v>
      </c>
      <c r="N110" s="174">
        <f t="shared" si="4"/>
        <v>190.00865061590159</v>
      </c>
      <c r="O110" s="175">
        <v>7139</v>
      </c>
      <c r="P110" s="174">
        <v>425.59999999999991</v>
      </c>
      <c r="Q110" s="174">
        <f t="shared" si="2"/>
        <v>745.32425531914885</v>
      </c>
      <c r="R110" s="175">
        <v>12309</v>
      </c>
      <c r="S110" s="174">
        <v>109.39999999999998</v>
      </c>
      <c r="T110" s="174">
        <f t="shared" si="3"/>
        <v>191.58475923852183</v>
      </c>
      <c r="V110" s="169"/>
      <c r="W110" s="169"/>
      <c r="X110" s="169"/>
      <c r="Y110" s="169"/>
    </row>
    <row r="111" spans="1:25" x14ac:dyDescent="0.2">
      <c r="A111" s="169">
        <v>1</v>
      </c>
      <c r="B111" s="169">
        <v>1993</v>
      </c>
      <c r="C111" s="169">
        <v>112.6</v>
      </c>
      <c r="D111" s="169">
        <v>96.5</v>
      </c>
      <c r="E111" s="169"/>
      <c r="F111" s="169"/>
      <c r="G111" s="169"/>
      <c r="I111" s="174">
        <v>89.8</v>
      </c>
      <c r="J111" s="166">
        <v>1</v>
      </c>
      <c r="K111" s="166">
        <v>1993</v>
      </c>
      <c r="L111" s="175">
        <v>11275</v>
      </c>
      <c r="M111" s="174">
        <v>136.89999999999998</v>
      </c>
      <c r="N111" s="174">
        <f t="shared" si="4"/>
        <v>238.40875835189308</v>
      </c>
      <c r="O111" s="175">
        <v>6982</v>
      </c>
      <c r="P111" s="174">
        <v>449.4</v>
      </c>
      <c r="Q111" s="174">
        <f t="shared" si="2"/>
        <v>782.62159242761697</v>
      </c>
      <c r="R111" s="175">
        <v>10571</v>
      </c>
      <c r="S111" s="174">
        <v>175.5</v>
      </c>
      <c r="T111" s="174">
        <f t="shared" si="3"/>
        <v>305.62992761692658</v>
      </c>
      <c r="V111" s="169"/>
      <c r="W111" s="173" t="str">
        <f>+W100</f>
        <v>2019</v>
      </c>
      <c r="X111" s="173" t="str">
        <f>+X100</f>
        <v>2020</v>
      </c>
      <c r="Y111" s="173" t="str">
        <f>+Y100</f>
        <v>2021</v>
      </c>
    </row>
    <row r="112" spans="1:25" x14ac:dyDescent="0.2">
      <c r="A112" s="169">
        <v>2</v>
      </c>
      <c r="B112" s="169"/>
      <c r="C112" s="169">
        <f>205.6-C111</f>
        <v>93</v>
      </c>
      <c r="D112" s="169">
        <f>176.6-D111</f>
        <v>80.099999999999994</v>
      </c>
      <c r="E112" s="169"/>
      <c r="F112" s="169"/>
      <c r="G112" s="169"/>
      <c r="I112" s="174">
        <v>90.8</v>
      </c>
      <c r="J112" s="166">
        <v>2</v>
      </c>
      <c r="L112" s="175">
        <v>10076</v>
      </c>
      <c r="M112" s="174">
        <v>115.20000000000002</v>
      </c>
      <c r="N112" s="174">
        <f t="shared" si="4"/>
        <v>198.40916299559478</v>
      </c>
      <c r="O112" s="175">
        <v>6332</v>
      </c>
      <c r="P112" s="174">
        <v>352.9</v>
      </c>
      <c r="Q112" s="174">
        <f t="shared" si="2"/>
        <v>607.80029185022033</v>
      </c>
      <c r="R112" s="175">
        <v>12919</v>
      </c>
      <c r="S112" s="174">
        <v>191.20000000000005</v>
      </c>
      <c r="T112" s="174">
        <f t="shared" si="3"/>
        <v>329.30409691629967</v>
      </c>
      <c r="V112" s="169" t="s">
        <v>171</v>
      </c>
      <c r="W112" s="178">
        <f>IF('Tab7'!C38="",+'Tab7'!C37+'Tab11'!C37,+'Tab7'!C38+'Tab11'!C38)</f>
        <v>1397.4160606846913</v>
      </c>
      <c r="X112" s="178">
        <f>IF('Tab7'!D38="",+'Tab7'!D37+'Tab11'!D37,+'Tab7'!D38+'Tab11'!D38)</f>
        <v>1769.0740395034682</v>
      </c>
      <c r="Y112" s="178">
        <f>IF('Tab7'!E38="",+'Tab7'!E37+'Tab11'!E37,+'Tab7'!E38+'Tab11'!E38)</f>
        <v>1464.197591740502</v>
      </c>
    </row>
    <row r="113" spans="1:25" x14ac:dyDescent="0.2">
      <c r="A113" s="169">
        <v>3</v>
      </c>
      <c r="B113" s="169"/>
      <c r="C113" s="169">
        <f>293.1-C112-C111</f>
        <v>87.500000000000028</v>
      </c>
      <c r="D113" s="169">
        <f>250.2-D112-D111</f>
        <v>73.599999999999994</v>
      </c>
      <c r="E113" s="169"/>
      <c r="F113" s="169"/>
      <c r="G113" s="169"/>
      <c r="I113" s="174">
        <v>90.6</v>
      </c>
      <c r="J113" s="166">
        <v>3</v>
      </c>
      <c r="L113" s="175">
        <v>11766</v>
      </c>
      <c r="M113" s="174">
        <v>132.79999999999998</v>
      </c>
      <c r="N113" s="174">
        <f t="shared" si="4"/>
        <v>229.22657836644592</v>
      </c>
      <c r="O113" s="175">
        <v>6675</v>
      </c>
      <c r="P113" s="174">
        <v>388.50000000000023</v>
      </c>
      <c r="Q113" s="174">
        <f t="shared" si="2"/>
        <v>670.59130794702037</v>
      </c>
      <c r="R113" s="175">
        <v>14800</v>
      </c>
      <c r="S113" s="174">
        <v>216.89999999999998</v>
      </c>
      <c r="T113" s="174">
        <f t="shared" si="3"/>
        <v>374.39190397350995</v>
      </c>
      <c r="V113" s="169" t="s">
        <v>86</v>
      </c>
      <c r="W113" s="178">
        <f>IF('Tab7'!C40="",+'Tab7'!C39+'Tab11'!C39,+'Tab7'!C40+'Tab11'!C40)</f>
        <v>1170.7788601930165</v>
      </c>
      <c r="X113" s="178">
        <f>IF('Tab7'!D40="",+'Tab7'!D39+'Tab11'!D39,+'Tab7'!D40+'Tab11'!D40)</f>
        <v>1168.8644293205766</v>
      </c>
      <c r="Y113" s="178">
        <f>IF('Tab7'!E40="",+'Tab7'!E39+'Tab11'!E39,+'Tab7'!E40+'Tab11'!E40)</f>
        <v>1823.5241188431366</v>
      </c>
    </row>
    <row r="114" spans="1:25" x14ac:dyDescent="0.2">
      <c r="A114" s="169">
        <v>4</v>
      </c>
      <c r="B114" s="169"/>
      <c r="C114" s="169">
        <f>413.2-C113-C112-C111</f>
        <v>120.09999999999994</v>
      </c>
      <c r="D114" s="169">
        <f>356.8-D113-D112-D111</f>
        <v>106.60000000000005</v>
      </c>
      <c r="E114" s="169"/>
      <c r="F114" s="169"/>
      <c r="G114" s="169"/>
      <c r="I114" s="174">
        <v>91</v>
      </c>
      <c r="J114" s="166">
        <v>4</v>
      </c>
      <c r="L114" s="175">
        <v>12707</v>
      </c>
      <c r="M114" s="174">
        <v>157.79999999999995</v>
      </c>
      <c r="N114" s="174">
        <f t="shared" si="4"/>
        <v>271.18190109890105</v>
      </c>
      <c r="O114" s="175">
        <v>6319</v>
      </c>
      <c r="P114" s="174">
        <v>466.99999999999977</v>
      </c>
      <c r="Q114" s="174">
        <f t="shared" si="2"/>
        <v>802.5471978021975</v>
      </c>
      <c r="R114" s="175">
        <v>11391</v>
      </c>
      <c r="S114" s="174">
        <v>164.5</v>
      </c>
      <c r="T114" s="174">
        <f t="shared" si="3"/>
        <v>282.69596153846157</v>
      </c>
      <c r="V114" s="169" t="s">
        <v>63</v>
      </c>
      <c r="W114" s="178">
        <f>IF('Tab7'!C42="",+'Tab7'!C41+'Tab11'!C41,+'Tab7'!C42+'Tab11'!C42)</f>
        <v>123.67116062391185</v>
      </c>
      <c r="X114" s="178">
        <f>IF('Tab7'!D42="",+'Tab7'!D41+'Tab11'!D41,+'Tab7'!D42+'Tab11'!D42)</f>
        <v>145.45299812029876</v>
      </c>
      <c r="Y114" s="178">
        <f>IF('Tab7'!E42="",+'Tab7'!E41+'Tab11'!E41,+'Tab7'!E42+'Tab11'!E42)</f>
        <v>112.87324166947003</v>
      </c>
    </row>
    <row r="115" spans="1:25" x14ac:dyDescent="0.2">
      <c r="A115" s="169">
        <v>1</v>
      </c>
      <c r="B115" s="169">
        <v>1994</v>
      </c>
      <c r="C115" s="169">
        <v>138.4</v>
      </c>
      <c r="D115" s="169">
        <v>120</v>
      </c>
      <c r="E115" s="169"/>
      <c r="F115" s="169"/>
      <c r="G115" s="169"/>
      <c r="I115" s="174">
        <v>91</v>
      </c>
      <c r="J115" s="166">
        <v>1</v>
      </c>
      <c r="K115" s="166">
        <v>1994</v>
      </c>
      <c r="L115" s="175">
        <v>15224</v>
      </c>
      <c r="M115" s="174">
        <v>189</v>
      </c>
      <c r="N115" s="174">
        <f t="shared" si="4"/>
        <v>324.79961538461544</v>
      </c>
      <c r="O115" s="175">
        <v>6291</v>
      </c>
      <c r="P115" s="174">
        <v>427.6</v>
      </c>
      <c r="Q115" s="174">
        <f t="shared" si="2"/>
        <v>734.83764835164845</v>
      </c>
      <c r="R115" s="175">
        <v>8795</v>
      </c>
      <c r="S115" s="174">
        <v>161.69999999999999</v>
      </c>
      <c r="T115" s="174">
        <f t="shared" si="3"/>
        <v>277.88411538461543</v>
      </c>
      <c r="V115" s="169" t="s">
        <v>14</v>
      </c>
      <c r="W115" s="181">
        <f>+W117-SUM(W112:W114)</f>
        <v>1137.4260748015045</v>
      </c>
      <c r="X115" s="181">
        <f>+X117-SUM(X112:X114)</f>
        <v>1105.8876245280721</v>
      </c>
      <c r="Y115" s="181">
        <f>+Y117-SUM(Y112:Y114)</f>
        <v>1150.2292182839055</v>
      </c>
    </row>
    <row r="116" spans="1:25" x14ac:dyDescent="0.2">
      <c r="A116" s="169">
        <v>2</v>
      </c>
      <c r="B116" s="169"/>
      <c r="C116" s="169">
        <f>252.9-C115</f>
        <v>114.5</v>
      </c>
      <c r="D116" s="169">
        <f>218.1-D115</f>
        <v>98.1</v>
      </c>
      <c r="E116" s="169"/>
      <c r="F116" s="169"/>
      <c r="G116" s="169"/>
      <c r="I116" s="174">
        <v>91.7</v>
      </c>
      <c r="J116" s="166">
        <v>2</v>
      </c>
      <c r="L116" s="175">
        <v>13585</v>
      </c>
      <c r="M116" s="174">
        <v>166.5</v>
      </c>
      <c r="N116" s="174">
        <f t="shared" si="4"/>
        <v>283.94877317339154</v>
      </c>
      <c r="O116" s="175">
        <v>5517</v>
      </c>
      <c r="P116" s="174">
        <v>494.30000000000007</v>
      </c>
      <c r="Q116" s="174">
        <f t="shared" si="2"/>
        <v>842.97824972737203</v>
      </c>
      <c r="R116" s="175">
        <v>13449</v>
      </c>
      <c r="S116" s="174">
        <v>196.2</v>
      </c>
      <c r="T116" s="174">
        <f t="shared" si="3"/>
        <v>334.59909487459112</v>
      </c>
      <c r="V116" s="169"/>
      <c r="W116" s="178"/>
      <c r="X116" s="178"/>
      <c r="Y116" s="178"/>
    </row>
    <row r="117" spans="1:25" x14ac:dyDescent="0.2">
      <c r="A117" s="169">
        <v>3</v>
      </c>
      <c r="B117" s="169"/>
      <c r="C117" s="169">
        <f>365.7-C115-C116</f>
        <v>112.79999999999998</v>
      </c>
      <c r="D117" s="169">
        <f>316.9-D115-D116</f>
        <v>98.799999999999983</v>
      </c>
      <c r="E117" s="169"/>
      <c r="F117" s="169"/>
      <c r="G117" s="169"/>
      <c r="I117" s="174">
        <v>92.1</v>
      </c>
      <c r="J117" s="166">
        <v>3</v>
      </c>
      <c r="L117" s="175">
        <v>13956</v>
      </c>
      <c r="M117" s="174">
        <v>169.89999999999998</v>
      </c>
      <c r="N117" s="174">
        <f t="shared" si="4"/>
        <v>288.4887242128122</v>
      </c>
      <c r="O117" s="175">
        <v>8952</v>
      </c>
      <c r="P117" s="174">
        <v>425.5</v>
      </c>
      <c r="Q117" s="174">
        <f t="shared" si="2"/>
        <v>722.49530401737263</v>
      </c>
      <c r="R117" s="175">
        <v>15669</v>
      </c>
      <c r="S117" s="174">
        <v>219.80000000000007</v>
      </c>
      <c r="T117" s="174">
        <f t="shared" si="3"/>
        <v>373.21849077090138</v>
      </c>
      <c r="V117" s="169" t="s">
        <v>87</v>
      </c>
      <c r="W117" s="178">
        <f>IF('Tab7'!C36="",+'Tab7'!C35+'Tab11'!C35,+'Tab7'!C36+'Tab11'!C36)</f>
        <v>3829.2921563031241</v>
      </c>
      <c r="X117" s="178">
        <f>IF('Tab7'!D36="",+'Tab7'!D35+'Tab11'!D35,+'Tab7'!D36+'Tab11'!D36)</f>
        <v>4189.2790914724155</v>
      </c>
      <c r="Y117" s="178">
        <f>IF('Tab7'!E36="",+'Tab7'!E35+'Tab11'!E35,+'Tab7'!E36+'Tab11'!E36)</f>
        <v>4550.8241705370147</v>
      </c>
    </row>
    <row r="118" spans="1:25" x14ac:dyDescent="0.2">
      <c r="A118" s="169">
        <v>4</v>
      </c>
      <c r="B118" s="169"/>
      <c r="C118" s="169">
        <f>480.2-C115-C116-C117</f>
        <v>114.49999999999997</v>
      </c>
      <c r="D118" s="169">
        <f>417.1-D115-D116-D117</f>
        <v>100.20000000000005</v>
      </c>
      <c r="E118" s="169"/>
      <c r="F118" s="169"/>
      <c r="G118" s="169"/>
      <c r="I118" s="174">
        <v>92.6</v>
      </c>
      <c r="J118" s="166">
        <v>4</v>
      </c>
      <c r="L118" s="175">
        <v>14006</v>
      </c>
      <c r="M118" s="174">
        <v>140.80000000000007</v>
      </c>
      <c r="N118" s="174">
        <f t="shared" si="4"/>
        <v>237.78626349892022</v>
      </c>
      <c r="O118" s="175">
        <v>8189</v>
      </c>
      <c r="P118" s="174">
        <v>390.59999999999991</v>
      </c>
      <c r="Q118" s="174">
        <f t="shared" si="2"/>
        <v>659.65422246220305</v>
      </c>
      <c r="R118" s="175">
        <v>14139</v>
      </c>
      <c r="S118" s="174">
        <v>214.39999999999998</v>
      </c>
      <c r="T118" s="174">
        <f t="shared" si="3"/>
        <v>362.08362850971923</v>
      </c>
      <c r="V118" s="169"/>
      <c r="X118" s="169"/>
    </row>
    <row r="119" spans="1:25" x14ac:dyDescent="0.2">
      <c r="A119" s="169">
        <v>1</v>
      </c>
      <c r="B119" s="169">
        <v>1995</v>
      </c>
      <c r="C119" s="169">
        <v>137.19999999999999</v>
      </c>
      <c r="D119" s="169">
        <v>119.3</v>
      </c>
      <c r="E119" s="169"/>
      <c r="F119" s="169"/>
      <c r="G119" s="169"/>
      <c r="I119" s="174">
        <v>93.4</v>
      </c>
      <c r="J119" s="166">
        <v>1</v>
      </c>
      <c r="K119" s="166">
        <v>1995</v>
      </c>
      <c r="L119" s="175">
        <v>13188</v>
      </c>
      <c r="M119" s="174">
        <v>171.1</v>
      </c>
      <c r="N119" s="174">
        <f t="shared" si="4"/>
        <v>286.48258565310493</v>
      </c>
      <c r="O119" s="175">
        <v>7699</v>
      </c>
      <c r="P119" s="174">
        <v>543</v>
      </c>
      <c r="Q119" s="174">
        <f t="shared" si="2"/>
        <v>909.17617773019288</v>
      </c>
      <c r="R119" s="175">
        <v>11007</v>
      </c>
      <c r="S119" s="174">
        <v>183.1</v>
      </c>
      <c r="T119" s="174">
        <f t="shared" si="3"/>
        <v>306.57487687366171</v>
      </c>
      <c r="V119" s="168" t="s">
        <v>180</v>
      </c>
    </row>
    <row r="120" spans="1:25" x14ac:dyDescent="0.2">
      <c r="A120" s="169">
        <v>2</v>
      </c>
      <c r="B120" s="169"/>
      <c r="C120" s="169">
        <f>248.2-C119</f>
        <v>111</v>
      </c>
      <c r="D120" s="169">
        <f>214.7-D119</f>
        <v>95.399999999999991</v>
      </c>
      <c r="E120" s="169"/>
      <c r="F120" s="169"/>
      <c r="G120" s="169"/>
      <c r="I120" s="174">
        <v>94.1</v>
      </c>
      <c r="J120" s="166">
        <v>2</v>
      </c>
      <c r="L120" s="175">
        <v>11077</v>
      </c>
      <c r="M120" s="174">
        <v>148.30000000000004</v>
      </c>
      <c r="N120" s="174">
        <f t="shared" si="4"/>
        <v>246.46010095642944</v>
      </c>
      <c r="O120" s="175">
        <v>5465</v>
      </c>
      <c r="P120" s="174">
        <v>462.40000000000009</v>
      </c>
      <c r="Q120" s="174">
        <f t="shared" si="2"/>
        <v>768.46359192348598</v>
      </c>
      <c r="R120" s="175">
        <v>13915</v>
      </c>
      <c r="S120" s="174">
        <v>213.4</v>
      </c>
      <c r="T120" s="174">
        <f t="shared" si="3"/>
        <v>354.64993623804469</v>
      </c>
    </row>
    <row r="121" spans="1:25" x14ac:dyDescent="0.2">
      <c r="A121" s="169">
        <v>3</v>
      </c>
      <c r="B121" s="169"/>
      <c r="C121" s="169">
        <f>364.1-C119-C120</f>
        <v>115.90000000000003</v>
      </c>
      <c r="D121" s="169">
        <f>315.7-D119-D120</f>
        <v>100.99999999999999</v>
      </c>
      <c r="E121" s="169"/>
      <c r="F121" s="169"/>
      <c r="G121" s="169"/>
      <c r="I121" s="174">
        <v>94.1</v>
      </c>
      <c r="J121" s="166">
        <v>3</v>
      </c>
      <c r="L121" s="175">
        <v>13937</v>
      </c>
      <c r="M121" s="174">
        <v>180.19999999999993</v>
      </c>
      <c r="N121" s="174">
        <f t="shared" si="4"/>
        <v>299.47478214665244</v>
      </c>
      <c r="O121" s="175">
        <v>9139</v>
      </c>
      <c r="P121" s="174">
        <v>487.89999999999986</v>
      </c>
      <c r="Q121" s="174">
        <f t="shared" si="2"/>
        <v>810.84209883103074</v>
      </c>
      <c r="R121" s="175">
        <v>17436</v>
      </c>
      <c r="S121" s="174">
        <v>224.09999999999991</v>
      </c>
      <c r="T121" s="174">
        <f t="shared" si="3"/>
        <v>372.43229011689681</v>
      </c>
      <c r="V121" s="169"/>
      <c r="W121" s="173" t="str">
        <f>+'Tab3'!C6</f>
        <v>2019</v>
      </c>
      <c r="X121" s="173" t="str">
        <f>+'Tab3'!D6</f>
        <v>2020</v>
      </c>
      <c r="Y121" s="173" t="str">
        <f>+'Tab3'!E6</f>
        <v>2021</v>
      </c>
    </row>
    <row r="122" spans="1:25" x14ac:dyDescent="0.2">
      <c r="A122" s="169">
        <v>4</v>
      </c>
      <c r="B122" s="169"/>
      <c r="C122" s="169">
        <f>482.9-C119-C120-C121</f>
        <v>118.79999999999995</v>
      </c>
      <c r="D122" s="169">
        <f>420.1-D119-D120-D121</f>
        <v>104.40000000000005</v>
      </c>
      <c r="E122" s="169"/>
      <c r="F122" s="169"/>
      <c r="G122" s="169"/>
      <c r="I122" s="174">
        <v>94.6</v>
      </c>
      <c r="J122" s="166">
        <v>4</v>
      </c>
      <c r="L122" s="175">
        <v>13920</v>
      </c>
      <c r="M122" s="174">
        <v>172.00000000000006</v>
      </c>
      <c r="N122" s="174">
        <f t="shared" si="4"/>
        <v>284.33636363636379</v>
      </c>
      <c r="O122" s="175">
        <v>7500</v>
      </c>
      <c r="P122" s="174">
        <v>369.89999999999986</v>
      </c>
      <c r="Q122" s="174">
        <f t="shared" si="2"/>
        <v>611.48849365750516</v>
      </c>
      <c r="R122" s="175">
        <v>15130</v>
      </c>
      <c r="S122" s="174">
        <v>206.30000000000018</v>
      </c>
      <c r="T122" s="174">
        <f t="shared" si="3"/>
        <v>341.03832452431323</v>
      </c>
      <c r="V122" s="169" t="s">
        <v>10</v>
      </c>
      <c r="W122" s="173">
        <f>IF('Tab3'!C22="",'Tab3'!C29,'Tab3'!C30)</f>
        <v>81899</v>
      </c>
      <c r="X122" s="173">
        <f>IF('Tab3'!D22="",'Tab3'!D29,'Tab3'!D30)</f>
        <v>161525</v>
      </c>
      <c r="Y122" s="173">
        <f>IF('Tab3'!E22="",'Tab3'!E29,'Tab3'!E30)</f>
        <v>34290.493589743593</v>
      </c>
    </row>
    <row r="123" spans="1:25" x14ac:dyDescent="0.2">
      <c r="A123" s="169">
        <v>1</v>
      </c>
      <c r="B123" s="169">
        <v>1996</v>
      </c>
      <c r="C123" s="169">
        <v>143.9</v>
      </c>
      <c r="D123" s="169">
        <v>126.9</v>
      </c>
      <c r="E123" s="169"/>
      <c r="F123" s="169"/>
      <c r="G123" s="169"/>
      <c r="I123" s="174">
        <v>94.2</v>
      </c>
      <c r="J123" s="166">
        <v>1</v>
      </c>
      <c r="K123" s="166">
        <v>1996</v>
      </c>
      <c r="L123" s="175">
        <v>29850</v>
      </c>
      <c r="M123" s="174">
        <v>375.59999999999997</v>
      </c>
      <c r="N123" s="174">
        <f t="shared" si="4"/>
        <v>623.5478343949045</v>
      </c>
      <c r="O123" s="175">
        <v>7239</v>
      </c>
      <c r="P123" s="174">
        <v>479.9</v>
      </c>
      <c r="Q123" s="174">
        <f t="shared" si="2"/>
        <v>796.70022823779198</v>
      </c>
      <c r="R123" s="175">
        <v>11785</v>
      </c>
      <c r="S123" s="174">
        <v>198.60000000000002</v>
      </c>
      <c r="T123" s="174">
        <f t="shared" si="3"/>
        <v>329.70340764331218</v>
      </c>
      <c r="V123" s="166" t="s">
        <v>112</v>
      </c>
      <c r="W123" s="173">
        <f>IF('Tab9'!C8="",'Tab9'!C7,'Tab9'!C8)</f>
        <v>32150.909694972008</v>
      </c>
      <c r="X123" s="173">
        <f>IF('Tab9'!D8="",'Tab9'!D7,'Tab9'!D8)</f>
        <v>33779.378607928287</v>
      </c>
      <c r="Y123" s="173">
        <f>IF('Tab9'!E8="",'Tab9'!E7,'Tab9'!E8)</f>
        <v>44786.944784527106</v>
      </c>
    </row>
    <row r="124" spans="1:25" x14ac:dyDescent="0.2">
      <c r="A124" s="169">
        <v>2</v>
      </c>
      <c r="B124" s="169"/>
      <c r="C124" s="169">
        <f>275.5-C123</f>
        <v>131.6</v>
      </c>
      <c r="D124" s="169">
        <f>242.6-D123</f>
        <v>115.69999999999999</v>
      </c>
      <c r="E124" s="169"/>
      <c r="F124" s="169"/>
      <c r="G124" s="169"/>
      <c r="I124" s="174">
        <v>95.1</v>
      </c>
      <c r="J124" s="166">
        <v>2</v>
      </c>
      <c r="L124" s="175">
        <v>17799</v>
      </c>
      <c r="M124" s="174">
        <v>234.8</v>
      </c>
      <c r="N124" s="174">
        <f t="shared" si="4"/>
        <v>386.1114405888539</v>
      </c>
      <c r="O124" s="175">
        <v>6503</v>
      </c>
      <c r="P124" s="174">
        <v>585.30000000000007</v>
      </c>
      <c r="Q124" s="174">
        <f t="shared" si="2"/>
        <v>962.48307570977943</v>
      </c>
      <c r="R124" s="175">
        <v>14642</v>
      </c>
      <c r="S124" s="174">
        <v>220.09999999999997</v>
      </c>
      <c r="T124" s="174">
        <f t="shared" si="3"/>
        <v>361.9383648790747</v>
      </c>
      <c r="V124" s="166" t="s">
        <v>111</v>
      </c>
      <c r="W124" s="173">
        <f>IF('Tab8'!C8="",'Tab8'!C7,'Tab8'!C8)</f>
        <v>46176.703657196675</v>
      </c>
      <c r="X124" s="173">
        <f>IF('Tab8'!D8="",'Tab8'!D7,'Tab8'!D8)</f>
        <v>50338.839690263172</v>
      </c>
      <c r="Y124" s="173">
        <f>IF('Tab8'!E8="",'Tab8'!E7,'Tab8'!E8)</f>
        <v>57244.673067196847</v>
      </c>
    </row>
    <row r="125" spans="1:25" x14ac:dyDescent="0.2">
      <c r="A125" s="169">
        <v>3</v>
      </c>
      <c r="B125" s="169"/>
      <c r="C125" s="169">
        <f>387.5-C123-C124</f>
        <v>112</v>
      </c>
      <c r="D125" s="169">
        <f>339.3-D123-D124</f>
        <v>96.700000000000017</v>
      </c>
      <c r="E125" s="169"/>
      <c r="F125" s="169"/>
      <c r="G125" s="169"/>
      <c r="I125" s="174">
        <v>95.5</v>
      </c>
      <c r="J125" s="166">
        <v>3</v>
      </c>
      <c r="L125" s="175">
        <v>16263</v>
      </c>
      <c r="M125" s="174">
        <v>240.00000000000011</v>
      </c>
      <c r="N125" s="174">
        <f t="shared" si="4"/>
        <v>393.00942408376989</v>
      </c>
      <c r="O125" s="175">
        <v>8934</v>
      </c>
      <c r="P125" s="174">
        <v>581.89999999999986</v>
      </c>
      <c r="Q125" s="174">
        <f t="shared" si="2"/>
        <v>952.8840994764397</v>
      </c>
      <c r="R125" s="175">
        <v>17198</v>
      </c>
      <c r="S125" s="174">
        <v>233.2</v>
      </c>
      <c r="T125" s="174">
        <f t="shared" si="3"/>
        <v>381.87415706806286</v>
      </c>
      <c r="V125" s="169" t="s">
        <v>169</v>
      </c>
      <c r="W125" s="173">
        <f>IF('Tab3'!C16="",'Tab3'!C15,'Tab3'!C16)</f>
        <v>12689.963847746456</v>
      </c>
      <c r="X125" s="173">
        <f>IF('Tab3'!D16="",'Tab3'!D15,'Tab3'!D16)</f>
        <v>11707.421245421247</v>
      </c>
      <c r="Y125" s="173">
        <f>IF('Tab3'!E16="",'Tab3'!E15,'Tab3'!E16)</f>
        <v>14184.867654085045</v>
      </c>
    </row>
    <row r="126" spans="1:25" x14ac:dyDescent="0.2">
      <c r="A126" s="169">
        <v>4</v>
      </c>
      <c r="B126" s="169"/>
      <c r="C126" s="169">
        <f>520-C123-C124-C125</f>
        <v>132.50000000000003</v>
      </c>
      <c r="D126" s="169">
        <f>452.4-D123-D124-D125</f>
        <v>113.1</v>
      </c>
      <c r="E126" s="169"/>
      <c r="F126" s="169"/>
      <c r="G126" s="169"/>
      <c r="I126" s="174">
        <v>96.3</v>
      </c>
      <c r="J126" s="166">
        <v>4</v>
      </c>
      <c r="L126" s="175">
        <v>16638</v>
      </c>
      <c r="M126" s="174">
        <v>233.40000000000009</v>
      </c>
      <c r="N126" s="174">
        <f t="shared" si="4"/>
        <v>379.02657320872294</v>
      </c>
      <c r="O126" s="175">
        <v>7966</v>
      </c>
      <c r="P126" s="174">
        <v>665.80000000000018</v>
      </c>
      <c r="Q126" s="174">
        <f t="shared" si="2"/>
        <v>1081.2163343717555</v>
      </c>
      <c r="R126" s="175">
        <v>13841</v>
      </c>
      <c r="S126" s="174">
        <v>188.00000000000011</v>
      </c>
      <c r="T126" s="174">
        <f t="shared" si="3"/>
        <v>305.29989615784029</v>
      </c>
    </row>
    <row r="127" spans="1:25" x14ac:dyDescent="0.2">
      <c r="A127" s="169">
        <v>1</v>
      </c>
      <c r="B127" s="169">
        <v>1997</v>
      </c>
      <c r="C127" s="169">
        <v>142.6</v>
      </c>
      <c r="D127" s="169">
        <v>124.8</v>
      </c>
      <c r="E127" s="169"/>
      <c r="F127" s="169"/>
      <c r="G127" s="169"/>
      <c r="I127" s="174">
        <v>97.3</v>
      </c>
      <c r="J127" s="166">
        <v>1</v>
      </c>
      <c r="K127" s="166">
        <v>1997</v>
      </c>
      <c r="L127" s="175">
        <v>17837</v>
      </c>
      <c r="M127" s="174">
        <v>255.29999999999998</v>
      </c>
      <c r="N127" s="174">
        <f t="shared" si="4"/>
        <v>410.32980986639262</v>
      </c>
      <c r="O127" s="175">
        <v>7574</v>
      </c>
      <c r="P127" s="174">
        <v>625.70000000000005</v>
      </c>
      <c r="Q127" s="174">
        <f t="shared" si="2"/>
        <v>1005.6535919835562</v>
      </c>
      <c r="R127" s="175">
        <v>10571</v>
      </c>
      <c r="S127" s="174">
        <v>187.8</v>
      </c>
      <c r="T127" s="174">
        <f t="shared" si="3"/>
        <v>301.8407297019528</v>
      </c>
      <c r="V127" s="168" t="s">
        <v>181</v>
      </c>
    </row>
    <row r="128" spans="1:25" x14ac:dyDescent="0.2">
      <c r="A128" s="169">
        <v>2</v>
      </c>
      <c r="B128" s="169"/>
      <c r="C128" s="169">
        <f>284.4-C127</f>
        <v>141.79999999999998</v>
      </c>
      <c r="D128" s="169">
        <f>247.3-D127</f>
        <v>122.50000000000001</v>
      </c>
      <c r="E128" s="169"/>
      <c r="F128" s="169"/>
      <c r="G128" s="169"/>
      <c r="I128" s="174">
        <v>97.7</v>
      </c>
      <c r="J128" s="166">
        <v>2</v>
      </c>
      <c r="L128" s="175">
        <v>16872</v>
      </c>
      <c r="M128" s="174">
        <v>281.30000000000007</v>
      </c>
      <c r="N128" s="174">
        <f t="shared" si="4"/>
        <v>450.26714943705235</v>
      </c>
      <c r="O128" s="175">
        <v>7284</v>
      </c>
      <c r="P128" s="174">
        <v>664.39999999999986</v>
      </c>
      <c r="Q128" s="174">
        <f t="shared" si="2"/>
        <v>1063.4820266120776</v>
      </c>
      <c r="R128" s="175">
        <v>14837</v>
      </c>
      <c r="S128" s="174">
        <v>224.59999999999997</v>
      </c>
      <c r="T128" s="174">
        <f t="shared" si="3"/>
        <v>359.50942681678606</v>
      </c>
      <c r="W128" s="173" t="str">
        <f>+'Tab3'!C6</f>
        <v>2019</v>
      </c>
      <c r="X128" s="173" t="str">
        <f>+'Tab3'!D6</f>
        <v>2020</v>
      </c>
      <c r="Y128" s="173" t="str">
        <f>+'Tab3'!E6</f>
        <v>2021</v>
      </c>
    </row>
    <row r="129" spans="1:25" x14ac:dyDescent="0.2">
      <c r="A129" s="169">
        <v>3</v>
      </c>
      <c r="B129" s="169"/>
      <c r="C129" s="169">
        <f>419.8-C127-C128</f>
        <v>135.40000000000006</v>
      </c>
      <c r="D129" s="169">
        <f>364.6-D127-D128</f>
        <v>117.3</v>
      </c>
      <c r="E129" s="169"/>
      <c r="F129" s="169" t="s">
        <v>74</v>
      </c>
      <c r="G129" s="169"/>
      <c r="I129" s="174">
        <v>97.7</v>
      </c>
      <c r="J129" s="166">
        <v>3</v>
      </c>
      <c r="L129" s="175">
        <v>17873</v>
      </c>
      <c r="M129" s="174">
        <v>297.89999999999998</v>
      </c>
      <c r="N129" s="174">
        <f t="shared" si="4"/>
        <v>476.83819344933471</v>
      </c>
      <c r="O129" s="175">
        <v>14581</v>
      </c>
      <c r="P129" s="174">
        <v>720.30000000000018</v>
      </c>
      <c r="Q129" s="174">
        <f t="shared" si="2"/>
        <v>1152.9592169907885</v>
      </c>
      <c r="R129" s="175">
        <v>15670</v>
      </c>
      <c r="S129" s="174">
        <v>198.80000000000007</v>
      </c>
      <c r="T129" s="174">
        <f t="shared" si="3"/>
        <v>318.21226202661222</v>
      </c>
      <c r="V129" s="169" t="s">
        <v>11</v>
      </c>
      <c r="W129" s="173">
        <f>IF('Tab3'!C30="",'Tab3'!C31,'Tab3'!C32)</f>
        <v>1566.1477556109726</v>
      </c>
      <c r="X129" s="173">
        <f>IF('Tab3'!D30="",'Tab3'!D31,'Tab3'!D32)</f>
        <v>1428.2980049875312</v>
      </c>
      <c r="Y129" s="173">
        <f>IF('Tab3'!E30="",'Tab3'!E31,'Tab3'!E32)</f>
        <v>1433.3104738154614</v>
      </c>
    </row>
    <row r="130" spans="1:25" x14ac:dyDescent="0.2">
      <c r="A130" s="169">
        <v>4</v>
      </c>
      <c r="B130" s="169"/>
      <c r="C130" s="169">
        <f>550.4-C127-C128-C129</f>
        <v>130.59999999999994</v>
      </c>
      <c r="D130" s="169">
        <f>478.3-D127-D128-D129</f>
        <v>113.7</v>
      </c>
      <c r="E130" s="169"/>
      <c r="F130" s="169"/>
      <c r="G130" s="169"/>
      <c r="I130" s="174">
        <v>98.4</v>
      </c>
      <c r="J130" s="166">
        <v>4</v>
      </c>
      <c r="L130" s="175">
        <v>15493</v>
      </c>
      <c r="M130" s="174">
        <v>267.70000000000005</v>
      </c>
      <c r="N130" s="174">
        <f t="shared" si="4"/>
        <v>425.44984247967488</v>
      </c>
      <c r="O130" s="175">
        <v>9445</v>
      </c>
      <c r="P130" s="174">
        <v>564</v>
      </c>
      <c r="Q130" s="174">
        <f t="shared" si="2"/>
        <v>896.35304878048782</v>
      </c>
      <c r="R130" s="175">
        <v>13087</v>
      </c>
      <c r="S130" s="174">
        <v>185.09999999999991</v>
      </c>
      <c r="T130" s="174">
        <f t="shared" si="3"/>
        <v>294.17544207317059</v>
      </c>
      <c r="V130" s="169" t="s">
        <v>12</v>
      </c>
      <c r="W130" s="173">
        <f>IF('Tab3'!C32="",'Tab3'!C33,'Tab3'!C34)</f>
        <v>3033.5280000000002</v>
      </c>
      <c r="X130" s="173">
        <f>IF('Tab3'!D32="",'Tab3'!D33,'Tab3'!D34)</f>
        <v>4087.944</v>
      </c>
      <c r="Y130" s="173">
        <f>IF('Tab3'!E32="",'Tab3'!E33,'Tab3'!E34)</f>
        <v>3104.3150039000002</v>
      </c>
    </row>
    <row r="131" spans="1:25" x14ac:dyDescent="0.2">
      <c r="A131" s="169">
        <v>1</v>
      </c>
      <c r="B131" s="169">
        <v>1998</v>
      </c>
      <c r="C131" s="169">
        <v>150</v>
      </c>
      <c r="D131" s="169">
        <v>131.9</v>
      </c>
      <c r="E131" s="169"/>
      <c r="F131" s="169" t="s">
        <v>78</v>
      </c>
      <c r="G131" s="169"/>
      <c r="I131" s="174">
        <v>99.3</v>
      </c>
      <c r="J131" s="166">
        <v>1</v>
      </c>
      <c r="K131" s="166">
        <v>1998</v>
      </c>
      <c r="L131" s="175">
        <v>17629</v>
      </c>
      <c r="M131" s="174">
        <v>285</v>
      </c>
      <c r="N131" s="174">
        <f t="shared" si="4"/>
        <v>448.83912386706953</v>
      </c>
      <c r="O131" s="175">
        <v>7614</v>
      </c>
      <c r="P131" s="174">
        <v>599.6</v>
      </c>
      <c r="Q131" s="174">
        <f t="shared" si="2"/>
        <v>944.29452165156113</v>
      </c>
      <c r="R131" s="175">
        <v>11958</v>
      </c>
      <c r="S131" s="174">
        <v>185.4</v>
      </c>
      <c r="T131" s="174">
        <f t="shared" si="3"/>
        <v>291.98166163142002</v>
      </c>
      <c r="V131" s="169" t="s">
        <v>7</v>
      </c>
      <c r="W131" s="173">
        <f>IF('Tab3'!C18="",'Tab3'!C17,'Tab3'!C18)</f>
        <v>2645.6721469387758</v>
      </c>
      <c r="X131" s="173">
        <f>IF('Tab3'!D18="",'Tab3'!D17,'Tab3'!D18)</f>
        <v>2497.8568816326533</v>
      </c>
      <c r="Y131" s="173">
        <f>IF('Tab3'!E18="",'Tab3'!E17,'Tab3'!E18)</f>
        <v>2405.7066122448982</v>
      </c>
    </row>
    <row r="132" spans="1:25" x14ac:dyDescent="0.2">
      <c r="A132" s="169">
        <v>2</v>
      </c>
      <c r="B132" s="169"/>
      <c r="C132" s="169">
        <f>289.8-C131</f>
        <v>139.80000000000001</v>
      </c>
      <c r="D132" s="169">
        <f>253.9-D131</f>
        <v>122</v>
      </c>
      <c r="E132" s="169"/>
      <c r="F132" s="169" t="s">
        <v>79</v>
      </c>
      <c r="G132" s="169" t="s">
        <v>80</v>
      </c>
      <c r="I132" s="174">
        <v>99.7</v>
      </c>
      <c r="J132" s="166">
        <v>2</v>
      </c>
      <c r="L132" s="175">
        <v>14484</v>
      </c>
      <c r="M132" s="174">
        <v>253.5</v>
      </c>
      <c r="N132" s="174">
        <f t="shared" si="4"/>
        <v>397.6288615847543</v>
      </c>
      <c r="O132" s="175">
        <v>6009</v>
      </c>
      <c r="P132" s="174">
        <v>576.9</v>
      </c>
      <c r="Q132" s="174">
        <f t="shared" si="2"/>
        <v>904.89976429287867</v>
      </c>
      <c r="R132" s="175">
        <v>15060</v>
      </c>
      <c r="S132" s="174">
        <v>204.20000000000002</v>
      </c>
      <c r="T132" s="174">
        <f t="shared" si="3"/>
        <v>320.29906720160483</v>
      </c>
      <c r="V132" s="166" t="s">
        <v>113</v>
      </c>
      <c r="W132" s="173">
        <f>IF('Tab10'!C8="",'Tab10'!C7,'Tab10'!C8)</f>
        <v>3154.2796002720661</v>
      </c>
      <c r="X132" s="173">
        <f>IF('Tab10'!D8="",'Tab10'!D7,'Tab10'!D8)</f>
        <v>3848.8858368649612</v>
      </c>
      <c r="Y132" s="173">
        <f>IF('Tab10'!E8="",'Tab10'!E7,'Tab10'!E8)</f>
        <v>6189.8587348924812</v>
      </c>
    </row>
    <row r="133" spans="1:25" x14ac:dyDescent="0.2">
      <c r="A133" s="169">
        <v>3</v>
      </c>
      <c r="B133" s="169"/>
      <c r="C133" s="169">
        <f>+E133-C131-C132</f>
        <v>128.09999999999997</v>
      </c>
      <c r="D133" s="169">
        <f>+G133-D131-D132</f>
        <v>112.1</v>
      </c>
      <c r="E133" s="169">
        <v>417.9</v>
      </c>
      <c r="G133" s="169">
        <v>366</v>
      </c>
      <c r="I133" s="178">
        <v>99.8</v>
      </c>
      <c r="J133" s="166">
        <v>3</v>
      </c>
      <c r="L133" s="175">
        <v>15693</v>
      </c>
      <c r="M133" s="174">
        <v>257.89999999999998</v>
      </c>
      <c r="N133" s="174">
        <f t="shared" si="4"/>
        <v>404.12516533066133</v>
      </c>
      <c r="O133" s="175">
        <v>8328</v>
      </c>
      <c r="P133" s="174">
        <v>432.80000000000018</v>
      </c>
      <c r="Q133" s="174">
        <f t="shared" si="2"/>
        <v>678.19066132264572</v>
      </c>
      <c r="R133" s="175">
        <v>17098</v>
      </c>
      <c r="S133" s="174">
        <v>209.60000000000002</v>
      </c>
      <c r="T133" s="174">
        <f t="shared" si="3"/>
        <v>328.43983967935878</v>
      </c>
      <c r="V133" s="169" t="s">
        <v>9</v>
      </c>
      <c r="W133" s="173">
        <f>IF('Tab3'!C22="",'Tab3'!C21,'Tab3'!C22)</f>
        <v>7597.1933333333336</v>
      </c>
      <c r="X133" s="173">
        <f>IF('Tab3'!D22="",'Tab3'!D21,'Tab3'!D22)</f>
        <v>7537.45</v>
      </c>
      <c r="Y133" s="173">
        <f>IF('Tab3'!E22="",'Tab3'!E21,'Tab3'!E22)</f>
        <v>7214.3441666666668</v>
      </c>
    </row>
    <row r="134" spans="1:25" x14ac:dyDescent="0.2">
      <c r="A134" s="169">
        <v>4</v>
      </c>
      <c r="B134" s="169"/>
      <c r="C134" s="169">
        <f>+E134-E133</f>
        <v>141.80000000000007</v>
      </c>
      <c r="D134" s="169">
        <f>+G134-G133</f>
        <v>125.60000000000002</v>
      </c>
      <c r="E134" s="169">
        <v>559.70000000000005</v>
      </c>
      <c r="G134" s="169">
        <v>491.6</v>
      </c>
      <c r="I134" s="178">
        <v>100.7</v>
      </c>
      <c r="J134" s="166">
        <v>4</v>
      </c>
      <c r="L134" s="175">
        <v>16502</v>
      </c>
      <c r="M134" s="174">
        <v>299.10000000000002</v>
      </c>
      <c r="N134" s="174">
        <f t="shared" si="4"/>
        <v>464.49606256206562</v>
      </c>
      <c r="O134" s="175">
        <v>7526</v>
      </c>
      <c r="P134" s="174">
        <v>738.59999999999945</v>
      </c>
      <c r="Q134" s="174">
        <f t="shared" si="2"/>
        <v>1147.0303972194629</v>
      </c>
      <c r="R134" s="175">
        <v>14647</v>
      </c>
      <c r="S134" s="174">
        <v>205.79999999999995</v>
      </c>
      <c r="T134" s="174">
        <f t="shared" si="3"/>
        <v>319.60310824230385</v>
      </c>
    </row>
    <row r="135" spans="1:25" x14ac:dyDescent="0.2">
      <c r="A135" s="169">
        <v>1</v>
      </c>
      <c r="B135" s="169">
        <v>1999</v>
      </c>
      <c r="C135" s="169">
        <f>+E135</f>
        <v>154.19999999999999</v>
      </c>
      <c r="D135" s="169">
        <f>+G135</f>
        <v>137.1</v>
      </c>
      <c r="E135" s="169">
        <v>154.19999999999999</v>
      </c>
      <c r="G135" s="169">
        <v>137.1</v>
      </c>
      <c r="I135" s="178">
        <v>101.4</v>
      </c>
      <c r="J135" s="166">
        <v>1</v>
      </c>
      <c r="K135" s="166">
        <v>1999</v>
      </c>
      <c r="L135" s="175">
        <v>18095</v>
      </c>
      <c r="M135" s="174">
        <v>328.50000000000006</v>
      </c>
      <c r="N135" s="174">
        <f t="shared" si="4"/>
        <v>506.63187869822497</v>
      </c>
      <c r="O135" s="175">
        <v>8863</v>
      </c>
      <c r="P135" s="174">
        <v>689.1</v>
      </c>
      <c r="Q135" s="174">
        <f t="shared" si="2"/>
        <v>1062.7702514792902</v>
      </c>
      <c r="R135" s="175">
        <v>11175</v>
      </c>
      <c r="S135" s="174">
        <v>162.80000000000001</v>
      </c>
      <c r="T135" s="174">
        <f t="shared" si="3"/>
        <v>251.0796646942801</v>
      </c>
    </row>
    <row r="136" spans="1:25" x14ac:dyDescent="0.2">
      <c r="A136" s="169">
        <v>2</v>
      </c>
      <c r="B136" s="169"/>
      <c r="C136" s="169">
        <f>+E136-E135</f>
        <v>159.30000000000001</v>
      </c>
      <c r="D136" s="169">
        <f>+G136-G135</f>
        <v>140.70000000000002</v>
      </c>
      <c r="E136" s="169">
        <v>313.5</v>
      </c>
      <c r="G136" s="169">
        <v>277.8</v>
      </c>
      <c r="I136" s="178">
        <v>102.2</v>
      </c>
      <c r="J136" s="166">
        <v>2</v>
      </c>
      <c r="L136" s="175">
        <v>12899</v>
      </c>
      <c r="M136" s="174">
        <v>332.7</v>
      </c>
      <c r="N136" s="174">
        <f t="shared" si="4"/>
        <v>509.09285225048927</v>
      </c>
      <c r="O136" s="175">
        <v>5920</v>
      </c>
      <c r="P136" s="174">
        <v>874.6</v>
      </c>
      <c r="Q136" s="174">
        <f t="shared" si="2"/>
        <v>1338.3005968688847</v>
      </c>
      <c r="R136" s="175">
        <v>12451</v>
      </c>
      <c r="S136" s="174">
        <v>199.09999999999997</v>
      </c>
      <c r="T136" s="174">
        <f t="shared" si="3"/>
        <v>304.66001467710373</v>
      </c>
    </row>
    <row r="137" spans="1:25" x14ac:dyDescent="0.2">
      <c r="A137" s="169">
        <v>3</v>
      </c>
      <c r="B137" s="169"/>
      <c r="C137" s="169">
        <f>+E137-E136</f>
        <v>146.30000000000001</v>
      </c>
      <c r="D137" s="169">
        <f>+G137-G136</f>
        <v>128.69999999999999</v>
      </c>
      <c r="E137" s="169">
        <v>459.8</v>
      </c>
      <c r="G137" s="169">
        <v>406.5</v>
      </c>
      <c r="I137" s="178">
        <v>101.7</v>
      </c>
      <c r="J137" s="166">
        <v>3</v>
      </c>
      <c r="L137" s="175">
        <v>23305</v>
      </c>
      <c r="M137" s="174">
        <v>445.5</v>
      </c>
      <c r="N137" s="174">
        <f t="shared" si="4"/>
        <v>685.04933628318588</v>
      </c>
      <c r="O137" s="175">
        <v>11181</v>
      </c>
      <c r="P137" s="174">
        <v>566.99999999999977</v>
      </c>
      <c r="Q137" s="174">
        <f t="shared" si="2"/>
        <v>871.88097345132712</v>
      </c>
      <c r="R137" s="175">
        <v>18817</v>
      </c>
      <c r="S137" s="174">
        <v>227.70000000000005</v>
      </c>
      <c r="T137" s="174">
        <f t="shared" si="3"/>
        <v>350.13632743362848</v>
      </c>
    </row>
    <row r="138" spans="1:25" x14ac:dyDescent="0.2">
      <c r="A138" s="169">
        <v>4</v>
      </c>
      <c r="B138" s="169"/>
      <c r="C138" s="169">
        <f>+E138-E137</f>
        <v>141.90000000000003</v>
      </c>
      <c r="D138" s="169">
        <f>+G138-G137</f>
        <v>126.39999999999998</v>
      </c>
      <c r="E138" s="169">
        <v>601.70000000000005</v>
      </c>
      <c r="G138" s="169">
        <v>532.9</v>
      </c>
      <c r="I138" s="174">
        <v>103.5</v>
      </c>
      <c r="J138" s="166">
        <v>4</v>
      </c>
      <c r="L138" s="175">
        <v>18359</v>
      </c>
      <c r="M138" s="174">
        <v>410.59999999999968</v>
      </c>
      <c r="N138" s="174">
        <f t="shared" si="4"/>
        <v>620.40271497584502</v>
      </c>
      <c r="O138" s="175">
        <v>9544</v>
      </c>
      <c r="P138" s="174">
        <v>935.5</v>
      </c>
      <c r="Q138" s="174">
        <f t="shared" si="2"/>
        <v>1413.5088647342998</v>
      </c>
      <c r="R138" s="175">
        <v>13692</v>
      </c>
      <c r="S138" s="174">
        <v>192.19999999999993</v>
      </c>
      <c r="T138" s="174">
        <f t="shared" si="3"/>
        <v>290.40770048309173</v>
      </c>
    </row>
    <row r="139" spans="1:25" x14ac:dyDescent="0.2">
      <c r="A139" s="169">
        <v>1</v>
      </c>
      <c r="B139" s="169">
        <v>2000</v>
      </c>
      <c r="C139" s="169">
        <f>+E139</f>
        <v>169.1</v>
      </c>
      <c r="D139" s="169">
        <f>+G139</f>
        <v>150.9</v>
      </c>
      <c r="E139" s="169">
        <v>169.1</v>
      </c>
      <c r="G139" s="169">
        <v>150.9</v>
      </c>
      <c r="I139" s="174">
        <v>104.6</v>
      </c>
      <c r="J139" s="166">
        <v>1</v>
      </c>
      <c r="K139" s="166">
        <v>2000</v>
      </c>
      <c r="L139" s="175">
        <v>17570</v>
      </c>
      <c r="M139" s="174">
        <v>345.9</v>
      </c>
      <c r="N139" s="174">
        <f t="shared" si="4"/>
        <v>517.14695506692169</v>
      </c>
      <c r="O139" s="175">
        <v>9154</v>
      </c>
      <c r="P139" s="174">
        <v>819.9</v>
      </c>
      <c r="Q139" s="174">
        <f t="shared" si="2"/>
        <v>1225.8132074569792</v>
      </c>
      <c r="R139" s="175">
        <v>12421</v>
      </c>
      <c r="S139" s="174">
        <v>198</v>
      </c>
      <c r="T139" s="174">
        <f t="shared" si="3"/>
        <v>296.02514340344175</v>
      </c>
    </row>
    <row r="140" spans="1:25" x14ac:dyDescent="0.2">
      <c r="A140" s="169">
        <v>2</v>
      </c>
      <c r="B140" s="169"/>
      <c r="C140" s="169">
        <f>+E140-E139</f>
        <v>151.50000000000003</v>
      </c>
      <c r="D140" s="169">
        <f>+G140-G139</f>
        <v>133.4</v>
      </c>
      <c r="E140" s="169">
        <v>320.60000000000002</v>
      </c>
      <c r="G140" s="169">
        <v>284.3</v>
      </c>
      <c r="I140" s="174">
        <v>105.1</v>
      </c>
      <c r="J140" s="166">
        <v>2</v>
      </c>
      <c r="L140" s="175">
        <v>14069</v>
      </c>
      <c r="M140" s="174">
        <v>252.39999999999998</v>
      </c>
      <c r="N140" s="174">
        <f t="shared" si="4"/>
        <v>375.56207421503336</v>
      </c>
      <c r="O140" s="175">
        <v>10238</v>
      </c>
      <c r="P140" s="174">
        <v>674.19999999999993</v>
      </c>
      <c r="Q140" s="174">
        <f t="shared" si="2"/>
        <v>1003.1852235965748</v>
      </c>
      <c r="R140" s="175">
        <v>13950</v>
      </c>
      <c r="S140" s="174">
        <v>184.5</v>
      </c>
      <c r="T140" s="174">
        <f t="shared" si="3"/>
        <v>274.52932921027599</v>
      </c>
    </row>
    <row r="141" spans="1:25" x14ac:dyDescent="0.2">
      <c r="A141" s="169">
        <v>3</v>
      </c>
      <c r="B141" s="169"/>
      <c r="C141" s="169">
        <f>+E141-E140</f>
        <v>139</v>
      </c>
      <c r="D141" s="169">
        <f>+G141-G140</f>
        <v>123.5</v>
      </c>
      <c r="E141" s="169">
        <v>459.6</v>
      </c>
      <c r="G141" s="169">
        <v>407.8</v>
      </c>
      <c r="I141" s="174">
        <v>105.3</v>
      </c>
      <c r="J141" s="166">
        <v>3</v>
      </c>
      <c r="L141" s="175">
        <v>16329</v>
      </c>
      <c r="M141" s="174">
        <v>313.5</v>
      </c>
      <c r="N141" s="174">
        <f t="shared" si="4"/>
        <v>465.59066951566956</v>
      </c>
      <c r="O141" s="175">
        <v>13877</v>
      </c>
      <c r="P141" s="174">
        <v>706.20000000000027</v>
      </c>
      <c r="Q141" s="174">
        <f t="shared" si="2"/>
        <v>1048.8042450142455</v>
      </c>
      <c r="R141" s="175">
        <v>14850</v>
      </c>
      <c r="S141" s="174">
        <v>193.89999999999998</v>
      </c>
      <c r="T141" s="174">
        <f t="shared" si="3"/>
        <v>287.96820037986703</v>
      </c>
    </row>
    <row r="142" spans="1:25" x14ac:dyDescent="0.2">
      <c r="A142" s="169">
        <v>4</v>
      </c>
      <c r="B142" s="169"/>
      <c r="C142" s="169">
        <f>+E142-E141</f>
        <v>135.10000000000002</v>
      </c>
      <c r="D142" s="169">
        <f>+G142-G141</f>
        <v>121.40000000000003</v>
      </c>
      <c r="E142" s="169">
        <v>594.70000000000005</v>
      </c>
      <c r="G142" s="169">
        <v>529.20000000000005</v>
      </c>
      <c r="I142" s="174">
        <v>106.8</v>
      </c>
      <c r="J142" s="166">
        <v>4</v>
      </c>
      <c r="L142" s="175">
        <v>21735</v>
      </c>
      <c r="M142" s="174">
        <v>484.79999999999995</v>
      </c>
      <c r="N142" s="174">
        <f t="shared" si="4"/>
        <v>709.88247191011237</v>
      </c>
      <c r="O142" s="175">
        <v>9978</v>
      </c>
      <c r="P142" s="174">
        <v>739.19999999999982</v>
      </c>
      <c r="Q142" s="174">
        <f t="shared" si="2"/>
        <v>1082.3950561797751</v>
      </c>
      <c r="R142" s="175">
        <v>13212</v>
      </c>
      <c r="S142" s="174">
        <v>215</v>
      </c>
      <c r="T142" s="174">
        <f t="shared" si="3"/>
        <v>314.81999063670418</v>
      </c>
    </row>
    <row r="143" spans="1:25" x14ac:dyDescent="0.2">
      <c r="A143" s="169">
        <v>1</v>
      </c>
      <c r="B143" s="169">
        <v>2001</v>
      </c>
      <c r="C143" s="169">
        <f>+E143</f>
        <v>158.5</v>
      </c>
      <c r="D143" s="169">
        <f>+G143</f>
        <v>143.1</v>
      </c>
      <c r="E143" s="169">
        <v>158.5</v>
      </c>
      <c r="G143" s="169">
        <v>143.1</v>
      </c>
      <c r="I143" s="174">
        <v>108.4</v>
      </c>
      <c r="J143" s="166">
        <v>1</v>
      </c>
      <c r="K143" s="166">
        <v>2001</v>
      </c>
      <c r="L143" s="175">
        <v>27280</v>
      </c>
      <c r="M143" s="174">
        <v>675.3</v>
      </c>
      <c r="N143" s="174">
        <f t="shared" si="4"/>
        <v>974.2323846863469</v>
      </c>
      <c r="O143" s="175">
        <v>7776</v>
      </c>
      <c r="P143" s="174">
        <v>877</v>
      </c>
      <c r="Q143" s="174">
        <f t="shared" si="2"/>
        <v>1265.2181273062731</v>
      </c>
      <c r="R143" s="175">
        <v>10538</v>
      </c>
      <c r="S143" s="174">
        <v>164.1</v>
      </c>
      <c r="T143" s="174">
        <f t="shared" si="3"/>
        <v>236.74149907749077</v>
      </c>
    </row>
    <row r="144" spans="1:25" x14ac:dyDescent="0.2">
      <c r="A144" s="169">
        <v>2</v>
      </c>
      <c r="B144" s="169"/>
      <c r="C144" s="169">
        <f>+E144-E143</f>
        <v>140.45999999999998</v>
      </c>
      <c r="D144" s="169">
        <f>+G144-G143</f>
        <v>125.70000000000002</v>
      </c>
      <c r="E144" s="169">
        <v>298.95999999999998</v>
      </c>
      <c r="G144" s="169">
        <v>268.8</v>
      </c>
      <c r="I144" s="174">
        <v>109.6</v>
      </c>
      <c r="J144" s="166">
        <v>2</v>
      </c>
      <c r="L144" s="175">
        <v>17111</v>
      </c>
      <c r="M144" s="174">
        <v>452</v>
      </c>
      <c r="N144" s="174">
        <f t="shared" si="4"/>
        <v>644.9454379562045</v>
      </c>
      <c r="O144" s="175">
        <v>5711</v>
      </c>
      <c r="P144" s="174">
        <v>923</v>
      </c>
      <c r="Q144" s="174">
        <f t="shared" si="2"/>
        <v>1317.0014142335767</v>
      </c>
      <c r="R144" s="175">
        <v>11841</v>
      </c>
      <c r="S144" s="174">
        <v>190.29999999999998</v>
      </c>
      <c r="T144" s="174">
        <f t="shared" si="3"/>
        <v>271.5334443430657</v>
      </c>
    </row>
    <row r="145" spans="1:20" x14ac:dyDescent="0.2">
      <c r="A145" s="169">
        <v>3</v>
      </c>
      <c r="C145" s="169">
        <f>+E145-E144</f>
        <v>134.24</v>
      </c>
      <c r="D145" s="169">
        <f>+G145-G144</f>
        <v>119.19999999999999</v>
      </c>
      <c r="E145" s="169">
        <v>433.2</v>
      </c>
      <c r="G145" s="169">
        <v>388</v>
      </c>
      <c r="I145" s="174">
        <v>108.1</v>
      </c>
      <c r="J145" s="166">
        <v>3</v>
      </c>
      <c r="L145" s="175">
        <v>16407</v>
      </c>
      <c r="M145" s="174">
        <v>400.40000000000009</v>
      </c>
      <c r="N145" s="174">
        <f t="shared" si="4"/>
        <v>579.24656799259969</v>
      </c>
      <c r="O145" s="175">
        <v>15359</v>
      </c>
      <c r="P145" s="174">
        <v>1172.1999999999998</v>
      </c>
      <c r="Q145" s="174">
        <f t="shared" si="2"/>
        <v>1695.7862812210917</v>
      </c>
      <c r="R145" s="175">
        <v>13534</v>
      </c>
      <c r="S145" s="174">
        <v>158.5</v>
      </c>
      <c r="T145" s="174">
        <f t="shared" si="3"/>
        <v>229.29715541165589</v>
      </c>
    </row>
    <row r="146" spans="1:20" x14ac:dyDescent="0.2">
      <c r="A146" s="169">
        <v>4</v>
      </c>
      <c r="C146" s="169">
        <f>+E146-E145</f>
        <v>137.49520000000001</v>
      </c>
      <c r="D146" s="169">
        <f>+G146-G145</f>
        <v>124.07220000000007</v>
      </c>
      <c r="E146" s="177">
        <v>570.6952</v>
      </c>
      <c r="F146" s="182"/>
      <c r="G146" s="177">
        <v>512.07220000000007</v>
      </c>
      <c r="I146" s="174">
        <v>108.7</v>
      </c>
      <c r="J146" s="166">
        <v>4</v>
      </c>
      <c r="L146" s="175">
        <v>16945</v>
      </c>
      <c r="M146" s="174">
        <v>509.39999999999986</v>
      </c>
      <c r="N146" s="174">
        <f t="shared" si="4"/>
        <v>732.86586016559318</v>
      </c>
      <c r="O146" s="175">
        <v>9601</v>
      </c>
      <c r="P146" s="174">
        <v>803.30000000000018</v>
      </c>
      <c r="Q146" s="174">
        <f t="shared" si="2"/>
        <v>1155.6952207911688</v>
      </c>
      <c r="R146" s="175">
        <v>12341</v>
      </c>
      <c r="S146" s="174">
        <v>258.5</v>
      </c>
      <c r="T146" s="174">
        <f t="shared" si="3"/>
        <v>371.8999310027599</v>
      </c>
    </row>
    <row r="147" spans="1:20" x14ac:dyDescent="0.2">
      <c r="A147" s="169">
        <v>1</v>
      </c>
      <c r="B147" s="169">
        <v>2002</v>
      </c>
      <c r="C147" s="169">
        <f>+E147</f>
        <v>155.81399999999999</v>
      </c>
      <c r="D147" s="169">
        <f>+G147</f>
        <v>141.72399999999999</v>
      </c>
      <c r="E147" s="177">
        <v>155.81399999999999</v>
      </c>
      <c r="F147" s="182"/>
      <c r="G147" s="177">
        <v>141.72399999999999</v>
      </c>
      <c r="I147" s="174">
        <v>109.3</v>
      </c>
      <c r="J147" s="166">
        <v>1</v>
      </c>
      <c r="K147" s="166">
        <v>2002</v>
      </c>
      <c r="L147" s="175">
        <v>17523</v>
      </c>
      <c r="M147" s="174">
        <v>466.5</v>
      </c>
      <c r="N147" s="174">
        <f t="shared" si="4"/>
        <v>667.46205397987194</v>
      </c>
      <c r="O147" s="175">
        <v>6856</v>
      </c>
      <c r="P147" s="174">
        <v>820.40000000000009</v>
      </c>
      <c r="Q147" s="174">
        <f t="shared" si="2"/>
        <v>1173.817511436414</v>
      </c>
      <c r="R147" s="175">
        <v>9371</v>
      </c>
      <c r="S147" s="174">
        <v>197.9</v>
      </c>
      <c r="T147" s="174">
        <f t="shared" si="3"/>
        <v>283.15271271729188</v>
      </c>
    </row>
    <row r="148" spans="1:20" x14ac:dyDescent="0.2">
      <c r="A148" s="169">
        <v>2</v>
      </c>
      <c r="B148" s="169"/>
      <c r="C148" s="169">
        <f>+E148-E147</f>
        <v>146.54300000000003</v>
      </c>
      <c r="D148" s="169">
        <f>+G148-G147</f>
        <v>133.19</v>
      </c>
      <c r="E148" s="169">
        <v>302.35700000000003</v>
      </c>
      <c r="G148" s="169">
        <v>274.91399999999999</v>
      </c>
      <c r="I148" s="174">
        <v>110</v>
      </c>
      <c r="J148" s="166">
        <v>2</v>
      </c>
      <c r="L148" s="175">
        <v>17469</v>
      </c>
      <c r="M148" s="174">
        <v>408.5</v>
      </c>
      <c r="N148" s="174">
        <f t="shared" si="4"/>
        <v>580.75702272727278</v>
      </c>
      <c r="O148" s="175">
        <v>9323</v>
      </c>
      <c r="P148" s="174">
        <v>689.09999999999991</v>
      </c>
      <c r="Q148" s="174">
        <f t="shared" si="2"/>
        <v>979.68094090909085</v>
      </c>
      <c r="R148" s="175">
        <v>14749</v>
      </c>
      <c r="S148" s="174">
        <v>233.49999999999997</v>
      </c>
      <c r="T148" s="174">
        <f t="shared" si="3"/>
        <v>331.96270454545459</v>
      </c>
    </row>
    <row r="149" spans="1:20" x14ac:dyDescent="0.2">
      <c r="A149" s="169">
        <v>3</v>
      </c>
      <c r="C149" s="169">
        <f>+E149-E148</f>
        <v>146.23099999999999</v>
      </c>
      <c r="D149" s="169">
        <f>+G149-G148</f>
        <v>127.14100000000002</v>
      </c>
      <c r="E149" s="169">
        <v>448.58800000000002</v>
      </c>
      <c r="G149" s="169">
        <v>402.05500000000001</v>
      </c>
      <c r="I149" s="174">
        <v>109.6</v>
      </c>
      <c r="J149" s="166">
        <v>3</v>
      </c>
      <c r="L149" s="175">
        <v>19641</v>
      </c>
      <c r="M149" s="174">
        <v>503</v>
      </c>
      <c r="N149" s="174">
        <f t="shared" si="4"/>
        <v>717.71583029197086</v>
      </c>
      <c r="O149" s="175">
        <v>17422</v>
      </c>
      <c r="P149" s="174">
        <v>895.90000000000009</v>
      </c>
      <c r="Q149" s="174">
        <f t="shared" si="2"/>
        <v>1278.3332253649637</v>
      </c>
      <c r="R149" s="175">
        <v>14722</v>
      </c>
      <c r="S149" s="174">
        <v>184.5</v>
      </c>
      <c r="T149" s="174">
        <f t="shared" si="3"/>
        <v>263.25759580291975</v>
      </c>
    </row>
    <row r="150" spans="1:20" x14ac:dyDescent="0.2">
      <c r="A150" s="169">
        <v>4</v>
      </c>
      <c r="C150" s="169">
        <f>+E150-E149</f>
        <v>137.96699999999993</v>
      </c>
      <c r="D150" s="169">
        <f>+G150-G149</f>
        <v>124.64100000000002</v>
      </c>
      <c r="E150" s="177">
        <v>586.55499999999995</v>
      </c>
      <c r="F150" s="182"/>
      <c r="G150" s="177">
        <v>526.69600000000003</v>
      </c>
      <c r="I150" s="174">
        <v>111</v>
      </c>
      <c r="J150" s="166">
        <v>4</v>
      </c>
      <c r="L150" s="175">
        <v>17442</v>
      </c>
      <c r="M150" s="174">
        <v>464.20000000000005</v>
      </c>
      <c r="N150" s="174">
        <f t="shared" si="4"/>
        <v>653.9992522522524</v>
      </c>
      <c r="O150" s="175">
        <v>8123</v>
      </c>
      <c r="P150" s="174">
        <v>938.5</v>
      </c>
      <c r="Q150" s="174">
        <f t="shared" si="2"/>
        <v>1322.2281306306309</v>
      </c>
      <c r="R150" s="175">
        <v>14689</v>
      </c>
      <c r="S150" s="174">
        <v>194.00000000000011</v>
      </c>
      <c r="T150" s="174">
        <f t="shared" si="3"/>
        <v>273.32153153153172</v>
      </c>
    </row>
    <row r="151" spans="1:20" x14ac:dyDescent="0.2">
      <c r="A151" s="169">
        <v>1</v>
      </c>
      <c r="B151" s="169">
        <v>2003</v>
      </c>
      <c r="C151" s="177">
        <f>+E151</f>
        <v>165.679</v>
      </c>
      <c r="D151" s="169">
        <f>+G151</f>
        <v>150.81100000000001</v>
      </c>
      <c r="E151" s="177">
        <v>165.679</v>
      </c>
      <c r="F151" s="182"/>
      <c r="G151" s="177">
        <v>150.81100000000001</v>
      </c>
      <c r="I151" s="174">
        <v>114.6</v>
      </c>
      <c r="J151" s="166">
        <v>1</v>
      </c>
      <c r="K151" s="166">
        <v>2003</v>
      </c>
      <c r="L151" s="175">
        <v>22781</v>
      </c>
      <c r="M151" s="174">
        <v>626.79999999999995</v>
      </c>
      <c r="N151" s="174">
        <f t="shared" si="4"/>
        <v>855.34134380453759</v>
      </c>
      <c r="O151" s="175">
        <v>6823</v>
      </c>
      <c r="P151" s="174">
        <v>1087.2</v>
      </c>
      <c r="Q151" s="174">
        <f t="shared" si="2"/>
        <v>1483.6105759162308</v>
      </c>
      <c r="R151" s="175">
        <v>10626</v>
      </c>
      <c r="S151" s="174">
        <v>183</v>
      </c>
      <c r="T151" s="174">
        <f t="shared" si="3"/>
        <v>249.72473821989533</v>
      </c>
    </row>
    <row r="152" spans="1:20" x14ac:dyDescent="0.2">
      <c r="A152" s="169">
        <v>2</v>
      </c>
      <c r="B152" s="169"/>
      <c r="C152" s="177">
        <f>+E152-E151</f>
        <v>135.02099999999999</v>
      </c>
      <c r="D152" s="169">
        <f>+G152-G151</f>
        <v>121.10099999999997</v>
      </c>
      <c r="E152" s="169">
        <v>300.7</v>
      </c>
      <c r="G152" s="169">
        <v>271.91199999999998</v>
      </c>
      <c r="I152" s="174">
        <v>112.3</v>
      </c>
      <c r="J152" s="166">
        <v>2</v>
      </c>
      <c r="L152" s="175">
        <v>15417</v>
      </c>
      <c r="M152" s="174">
        <v>406.10000000000014</v>
      </c>
      <c r="N152" s="174">
        <f t="shared" si="4"/>
        <v>565.52046749777412</v>
      </c>
      <c r="O152" s="175">
        <v>5618</v>
      </c>
      <c r="P152" s="174">
        <v>817.8</v>
      </c>
      <c r="Q152" s="174">
        <f t="shared" si="2"/>
        <v>1138.8392965271596</v>
      </c>
      <c r="R152" s="175">
        <v>12719</v>
      </c>
      <c r="S152" s="174">
        <v>203.2</v>
      </c>
      <c r="T152" s="174">
        <f t="shared" si="3"/>
        <v>282.96911843276939</v>
      </c>
    </row>
    <row r="153" spans="1:20" x14ac:dyDescent="0.2">
      <c r="A153" s="169">
        <v>3</v>
      </c>
      <c r="B153" s="169"/>
      <c r="C153" s="177">
        <f>+E153-E152</f>
        <v>134.11099999999999</v>
      </c>
      <c r="D153" s="169">
        <f>+G153-G152</f>
        <v>119.49100000000004</v>
      </c>
      <c r="E153" s="169">
        <v>434.81099999999998</v>
      </c>
      <c r="G153" s="169">
        <v>391.40300000000002</v>
      </c>
      <c r="I153" s="174">
        <v>111.9</v>
      </c>
      <c r="J153" s="166">
        <v>3</v>
      </c>
      <c r="L153" s="175">
        <v>18848</v>
      </c>
      <c r="M153" s="174">
        <v>430.5</v>
      </c>
      <c r="N153" s="174">
        <f t="shared" si="4"/>
        <v>601.64202412868633</v>
      </c>
      <c r="O153" s="175">
        <v>16056</v>
      </c>
      <c r="P153" s="174">
        <v>860.19999999999982</v>
      </c>
      <c r="Q153" s="174">
        <f t="shared" si="2"/>
        <v>1202.1660142984806</v>
      </c>
      <c r="R153" s="175">
        <v>13690</v>
      </c>
      <c r="S153" s="174">
        <v>188.8</v>
      </c>
      <c r="T153" s="174">
        <f t="shared" si="3"/>
        <v>263.85601429848083</v>
      </c>
    </row>
    <row r="154" spans="1:20" x14ac:dyDescent="0.2">
      <c r="A154" s="169">
        <v>4</v>
      </c>
      <c r="B154" s="169"/>
      <c r="C154" s="177">
        <f>+E154-E153</f>
        <v>142.01299999999998</v>
      </c>
      <c r="D154" s="169">
        <f>+G154-G153</f>
        <v>125.95899999999995</v>
      </c>
      <c r="E154" s="169">
        <v>576.82399999999996</v>
      </c>
      <c r="G154" s="169">
        <v>517.36199999999997</v>
      </c>
      <c r="I154" s="174">
        <v>112.6</v>
      </c>
      <c r="J154" s="166">
        <v>4</v>
      </c>
      <c r="L154" s="175">
        <v>16096</v>
      </c>
      <c r="M154" s="174">
        <v>471.89999999999986</v>
      </c>
      <c r="N154" s="174">
        <f t="shared" si="4"/>
        <v>655.40036856127881</v>
      </c>
      <c r="O154" s="175">
        <v>7652</v>
      </c>
      <c r="P154" s="174">
        <v>762.30000000000018</v>
      </c>
      <c r="Q154" s="174">
        <f t="shared" si="2"/>
        <v>1058.7236722912971</v>
      </c>
      <c r="R154" s="175">
        <v>11607</v>
      </c>
      <c r="S154" s="174">
        <v>220.90000000000009</v>
      </c>
      <c r="T154" s="174">
        <f t="shared" si="3"/>
        <v>306.79792628774442</v>
      </c>
    </row>
    <row r="155" spans="1:20" x14ac:dyDescent="0.2">
      <c r="A155" s="169">
        <v>1</v>
      </c>
      <c r="B155" s="169">
        <v>2004</v>
      </c>
      <c r="C155" s="177">
        <f>+E155</f>
        <v>168.309</v>
      </c>
      <c r="D155" s="169">
        <f>+G155</f>
        <v>153.04300000000001</v>
      </c>
      <c r="E155" s="169">
        <v>168.309</v>
      </c>
      <c r="G155" s="169">
        <v>153.04300000000001</v>
      </c>
      <c r="I155" s="174">
        <v>112.6</v>
      </c>
      <c r="J155" s="166">
        <v>1</v>
      </c>
      <c r="K155" s="166">
        <v>2004</v>
      </c>
      <c r="L155" s="175">
        <v>17805</v>
      </c>
      <c r="M155" s="174">
        <v>517.69999999999993</v>
      </c>
      <c r="N155" s="174">
        <f t="shared" si="4"/>
        <v>719.00989786856132</v>
      </c>
      <c r="O155" s="175">
        <v>7033</v>
      </c>
      <c r="P155" s="174">
        <v>735.2</v>
      </c>
      <c r="Q155" s="174">
        <f t="shared" si="2"/>
        <v>1021.0857193605686</v>
      </c>
      <c r="R155" s="175">
        <v>8913</v>
      </c>
      <c r="S155" s="174">
        <v>178.89999999999998</v>
      </c>
      <c r="T155" s="174">
        <f t="shared" si="3"/>
        <v>248.4660435168739</v>
      </c>
    </row>
    <row r="156" spans="1:20" x14ac:dyDescent="0.2">
      <c r="A156" s="169">
        <v>2</v>
      </c>
      <c r="B156" s="169"/>
      <c r="C156" s="177">
        <f>+E156-E155</f>
        <v>140.26700000000002</v>
      </c>
      <c r="D156" s="169">
        <f>+G156-G155</f>
        <v>125.56799999999998</v>
      </c>
      <c r="E156" s="169">
        <v>308.57600000000002</v>
      </c>
      <c r="G156" s="169">
        <v>278.61099999999999</v>
      </c>
      <c r="I156" s="174">
        <v>113.4</v>
      </c>
      <c r="J156" s="166">
        <v>2</v>
      </c>
      <c r="L156" s="175">
        <v>13855</v>
      </c>
      <c r="M156" s="174">
        <v>344.69999999999993</v>
      </c>
      <c r="N156" s="174">
        <f t="shared" si="4"/>
        <v>475.36075396825396</v>
      </c>
      <c r="O156" s="175">
        <v>6436</v>
      </c>
      <c r="P156" s="174">
        <v>708.3</v>
      </c>
      <c r="Q156" s="174">
        <f t="shared" si="2"/>
        <v>976.78567460317458</v>
      </c>
      <c r="R156" s="175">
        <v>10802</v>
      </c>
      <c r="S156" s="174">
        <v>228.40000000000003</v>
      </c>
      <c r="T156" s="174">
        <f t="shared" si="3"/>
        <v>314.97649029982369</v>
      </c>
    </row>
    <row r="157" spans="1:20" x14ac:dyDescent="0.2">
      <c r="A157" s="169">
        <v>3</v>
      </c>
      <c r="B157" s="169"/>
      <c r="C157" s="177">
        <f>+E157-E156</f>
        <v>137.76999999999998</v>
      </c>
      <c r="D157" s="169">
        <f>+G157-G156</f>
        <v>123.12100000000004</v>
      </c>
      <c r="E157" s="169">
        <v>446.346</v>
      </c>
      <c r="G157" s="169">
        <v>401.73200000000003</v>
      </c>
      <c r="I157" s="174">
        <v>113</v>
      </c>
      <c r="J157" s="166">
        <v>3</v>
      </c>
      <c r="L157" s="175">
        <v>17630</v>
      </c>
      <c r="M157" s="174">
        <v>454.09999999999991</v>
      </c>
      <c r="N157" s="174">
        <f t="shared" si="4"/>
        <v>628.44626991150437</v>
      </c>
      <c r="O157" s="175">
        <v>11805</v>
      </c>
      <c r="P157" s="174">
        <v>652.69999999999982</v>
      </c>
      <c r="Q157" s="174">
        <f t="shared" si="2"/>
        <v>903.29636725663704</v>
      </c>
      <c r="R157" s="175">
        <v>11365</v>
      </c>
      <c r="S157" s="174">
        <v>160.7999999999999</v>
      </c>
      <c r="T157" s="174">
        <f t="shared" si="3"/>
        <v>222.53723893805298</v>
      </c>
    </row>
    <row r="158" spans="1:20" x14ac:dyDescent="0.2">
      <c r="A158" s="169">
        <v>4</v>
      </c>
      <c r="B158" s="169"/>
      <c r="C158" s="177">
        <f>+E158-E157</f>
        <v>137.68499999999995</v>
      </c>
      <c r="D158" s="169">
        <f>+G158-G157</f>
        <v>124.50600000000003</v>
      </c>
      <c r="E158" s="169">
        <v>584.03099999999995</v>
      </c>
      <c r="G158" s="169">
        <v>526.23800000000006</v>
      </c>
      <c r="I158" s="174">
        <v>114</v>
      </c>
      <c r="J158" s="166">
        <v>4</v>
      </c>
      <c r="L158" s="175">
        <v>16674</v>
      </c>
      <c r="M158" s="174">
        <v>428.20000000000027</v>
      </c>
      <c r="N158" s="174">
        <f t="shared" si="4"/>
        <v>587.40400877193031</v>
      </c>
      <c r="O158" s="175">
        <v>10088</v>
      </c>
      <c r="P158" s="174">
        <v>709.40000000000055</v>
      </c>
      <c r="Q158" s="174">
        <f t="shared" si="2"/>
        <v>973.15367543859736</v>
      </c>
      <c r="R158" s="175">
        <v>9276</v>
      </c>
      <c r="S158" s="174">
        <v>162.90000000000009</v>
      </c>
      <c r="T158" s="174">
        <f t="shared" si="3"/>
        <v>223.46593421052646</v>
      </c>
    </row>
    <row r="159" spans="1:20" x14ac:dyDescent="0.2">
      <c r="A159" s="169">
        <v>1</v>
      </c>
      <c r="B159" s="169">
        <v>2005</v>
      </c>
      <c r="C159" s="177">
        <f>+E159</f>
        <v>147.31100000000001</v>
      </c>
      <c r="D159" s="169">
        <f>+G159</f>
        <v>133.756</v>
      </c>
      <c r="E159" s="169">
        <v>147.31100000000001</v>
      </c>
      <c r="G159" s="169">
        <v>133.756</v>
      </c>
      <c r="I159" s="174">
        <v>113.7</v>
      </c>
      <c r="J159" s="166">
        <v>1</v>
      </c>
      <c r="K159" s="166">
        <v>2005</v>
      </c>
      <c r="L159" s="175">
        <v>15151</v>
      </c>
      <c r="M159" s="174">
        <v>418</v>
      </c>
      <c r="N159" s="174">
        <f t="shared" si="4"/>
        <v>574.92462620932281</v>
      </c>
      <c r="O159" s="175">
        <v>7287</v>
      </c>
      <c r="P159" s="174">
        <v>715.2</v>
      </c>
      <c r="Q159" s="174">
        <f t="shared" si="2"/>
        <v>983.69878627968353</v>
      </c>
      <c r="R159" s="175">
        <v>7498</v>
      </c>
      <c r="S159" s="174">
        <v>159.69999999999999</v>
      </c>
      <c r="T159" s="174">
        <f t="shared" si="3"/>
        <v>219.65421723834655</v>
      </c>
    </row>
    <row r="160" spans="1:20" x14ac:dyDescent="0.2">
      <c r="A160" s="169">
        <v>2</v>
      </c>
      <c r="B160" s="169"/>
      <c r="C160" s="177">
        <f>+E160-E159</f>
        <v>143.51699999999997</v>
      </c>
      <c r="D160" s="169">
        <f>+G160-G159</f>
        <v>128.79</v>
      </c>
      <c r="E160" s="169">
        <v>290.82799999999997</v>
      </c>
      <c r="G160" s="169">
        <v>262.54599999999999</v>
      </c>
      <c r="I160" s="174">
        <v>115.2</v>
      </c>
      <c r="J160" s="166">
        <v>2</v>
      </c>
      <c r="L160" s="175">
        <v>14855</v>
      </c>
      <c r="M160" s="174">
        <v>323.20000000000005</v>
      </c>
      <c r="N160" s="174">
        <f t="shared" si="4"/>
        <v>438.74680555555562</v>
      </c>
      <c r="O160" s="175">
        <v>6172</v>
      </c>
      <c r="P160" s="174">
        <v>745.5</v>
      </c>
      <c r="Q160" s="174">
        <f t="shared" si="2"/>
        <v>1012.0227213541667</v>
      </c>
      <c r="R160" s="175">
        <v>11610</v>
      </c>
      <c r="S160" s="174">
        <v>152.50000000000006</v>
      </c>
      <c r="T160" s="174">
        <f t="shared" si="3"/>
        <v>207.02007378472234</v>
      </c>
    </row>
    <row r="161" spans="1:20" x14ac:dyDescent="0.2">
      <c r="A161" s="169">
        <v>3</v>
      </c>
      <c r="B161" s="169"/>
      <c r="C161" s="177">
        <f>+E161-E160</f>
        <v>134.78300000000002</v>
      </c>
      <c r="D161" s="169">
        <f>+G161-G160</f>
        <v>120.57100000000003</v>
      </c>
      <c r="E161" s="169">
        <v>425.61099999999999</v>
      </c>
      <c r="G161" s="169">
        <v>383.11700000000002</v>
      </c>
      <c r="I161" s="174">
        <v>115.1</v>
      </c>
      <c r="J161" s="166">
        <v>3</v>
      </c>
      <c r="L161" s="175">
        <v>13014</v>
      </c>
      <c r="M161" s="174">
        <v>448.29999999999995</v>
      </c>
      <c r="N161" s="174">
        <f t="shared" si="4"/>
        <v>609.09987402258901</v>
      </c>
      <c r="O161" s="175">
        <v>6734</v>
      </c>
      <c r="P161" s="174">
        <v>832.10000000000014</v>
      </c>
      <c r="Q161" s="174">
        <f t="shared" si="2"/>
        <v>1130.564365768897</v>
      </c>
      <c r="R161" s="175">
        <v>8742</v>
      </c>
      <c r="S161" s="174">
        <v>152.99999999999994</v>
      </c>
      <c r="T161" s="174">
        <f t="shared" si="3"/>
        <v>207.87927888792348</v>
      </c>
    </row>
    <row r="162" spans="1:20" x14ac:dyDescent="0.2">
      <c r="A162" s="169">
        <v>4</v>
      </c>
      <c r="B162" s="169"/>
      <c r="C162" s="177">
        <f>+E162-E161</f>
        <v>137.37</v>
      </c>
      <c r="D162" s="169">
        <f>+G162-G161</f>
        <v>124.38200000000001</v>
      </c>
      <c r="E162" s="169">
        <v>562.98099999999999</v>
      </c>
      <c r="G162" s="169">
        <v>507.49900000000002</v>
      </c>
      <c r="I162" s="174">
        <v>116</v>
      </c>
      <c r="J162" s="166">
        <v>4</v>
      </c>
      <c r="L162" s="175">
        <v>22745</v>
      </c>
      <c r="M162" s="174">
        <v>478.79999999999995</v>
      </c>
      <c r="N162" s="174">
        <f t="shared" si="4"/>
        <v>645.49256896551731</v>
      </c>
      <c r="O162" s="175">
        <v>8144</v>
      </c>
      <c r="P162" s="174">
        <v>795.79999999999973</v>
      </c>
      <c r="Q162" s="174">
        <f t="shared" si="2"/>
        <v>1072.8550258620687</v>
      </c>
      <c r="R162" s="175">
        <v>11407</v>
      </c>
      <c r="S162" s="174">
        <v>142.00000000000006</v>
      </c>
      <c r="T162" s="174">
        <f t="shared" si="3"/>
        <v>191.43681034482771</v>
      </c>
    </row>
    <row r="163" spans="1:20" x14ac:dyDescent="0.2">
      <c r="A163" s="169">
        <v>1</v>
      </c>
      <c r="B163" s="169">
        <v>2006</v>
      </c>
      <c r="C163" s="177">
        <f>+E163</f>
        <v>155.21299999999999</v>
      </c>
      <c r="D163" s="169">
        <f>+G163</f>
        <v>139.72800000000001</v>
      </c>
      <c r="E163" s="169">
        <v>155.21299999999999</v>
      </c>
      <c r="G163" s="169">
        <v>139.72800000000001</v>
      </c>
      <c r="I163" s="174">
        <v>116.6</v>
      </c>
      <c r="J163" s="166">
        <v>1</v>
      </c>
      <c r="K163" s="166">
        <v>2006</v>
      </c>
      <c r="L163" s="175">
        <v>18196</v>
      </c>
      <c r="M163" s="174">
        <v>585</v>
      </c>
      <c r="N163" s="174">
        <f t="shared" si="4"/>
        <v>784.60741852487149</v>
      </c>
      <c r="O163" s="175">
        <v>6106</v>
      </c>
      <c r="P163" s="174">
        <v>947.2</v>
      </c>
      <c r="Q163" s="174">
        <f t="shared" si="2"/>
        <v>1270.3934133790742</v>
      </c>
      <c r="R163" s="175">
        <v>7106</v>
      </c>
      <c r="S163" s="174">
        <v>150.6</v>
      </c>
      <c r="T163" s="174">
        <f t="shared" si="3"/>
        <v>201.98611492281304</v>
      </c>
    </row>
    <row r="164" spans="1:20" x14ac:dyDescent="0.2">
      <c r="A164" s="169">
        <v>2</v>
      </c>
      <c r="B164" s="169"/>
      <c r="C164" s="177">
        <f>+E164-E163</f>
        <v>147.44399999999999</v>
      </c>
      <c r="D164" s="169">
        <f>+G164-G163</f>
        <v>129.572</v>
      </c>
      <c r="E164" s="169">
        <v>302.65699999999998</v>
      </c>
      <c r="G164" s="169">
        <v>269.3</v>
      </c>
      <c r="I164" s="174">
        <v>117.9</v>
      </c>
      <c r="J164" s="166">
        <v>2</v>
      </c>
      <c r="L164" s="175">
        <v>13943</v>
      </c>
      <c r="M164" s="174">
        <v>433.79999999999995</v>
      </c>
      <c r="N164" s="174">
        <f t="shared" si="4"/>
        <v>575.4012977099236</v>
      </c>
      <c r="O164" s="175">
        <v>5246</v>
      </c>
      <c r="P164" s="174">
        <v>811.2</v>
      </c>
      <c r="Q164" s="174">
        <f t="shared" si="2"/>
        <v>1075.9924681933844</v>
      </c>
      <c r="R164" s="175">
        <v>9193</v>
      </c>
      <c r="S164" s="174">
        <v>176.1</v>
      </c>
      <c r="T164" s="174">
        <f t="shared" si="3"/>
        <v>233.5826844783715</v>
      </c>
    </row>
    <row r="165" spans="1:20" x14ac:dyDescent="0.2">
      <c r="A165" s="169">
        <v>3</v>
      </c>
      <c r="B165" s="169"/>
      <c r="C165" s="177">
        <f>+E165-E164</f>
        <v>143.45100000000002</v>
      </c>
      <c r="D165" s="169">
        <f>+G165-G164</f>
        <v>126.00599999999997</v>
      </c>
      <c r="E165" s="169">
        <v>446.108</v>
      </c>
      <c r="G165" s="169">
        <v>395.30599999999998</v>
      </c>
      <c r="I165" s="178">
        <v>117.3</v>
      </c>
      <c r="J165" s="166">
        <v>3</v>
      </c>
      <c r="L165" s="175">
        <v>13690</v>
      </c>
      <c r="M165" s="174">
        <v>496.59999999999991</v>
      </c>
      <c r="N165" s="174">
        <f t="shared" si="4"/>
        <v>662.06982949701614</v>
      </c>
      <c r="O165" s="175">
        <v>9450</v>
      </c>
      <c r="P165" s="174">
        <v>855.90000000000009</v>
      </c>
      <c r="Q165" s="174">
        <f t="shared" si="2"/>
        <v>1141.0905498721231</v>
      </c>
      <c r="R165" s="175">
        <v>10840</v>
      </c>
      <c r="S165" s="174">
        <v>167.10000000000002</v>
      </c>
      <c r="T165" s="174">
        <f t="shared" si="3"/>
        <v>222.77863171355506</v>
      </c>
    </row>
    <row r="166" spans="1:20" x14ac:dyDescent="0.2">
      <c r="A166" s="169">
        <v>4</v>
      </c>
      <c r="B166" s="169"/>
      <c r="C166" s="177">
        <f>+E166-E165</f>
        <v>148.56090999999998</v>
      </c>
      <c r="D166" s="169">
        <f>+G166-G165</f>
        <v>131.19532799999996</v>
      </c>
      <c r="E166" s="169">
        <v>594.66890999999998</v>
      </c>
      <c r="G166" s="169">
        <v>526.50132799999994</v>
      </c>
      <c r="I166" s="178">
        <v>119</v>
      </c>
      <c r="J166" s="166">
        <v>4</v>
      </c>
      <c r="L166" s="175">
        <v>16682</v>
      </c>
      <c r="M166" s="174">
        <v>525.60000000000014</v>
      </c>
      <c r="N166" s="174">
        <f t="shared" si="4"/>
        <v>690.72231932773138</v>
      </c>
      <c r="O166" s="175">
        <v>10233</v>
      </c>
      <c r="P166" s="174">
        <v>826</v>
      </c>
      <c r="Q166" s="174">
        <f t="shared" si="2"/>
        <v>1085.4958823529414</v>
      </c>
      <c r="R166" s="175">
        <v>9520</v>
      </c>
      <c r="S166" s="174">
        <v>144.09999999999997</v>
      </c>
      <c r="T166" s="174">
        <f t="shared" si="3"/>
        <v>189.3704075630252</v>
      </c>
    </row>
    <row r="167" spans="1:20" x14ac:dyDescent="0.2">
      <c r="A167" s="169">
        <v>1</v>
      </c>
      <c r="B167" s="169">
        <v>2007</v>
      </c>
      <c r="C167" s="177">
        <f>+E167</f>
        <v>158.09976</v>
      </c>
      <c r="D167" s="169">
        <f>+G167</f>
        <v>141.08400800000001</v>
      </c>
      <c r="E167" s="169">
        <v>158.09976</v>
      </c>
      <c r="G167" s="169">
        <v>141.08400800000001</v>
      </c>
      <c r="I167" s="178">
        <v>117.5</v>
      </c>
      <c r="J167" s="166">
        <v>1</v>
      </c>
      <c r="K167" s="166">
        <v>2007</v>
      </c>
      <c r="L167" s="175">
        <v>18623</v>
      </c>
      <c r="M167" s="174">
        <v>649.6</v>
      </c>
      <c r="N167" s="174">
        <f t="shared" si="4"/>
        <v>864.57613617021286</v>
      </c>
      <c r="O167" s="175">
        <v>7737</v>
      </c>
      <c r="P167" s="174">
        <v>1092.1999999999998</v>
      </c>
      <c r="Q167" s="174">
        <f t="shared" si="2"/>
        <v>1453.6484851063831</v>
      </c>
      <c r="R167" s="175">
        <v>8112</v>
      </c>
      <c r="S167" s="174">
        <v>167.4</v>
      </c>
      <c r="T167" s="174">
        <f t="shared" si="3"/>
        <v>222.79871489361705</v>
      </c>
    </row>
    <row r="168" spans="1:20" x14ac:dyDescent="0.2">
      <c r="A168" s="169">
        <v>2</v>
      </c>
      <c r="B168" s="169"/>
      <c r="C168" s="177">
        <f>+E168-E167</f>
        <v>161.61276000000004</v>
      </c>
      <c r="D168" s="169">
        <f>+G168-G167</f>
        <v>142.897008</v>
      </c>
      <c r="E168" s="169">
        <v>319.71252000000004</v>
      </c>
      <c r="G168" s="169">
        <v>283.98101600000001</v>
      </c>
      <c r="I168" s="178">
        <v>118.3</v>
      </c>
      <c r="J168" s="166">
        <v>2</v>
      </c>
      <c r="L168" s="175">
        <v>15831</v>
      </c>
      <c r="M168" s="174">
        <v>514.19999999999993</v>
      </c>
      <c r="N168" s="174">
        <f t="shared" si="4"/>
        <v>679.73936601859691</v>
      </c>
      <c r="O168" s="175">
        <v>5067</v>
      </c>
      <c r="P168" s="174">
        <v>1041.6999999999998</v>
      </c>
      <c r="Q168" s="174">
        <f t="shared" ref="Q168:Q189" si="5">P168/I168*$I$69</f>
        <v>1377.0604775993238</v>
      </c>
      <c r="R168" s="175">
        <v>10608</v>
      </c>
      <c r="S168" s="174">
        <v>160.99999999999997</v>
      </c>
      <c r="T168" s="174">
        <f t="shared" ref="T168:T189" si="6">S168/I168*$I$69</f>
        <v>212.83165680473374</v>
      </c>
    </row>
    <row r="169" spans="1:20" x14ac:dyDescent="0.2">
      <c r="A169" s="169">
        <v>3</v>
      </c>
      <c r="B169" s="169"/>
      <c r="C169" s="177">
        <f>+E169-E168</f>
        <v>135.82058024999998</v>
      </c>
      <c r="D169" s="169">
        <f>+G169-G168</f>
        <v>119.75308425000003</v>
      </c>
      <c r="E169" s="169">
        <v>455.53310025000002</v>
      </c>
      <c r="G169" s="169">
        <v>403.73410025000004</v>
      </c>
      <c r="I169" s="178">
        <v>117.8</v>
      </c>
      <c r="J169" s="166">
        <v>3</v>
      </c>
      <c r="L169" s="175">
        <v>18428</v>
      </c>
      <c r="M169" s="174">
        <v>654.20000000000027</v>
      </c>
      <c r="N169" s="174">
        <f t="shared" si="4"/>
        <v>868.48104414261513</v>
      </c>
      <c r="O169" s="175">
        <v>6417</v>
      </c>
      <c r="P169" s="174">
        <v>679.60000000000036</v>
      </c>
      <c r="Q169" s="174">
        <f t="shared" si="5"/>
        <v>902.20073005093434</v>
      </c>
      <c r="R169" s="175">
        <v>10319</v>
      </c>
      <c r="S169" s="174">
        <v>152.89999999999998</v>
      </c>
      <c r="T169" s="174">
        <f t="shared" si="6"/>
        <v>202.98188879456706</v>
      </c>
    </row>
    <row r="170" spans="1:20" x14ac:dyDescent="0.2">
      <c r="A170" s="169">
        <v>4</v>
      </c>
      <c r="B170" s="169"/>
      <c r="C170" s="177">
        <f>+E170-E169</f>
        <v>149.79139924999998</v>
      </c>
      <c r="D170" s="169">
        <f>+G170-G169</f>
        <v>133.49839924999998</v>
      </c>
      <c r="E170" s="169">
        <v>605.3244995</v>
      </c>
      <c r="G170" s="169">
        <v>537.23249950000002</v>
      </c>
      <c r="I170" s="178">
        <v>120.8</v>
      </c>
      <c r="J170" s="166">
        <v>4</v>
      </c>
      <c r="L170" s="175">
        <v>15870</v>
      </c>
      <c r="M170" s="174">
        <v>567.19999999999959</v>
      </c>
      <c r="N170" s="174">
        <f t="shared" si="4"/>
        <v>734.28453642384068</v>
      </c>
      <c r="O170" s="175">
        <v>5114</v>
      </c>
      <c r="P170" s="174">
        <v>911.69999999999982</v>
      </c>
      <c r="Q170" s="174">
        <f t="shared" si="5"/>
        <v>1180.2665935430464</v>
      </c>
      <c r="R170" s="175">
        <v>8645</v>
      </c>
      <c r="S170" s="174">
        <v>142.80000000000007</v>
      </c>
      <c r="T170" s="174">
        <f t="shared" si="6"/>
        <v>184.86571192052992</v>
      </c>
    </row>
    <row r="171" spans="1:20" x14ac:dyDescent="0.2">
      <c r="A171" s="169">
        <v>1</v>
      </c>
      <c r="B171" s="169">
        <v>2008</v>
      </c>
      <c r="C171" s="177">
        <f>+E171</f>
        <v>164.64169099999998</v>
      </c>
      <c r="D171" s="169">
        <f>+G171</f>
        <v>148.61369099999999</v>
      </c>
      <c r="E171" s="169">
        <v>164.64169099999998</v>
      </c>
      <c r="G171" s="169">
        <v>148.61369099999999</v>
      </c>
      <c r="I171" s="178">
        <v>121.9</v>
      </c>
      <c r="J171" s="166">
        <v>1</v>
      </c>
      <c r="K171" s="166">
        <v>2008</v>
      </c>
      <c r="L171" s="175">
        <v>17004</v>
      </c>
      <c r="M171" s="174">
        <v>591.9</v>
      </c>
      <c r="N171" s="174">
        <f t="shared" si="4"/>
        <v>759.34603363412634</v>
      </c>
      <c r="O171" s="175">
        <v>6274</v>
      </c>
      <c r="P171" s="174">
        <v>963.6</v>
      </c>
      <c r="Q171" s="174">
        <f t="shared" si="5"/>
        <v>1236.1984085315835</v>
      </c>
      <c r="R171" s="175">
        <v>7939</v>
      </c>
      <c r="S171" s="174">
        <v>160.1</v>
      </c>
      <c r="T171" s="174">
        <f t="shared" si="6"/>
        <v>205.3916201804758</v>
      </c>
    </row>
    <row r="172" spans="1:20" x14ac:dyDescent="0.2">
      <c r="A172" s="169">
        <v>2</v>
      </c>
      <c r="B172" s="169"/>
      <c r="C172" s="177">
        <f>+E172-E171</f>
        <v>197.28657850000002</v>
      </c>
      <c r="D172" s="169">
        <f>+G172-G171</f>
        <v>175.71357850000001</v>
      </c>
      <c r="E172" s="169">
        <v>361.9282695</v>
      </c>
      <c r="G172" s="169">
        <v>324.3272695</v>
      </c>
      <c r="I172" s="178">
        <v>122</v>
      </c>
      <c r="J172" s="166">
        <v>2</v>
      </c>
      <c r="L172" s="175">
        <v>14987</v>
      </c>
      <c r="M172" s="174">
        <v>548.4</v>
      </c>
      <c r="N172" s="174">
        <f t="shared" ref="N172:N181" si="7">M172/I172*$I$69</f>
        <v>702.9633934426231</v>
      </c>
      <c r="O172" s="175">
        <v>5831</v>
      </c>
      <c r="P172" s="174">
        <v>1153.8000000000002</v>
      </c>
      <c r="Q172" s="174">
        <f t="shared" si="5"/>
        <v>1478.991909836066</v>
      </c>
      <c r="R172" s="175">
        <v>10207</v>
      </c>
      <c r="S172" s="174">
        <v>188.4</v>
      </c>
      <c r="T172" s="174">
        <f t="shared" si="6"/>
        <v>241.4994590163935</v>
      </c>
    </row>
    <row r="173" spans="1:20" x14ac:dyDescent="0.2">
      <c r="A173" s="169">
        <v>3</v>
      </c>
      <c r="B173" s="169"/>
      <c r="C173" s="177">
        <f>+E173-E172</f>
        <v>159.71767174999997</v>
      </c>
      <c r="D173" s="169">
        <f>+G173-G172</f>
        <v>141.40667174999999</v>
      </c>
      <c r="E173" s="169">
        <v>521.64594124999996</v>
      </c>
      <c r="G173" s="169">
        <v>465.73394124999999</v>
      </c>
      <c r="I173" s="178">
        <v>123.1</v>
      </c>
      <c r="J173" s="166">
        <v>3</v>
      </c>
      <c r="L173" s="175">
        <v>19290</v>
      </c>
      <c r="M173" s="174">
        <v>722.70000000000027</v>
      </c>
      <c r="N173" s="174">
        <f t="shared" si="7"/>
        <v>918.11080016247013</v>
      </c>
      <c r="O173" s="175">
        <v>12252</v>
      </c>
      <c r="P173" s="174">
        <v>1486.4999999999995</v>
      </c>
      <c r="Q173" s="174">
        <f t="shared" si="5"/>
        <v>1888.4346263200646</v>
      </c>
      <c r="R173" s="175">
        <v>11007</v>
      </c>
      <c r="S173" s="174">
        <v>186.29999999999995</v>
      </c>
      <c r="T173" s="174">
        <f t="shared" si="6"/>
        <v>236.67364337936635</v>
      </c>
    </row>
    <row r="174" spans="1:20" x14ac:dyDescent="0.2">
      <c r="A174" s="169">
        <v>4</v>
      </c>
      <c r="B174" s="169"/>
      <c r="C174" s="177">
        <f>+E174-E173</f>
        <v>170.05706974999998</v>
      </c>
      <c r="D174" s="169">
        <f>+G174-G173</f>
        <v>152.54014889999991</v>
      </c>
      <c r="E174" s="169">
        <v>691.70301099999995</v>
      </c>
      <c r="G174" s="169">
        <v>618.27409014999989</v>
      </c>
      <c r="I174" s="174">
        <v>124.7</v>
      </c>
      <c r="J174" s="166">
        <v>4</v>
      </c>
      <c r="L174" s="175">
        <v>16976</v>
      </c>
      <c r="M174" s="174">
        <v>703.10000000000014</v>
      </c>
      <c r="N174" s="174">
        <f t="shared" si="7"/>
        <v>881.75054931836439</v>
      </c>
      <c r="O174" s="175">
        <v>7247</v>
      </c>
      <c r="P174" s="174">
        <v>1160</v>
      </c>
      <c r="Q174" s="174">
        <f t="shared" si="5"/>
        <v>1454.7441860465119</v>
      </c>
      <c r="R174" s="175">
        <v>10145</v>
      </c>
      <c r="S174" s="174">
        <v>269.60000000000014</v>
      </c>
      <c r="T174" s="174">
        <f t="shared" si="6"/>
        <v>338.10261427425843</v>
      </c>
    </row>
    <row r="175" spans="1:20" x14ac:dyDescent="0.2">
      <c r="A175" s="169">
        <v>1</v>
      </c>
      <c r="B175" s="169">
        <v>2009</v>
      </c>
      <c r="C175" s="177">
        <f>+E175</f>
        <v>191.37959499999999</v>
      </c>
      <c r="D175" s="169">
        <f>+G175</f>
        <v>172.55938714999999</v>
      </c>
      <c r="E175" s="169">
        <v>191.37959499999999</v>
      </c>
      <c r="G175" s="169">
        <v>172.55938714999999</v>
      </c>
      <c r="I175" s="174">
        <v>125</v>
      </c>
      <c r="J175" s="166">
        <v>1</v>
      </c>
      <c r="K175" s="166">
        <v>2009</v>
      </c>
      <c r="L175" s="175">
        <v>18865</v>
      </c>
      <c r="M175" s="174">
        <v>739.59999999999991</v>
      </c>
      <c r="N175" s="174">
        <f t="shared" si="7"/>
        <v>925.298768</v>
      </c>
      <c r="O175" s="175">
        <v>6194</v>
      </c>
      <c r="P175" s="174">
        <v>1049.9000000000001</v>
      </c>
      <c r="Q175" s="174">
        <f t="shared" si="5"/>
        <v>1313.5088920000003</v>
      </c>
      <c r="R175" s="175">
        <v>8619</v>
      </c>
      <c r="S175" s="174">
        <v>213.2</v>
      </c>
      <c r="T175" s="174">
        <f t="shared" si="6"/>
        <v>266.73025600000005</v>
      </c>
    </row>
    <row r="176" spans="1:20" x14ac:dyDescent="0.2">
      <c r="A176" s="169">
        <v>2</v>
      </c>
      <c r="B176" s="169"/>
      <c r="C176" s="177">
        <f>+E176-E175</f>
        <v>178.90604250000001</v>
      </c>
      <c r="D176" s="169">
        <f>+G176-G175</f>
        <v>160.765232725</v>
      </c>
      <c r="E176" s="169">
        <v>370.28563750000001</v>
      </c>
      <c r="G176" s="169">
        <v>333.324619875</v>
      </c>
      <c r="I176" s="174">
        <v>125.7</v>
      </c>
      <c r="J176" s="166">
        <v>2</v>
      </c>
      <c r="L176" s="175">
        <v>14610</v>
      </c>
      <c r="M176" s="174">
        <v>603.80000000000018</v>
      </c>
      <c r="N176" s="174">
        <f t="shared" si="7"/>
        <v>751.19540970564856</v>
      </c>
      <c r="O176" s="175">
        <v>5486</v>
      </c>
      <c r="P176" s="174">
        <v>1077.9000000000001</v>
      </c>
      <c r="Q176" s="174">
        <f t="shared" si="5"/>
        <v>1341.0293675417663</v>
      </c>
      <c r="R176" s="175">
        <v>11296</v>
      </c>
      <c r="S176" s="174">
        <v>235.3</v>
      </c>
      <c r="T176" s="174">
        <f t="shared" si="6"/>
        <v>292.73978122513927</v>
      </c>
    </row>
    <row r="177" spans="1:20" x14ac:dyDescent="0.2">
      <c r="A177" s="169">
        <v>3</v>
      </c>
      <c r="B177" s="169"/>
      <c r="C177" s="177">
        <f>+E177-E176</f>
        <v>160.23377500000004</v>
      </c>
      <c r="D177" s="169">
        <f>+G177-G176</f>
        <v>142.31202375000004</v>
      </c>
      <c r="E177" s="169">
        <v>530.51941250000004</v>
      </c>
      <c r="G177" s="169">
        <v>475.63664362500003</v>
      </c>
      <c r="I177" s="174">
        <v>125.4</v>
      </c>
      <c r="J177" s="166">
        <v>3</v>
      </c>
      <c r="L177" s="175">
        <v>19220</v>
      </c>
      <c r="M177" s="174">
        <v>795.69999999999982</v>
      </c>
      <c r="N177" s="174">
        <f t="shared" si="7"/>
        <v>992.30896730462507</v>
      </c>
      <c r="O177" s="175">
        <v>13278</v>
      </c>
      <c r="P177" s="174">
        <v>1278.0999999999999</v>
      </c>
      <c r="Q177" s="174">
        <f t="shared" si="5"/>
        <v>1593.9048524720893</v>
      </c>
      <c r="R177" s="175">
        <v>11383</v>
      </c>
      <c r="S177" s="174">
        <v>231.79999999999995</v>
      </c>
      <c r="T177" s="174">
        <f t="shared" si="6"/>
        <v>289.07530303030296</v>
      </c>
    </row>
    <row r="178" spans="1:20" x14ac:dyDescent="0.2">
      <c r="A178" s="169">
        <v>4</v>
      </c>
      <c r="B178" s="169"/>
      <c r="C178" s="177">
        <f>+E178-E177</f>
        <v>179.8571388695641</v>
      </c>
      <c r="D178" s="169">
        <f>+G178-G177</f>
        <v>163.53199924456408</v>
      </c>
      <c r="E178" s="169">
        <v>710.37655136956414</v>
      </c>
      <c r="G178" s="169">
        <v>639.16864286956411</v>
      </c>
      <c r="I178" s="174">
        <v>126.6</v>
      </c>
      <c r="J178" s="166">
        <v>4</v>
      </c>
      <c r="L178" s="175">
        <v>16838</v>
      </c>
      <c r="M178" s="174">
        <v>759.30000000000018</v>
      </c>
      <c r="N178" s="174">
        <f t="shared" si="7"/>
        <v>937.93941943128004</v>
      </c>
      <c r="O178" s="175">
        <v>6227</v>
      </c>
      <c r="P178" s="174">
        <v>1192.2000000000003</v>
      </c>
      <c r="Q178" s="174">
        <f t="shared" si="5"/>
        <v>1472.6871800947874</v>
      </c>
      <c r="R178" s="175">
        <v>10409</v>
      </c>
      <c r="S178" s="174">
        <v>276.40000000000009</v>
      </c>
      <c r="T178" s="174">
        <f t="shared" si="6"/>
        <v>341.42823064770948</v>
      </c>
    </row>
    <row r="179" spans="1:20" x14ac:dyDescent="0.2">
      <c r="A179" s="169">
        <v>1</v>
      </c>
      <c r="B179" s="169">
        <v>2010</v>
      </c>
      <c r="C179" s="177">
        <f>+E179</f>
        <v>204.63648875000001</v>
      </c>
      <c r="D179" s="169">
        <f>+G179</f>
        <v>186.506571025</v>
      </c>
      <c r="E179" s="169">
        <v>204.63648875000001</v>
      </c>
      <c r="G179" s="169">
        <v>186.506571025</v>
      </c>
      <c r="I179" s="174">
        <v>128.69999999999999</v>
      </c>
      <c r="J179" s="166">
        <v>1</v>
      </c>
      <c r="K179" s="166">
        <v>2010</v>
      </c>
      <c r="L179" s="175">
        <v>40484.70904761905</v>
      </c>
      <c r="M179" s="174">
        <v>1693.2251146266974</v>
      </c>
      <c r="N179" s="174">
        <f t="shared" si="7"/>
        <v>2057.4592816697445</v>
      </c>
      <c r="O179" s="175">
        <v>6690</v>
      </c>
      <c r="P179" s="174">
        <v>1648.5</v>
      </c>
      <c r="Q179" s="174">
        <f t="shared" si="5"/>
        <v>2003.113228438229</v>
      </c>
      <c r="R179" s="175">
        <v>7227</v>
      </c>
      <c r="S179" s="174">
        <v>243.10000000000002</v>
      </c>
      <c r="T179" s="174">
        <f t="shared" si="6"/>
        <v>295.39388888888897</v>
      </c>
    </row>
    <row r="180" spans="1:20" x14ac:dyDescent="0.2">
      <c r="A180" s="169">
        <v>2</v>
      </c>
      <c r="B180" s="169"/>
      <c r="C180" s="177">
        <f>+E180-E179</f>
        <v>188.95691625000001</v>
      </c>
      <c r="D180" s="169">
        <f>+G180-G179</f>
        <v>170.46253197500002</v>
      </c>
      <c r="E180" s="169">
        <v>393.59340500000002</v>
      </c>
      <c r="G180" s="169">
        <v>356.96910300000002</v>
      </c>
      <c r="I180" s="174">
        <v>128.9</v>
      </c>
      <c r="J180" s="166">
        <v>2</v>
      </c>
      <c r="L180" s="175">
        <v>20633.79583333333</v>
      </c>
      <c r="M180" s="174">
        <v>864.97098885712671</v>
      </c>
      <c r="N180" s="174">
        <f t="shared" si="7"/>
        <v>1049.4064243011774</v>
      </c>
      <c r="O180" s="175">
        <v>5716</v>
      </c>
      <c r="P180" s="174">
        <v>1381.6999999999998</v>
      </c>
      <c r="Q180" s="174">
        <f t="shared" si="5"/>
        <v>1676.3161714507369</v>
      </c>
      <c r="R180" s="175">
        <v>10696</v>
      </c>
      <c r="S180" s="174">
        <v>201.60000000000002</v>
      </c>
      <c r="T180" s="174">
        <f t="shared" si="6"/>
        <v>244.58662529092325</v>
      </c>
    </row>
    <row r="181" spans="1:20" x14ac:dyDescent="0.2">
      <c r="A181" s="169">
        <v>3</v>
      </c>
      <c r="B181" s="169"/>
      <c r="C181" s="177">
        <f>+E181-E180</f>
        <v>172.07737875000004</v>
      </c>
      <c r="D181" s="169">
        <f>+G181-G180</f>
        <v>154.15607493749997</v>
      </c>
      <c r="E181" s="169">
        <v>565.67078375000006</v>
      </c>
      <c r="G181" s="169">
        <v>511.12517793749998</v>
      </c>
      <c r="I181" s="174">
        <v>127.8</v>
      </c>
      <c r="J181" s="166">
        <v>3</v>
      </c>
      <c r="L181" s="175">
        <v>19149.335833333338</v>
      </c>
      <c r="M181" s="174">
        <v>861.71516601647909</v>
      </c>
      <c r="N181" s="174">
        <f t="shared" si="7"/>
        <v>1054.4548218895704</v>
      </c>
      <c r="O181" s="175">
        <v>9089</v>
      </c>
      <c r="P181" s="174">
        <v>1286.1999999999998</v>
      </c>
      <c r="Q181" s="174">
        <f t="shared" si="5"/>
        <v>1573.8840923317684</v>
      </c>
      <c r="R181" s="175">
        <v>11532</v>
      </c>
      <c r="S181" s="174">
        <v>200.69999999999993</v>
      </c>
      <c r="T181" s="174">
        <f t="shared" si="6"/>
        <v>245.59052816901402</v>
      </c>
    </row>
    <row r="182" spans="1:20" x14ac:dyDescent="0.2">
      <c r="A182" s="169">
        <v>4</v>
      </c>
      <c r="B182" s="169"/>
      <c r="C182" s="177">
        <f>+E182-E181</f>
        <v>192.96143124999992</v>
      </c>
      <c r="D182" s="169">
        <f>+G182-G181</f>
        <v>174.39946771249993</v>
      </c>
      <c r="E182" s="169">
        <v>758.63221499999997</v>
      </c>
      <c r="G182" s="169">
        <v>685.52464564999991</v>
      </c>
      <c r="I182" s="174">
        <v>129</v>
      </c>
      <c r="J182" s="166">
        <v>4</v>
      </c>
      <c r="L182" s="175">
        <v>22322.361666666664</v>
      </c>
      <c r="M182" s="174">
        <v>889.84894905372039</v>
      </c>
      <c r="N182" s="174">
        <f t="shared" ref="N182" si="8">M182/I182*$I$69</f>
        <v>1078.7521542462487</v>
      </c>
      <c r="O182" s="175">
        <v>5858</v>
      </c>
      <c r="P182" s="174">
        <v>1310.8000000000011</v>
      </c>
      <c r="Q182" s="174">
        <f t="shared" si="5"/>
        <v>1589.0655658914743</v>
      </c>
      <c r="R182" s="175">
        <v>9548</v>
      </c>
      <c r="S182" s="174">
        <v>205</v>
      </c>
      <c r="T182" s="174">
        <f t="shared" si="6"/>
        <v>248.51879844961243</v>
      </c>
    </row>
    <row r="183" spans="1:20" x14ac:dyDescent="0.2">
      <c r="A183" s="169">
        <v>1</v>
      </c>
      <c r="B183" s="169">
        <v>2011</v>
      </c>
      <c r="C183" s="177">
        <f>+E183</f>
        <v>204.00503875000001</v>
      </c>
      <c r="D183" s="169">
        <f>+G183</f>
        <v>184.8599929625</v>
      </c>
      <c r="E183" s="169">
        <v>204.00503875000001</v>
      </c>
      <c r="G183" s="169">
        <v>184.8599929625</v>
      </c>
      <c r="I183" s="174">
        <v>130.19999999999999</v>
      </c>
      <c r="J183" s="166">
        <v>1</v>
      </c>
      <c r="K183" s="166">
        <v>2011</v>
      </c>
      <c r="L183" s="175">
        <v>26141.662648809524</v>
      </c>
      <c r="M183" s="174">
        <v>1061.4209517567813</v>
      </c>
      <c r="N183" s="174">
        <f t="shared" ref="N183:N186" si="9">M183/I183*$I$69</f>
        <v>1274.8872161327517</v>
      </c>
      <c r="O183" s="175">
        <v>5959</v>
      </c>
      <c r="P183" s="174">
        <v>1698.7</v>
      </c>
      <c r="Q183" s="174">
        <f t="shared" si="5"/>
        <v>2040.3317933947776</v>
      </c>
      <c r="R183" s="175">
        <v>6732</v>
      </c>
      <c r="S183" s="174">
        <v>156.5</v>
      </c>
      <c r="T183" s="174">
        <f t="shared" si="6"/>
        <v>187.97428955453154</v>
      </c>
    </row>
    <row r="184" spans="1:20" x14ac:dyDescent="0.2">
      <c r="A184" s="169">
        <v>2</v>
      </c>
      <c r="B184" s="169"/>
      <c r="C184" s="177">
        <f>+E184-E183</f>
        <v>188.74104374999999</v>
      </c>
      <c r="D184" s="169">
        <f>+G184-G183</f>
        <v>171.33320521249996</v>
      </c>
      <c r="E184" s="166">
        <v>392.7460825</v>
      </c>
      <c r="G184" s="166">
        <v>356.19319817499996</v>
      </c>
      <c r="I184" s="174">
        <v>131</v>
      </c>
      <c r="J184" s="166">
        <v>2</v>
      </c>
      <c r="L184" s="183">
        <v>18851.951101190472</v>
      </c>
      <c r="M184" s="184">
        <v>776.58308820124375</v>
      </c>
      <c r="N184" s="174">
        <f t="shared" si="9"/>
        <v>927.06829197214904</v>
      </c>
      <c r="O184" s="175">
        <v>7524</v>
      </c>
      <c r="P184" s="174">
        <v>1533.4000000000003</v>
      </c>
      <c r="Q184" s="174">
        <f t="shared" si="5"/>
        <v>1830.5401450381685</v>
      </c>
      <c r="R184" s="175">
        <v>10017</v>
      </c>
      <c r="S184" s="174">
        <v>197.79999999999995</v>
      </c>
      <c r="T184" s="174">
        <f t="shared" si="6"/>
        <v>236.12941221374041</v>
      </c>
    </row>
    <row r="185" spans="1:20" x14ac:dyDescent="0.2">
      <c r="A185" s="169">
        <v>3</v>
      </c>
      <c r="C185" s="177">
        <f>+E185-E184</f>
        <v>169.93391749999995</v>
      </c>
      <c r="D185" s="169">
        <f>+G185-G184</f>
        <v>151.69380182500004</v>
      </c>
      <c r="E185" s="166">
        <v>562.67999999999995</v>
      </c>
      <c r="G185" s="166">
        <v>507.887</v>
      </c>
      <c r="I185" s="174">
        <v>129.4</v>
      </c>
      <c r="J185" s="166">
        <v>3</v>
      </c>
      <c r="L185" s="183">
        <v>24107.386250000007</v>
      </c>
      <c r="M185" s="184">
        <v>914.64669811090494</v>
      </c>
      <c r="N185" s="174">
        <f t="shared" si="9"/>
        <v>1105.3865833390562</v>
      </c>
      <c r="O185" s="175">
        <v>10171</v>
      </c>
      <c r="P185" s="174">
        <v>1285.3999999999996</v>
      </c>
      <c r="Q185" s="174">
        <f t="shared" si="5"/>
        <v>1553.4565610510044</v>
      </c>
      <c r="R185" s="175">
        <v>10339</v>
      </c>
      <c r="S185" s="174">
        <v>167.29999999999995</v>
      </c>
      <c r="T185" s="174">
        <f t="shared" si="6"/>
        <v>202.18864374033998</v>
      </c>
    </row>
    <row r="186" spans="1:20" x14ac:dyDescent="0.2">
      <c r="A186" s="166">
        <v>4</v>
      </c>
      <c r="C186" s="177">
        <f>+E186-E185</f>
        <v>202.17554500000006</v>
      </c>
      <c r="D186" s="169">
        <f>+G186-G185</f>
        <v>178.91908595000001</v>
      </c>
      <c r="E186" s="166">
        <v>764.85554500000001</v>
      </c>
      <c r="G186" s="166">
        <v>686.80608595000001</v>
      </c>
      <c r="I186" s="166">
        <v>130.5</v>
      </c>
      <c r="J186" s="166">
        <v>4</v>
      </c>
      <c r="L186" s="183">
        <v>18022.572976190484</v>
      </c>
      <c r="M186" s="174">
        <v>777.38419736292576</v>
      </c>
      <c r="N186" s="174">
        <f t="shared" si="9"/>
        <v>931.58028892414688</v>
      </c>
      <c r="O186" s="183">
        <v>8775.7956028314002</v>
      </c>
      <c r="P186" s="174">
        <v>1286.8626975018997</v>
      </c>
      <c r="Q186" s="174">
        <f t="shared" si="5"/>
        <v>1542.1151183818745</v>
      </c>
      <c r="R186" s="183">
        <v>9645.4866500746648</v>
      </c>
      <c r="S186" s="174">
        <v>181.103452008619</v>
      </c>
      <c r="T186" s="174">
        <f t="shared" si="6"/>
        <v>217.02577273845125</v>
      </c>
    </row>
    <row r="187" spans="1:20" x14ac:dyDescent="0.2">
      <c r="A187" s="166">
        <v>1</v>
      </c>
      <c r="B187" s="166">
        <v>2012</v>
      </c>
      <c r="C187" s="177">
        <f>+E187</f>
        <v>195.82938625</v>
      </c>
      <c r="D187" s="169">
        <f>+G187</f>
        <v>177.0717714875</v>
      </c>
      <c r="E187" s="166">
        <v>195.82938625</v>
      </c>
      <c r="G187" s="166">
        <v>177.0717714875</v>
      </c>
      <c r="I187" s="166">
        <v>131.69999999999999</v>
      </c>
      <c r="J187" s="166">
        <v>1</v>
      </c>
      <c r="K187" s="166">
        <v>2012</v>
      </c>
      <c r="L187" s="183">
        <v>18517.39324404762</v>
      </c>
      <c r="M187" s="174">
        <v>869.15461769403078</v>
      </c>
      <c r="N187" s="174">
        <f t="shared" ref="N187:N193" si="10">M187/I187*$I$69</f>
        <v>1032.0633628555886</v>
      </c>
      <c r="O187" s="175">
        <v>6822.44890070785</v>
      </c>
      <c r="P187" s="174">
        <v>1150.314057295883</v>
      </c>
      <c r="Q187" s="174">
        <f t="shared" si="5"/>
        <v>1365.9215174655785</v>
      </c>
      <c r="R187" s="175">
        <v>7564.3716625186662</v>
      </c>
      <c r="S187" s="174">
        <v>175.73767321176348</v>
      </c>
      <c r="T187" s="174">
        <f t="shared" si="6"/>
        <v>208.67681112544903</v>
      </c>
    </row>
    <row r="188" spans="1:20" x14ac:dyDescent="0.2">
      <c r="A188" s="166">
        <v>2</v>
      </c>
      <c r="C188" s="177">
        <f>+E188-E187</f>
        <v>182.75061374999999</v>
      </c>
      <c r="D188" s="169">
        <f>+G188-G187</f>
        <v>165.12822851249999</v>
      </c>
      <c r="E188" s="185">
        <v>378.58</v>
      </c>
      <c r="G188" s="185">
        <v>342.2</v>
      </c>
      <c r="I188" s="166">
        <v>131.69999999999999</v>
      </c>
      <c r="J188" s="166">
        <v>2</v>
      </c>
      <c r="L188" s="183">
        <v>14087.60675595238</v>
      </c>
      <c r="M188" s="174">
        <v>635.43152402028181</v>
      </c>
      <c r="N188" s="174">
        <f t="shared" si="10"/>
        <v>754.53271741770538</v>
      </c>
      <c r="O188" s="175">
        <v>4838.55109929215</v>
      </c>
      <c r="P188" s="174">
        <v>1037.7970664905204</v>
      </c>
      <c r="Q188" s="174">
        <f t="shared" si="5"/>
        <v>1232.3150663866368</v>
      </c>
      <c r="R188" s="175">
        <v>10002.628337481334</v>
      </c>
      <c r="S188" s="174">
        <v>184.20744441885319</v>
      </c>
      <c r="T188" s="174">
        <f t="shared" si="6"/>
        <v>218.7341017117871</v>
      </c>
    </row>
    <row r="189" spans="1:20" x14ac:dyDescent="0.2">
      <c r="A189" s="169">
        <v>3</v>
      </c>
      <c r="C189" s="177">
        <f>+E189-E188</f>
        <v>165.72960875000007</v>
      </c>
      <c r="D189" s="169">
        <f>+G189-G188</f>
        <v>148.24155396250001</v>
      </c>
      <c r="E189" s="166">
        <v>544.30960875000005</v>
      </c>
      <c r="G189" s="166">
        <v>490.4415539625</v>
      </c>
      <c r="I189" s="166">
        <v>130</v>
      </c>
      <c r="J189" s="166">
        <v>3</v>
      </c>
      <c r="L189" s="186">
        <v>20999.460714285713</v>
      </c>
      <c r="M189" s="187">
        <v>864.77367174435972</v>
      </c>
      <c r="N189" s="174">
        <f t="shared" si="10"/>
        <v>1040.2894665826284</v>
      </c>
      <c r="O189" s="186">
        <v>6828.0536397386386</v>
      </c>
      <c r="P189" s="187">
        <v>1132.0609213635664</v>
      </c>
      <c r="Q189" s="174">
        <f t="shared" si="5"/>
        <v>1361.8257475957028</v>
      </c>
      <c r="R189" s="186">
        <v>10877.781177428844</v>
      </c>
      <c r="S189" s="187">
        <v>190.02859425457928</v>
      </c>
      <c r="T189" s="174">
        <f t="shared" si="6"/>
        <v>228.59709009617217</v>
      </c>
    </row>
    <row r="190" spans="1:20" x14ac:dyDescent="0.2">
      <c r="A190" s="169">
        <v>4</v>
      </c>
      <c r="C190" s="177">
        <f>+E190-E189</f>
        <v>166.80539124999996</v>
      </c>
      <c r="D190" s="169">
        <f>+G190-G189</f>
        <v>151.72844603749996</v>
      </c>
      <c r="E190" s="166">
        <v>711.11500000000001</v>
      </c>
      <c r="G190" s="166">
        <v>642.16999999999996</v>
      </c>
      <c r="I190" s="166">
        <v>132</v>
      </c>
      <c r="J190" s="166">
        <v>4</v>
      </c>
      <c r="L190" s="186">
        <v>17946.539285714287</v>
      </c>
      <c r="M190" s="187">
        <v>826.79347775776318</v>
      </c>
      <c r="N190" s="174">
        <f t="shared" si="10"/>
        <v>979.53104559960457</v>
      </c>
      <c r="O190" s="186">
        <v>5621.9463602613596</v>
      </c>
      <c r="P190" s="187">
        <v>1071.0118577206574</v>
      </c>
      <c r="Q190" s="174">
        <f t="shared" ref="Q190:Q223" si="11">P190/I190*$I$69</f>
        <v>1268.8650709821593</v>
      </c>
      <c r="R190" s="186">
        <v>8525.2188225711561</v>
      </c>
      <c r="S190" s="187">
        <v>190.41732478586363</v>
      </c>
      <c r="T190" s="174">
        <f t="shared" ref="T190:T223" si="12">S190/I190*$I$69</f>
        <v>225.59404042907033</v>
      </c>
    </row>
    <row r="191" spans="1:20" x14ac:dyDescent="0.2">
      <c r="A191" s="166">
        <v>1</v>
      </c>
      <c r="B191" s="166">
        <v>2013</v>
      </c>
      <c r="C191" s="177">
        <f>+E191</f>
        <v>199.180995</v>
      </c>
      <c r="D191" s="169">
        <f>+G191</f>
        <v>183.65288545000001</v>
      </c>
      <c r="E191" s="166">
        <v>199.180995</v>
      </c>
      <c r="G191" s="166">
        <v>183.65288545000001</v>
      </c>
      <c r="I191" s="166">
        <v>133</v>
      </c>
      <c r="J191" s="166">
        <v>1</v>
      </c>
      <c r="K191" s="166">
        <f>B191</f>
        <v>2013</v>
      </c>
      <c r="L191" s="186">
        <v>21974.571815476189</v>
      </c>
      <c r="M191" s="187">
        <v>1023.0812127444322</v>
      </c>
      <c r="N191" s="174">
        <f t="shared" si="10"/>
        <v>1202.9665823687071</v>
      </c>
      <c r="O191" s="186">
        <v>5520.4451678348678</v>
      </c>
      <c r="P191" s="187">
        <v>1148.1840804128565</v>
      </c>
      <c r="Q191" s="174">
        <f t="shared" si="11"/>
        <v>1350.0659204162753</v>
      </c>
      <c r="R191" s="186">
        <v>5958.3970505452735</v>
      </c>
      <c r="S191" s="187">
        <v>167.84779905693762</v>
      </c>
      <c r="T191" s="174">
        <f t="shared" si="12"/>
        <v>197.35998537984355</v>
      </c>
    </row>
    <row r="192" spans="1:20" x14ac:dyDescent="0.2">
      <c r="A192" s="166">
        <v>2</v>
      </c>
      <c r="C192" s="177">
        <f>+E192-E191</f>
        <v>205.01500500000003</v>
      </c>
      <c r="D192" s="169">
        <f>+G192-G191</f>
        <v>185.63411454999996</v>
      </c>
      <c r="E192" s="166">
        <v>404.19600000000003</v>
      </c>
      <c r="G192" s="166">
        <v>369.28699999999998</v>
      </c>
      <c r="I192" s="166">
        <v>134.30000000000001</v>
      </c>
      <c r="J192" s="166">
        <v>2</v>
      </c>
      <c r="L192" s="186">
        <v>23960.428184523811</v>
      </c>
      <c r="M192" s="187">
        <v>1011.581560458749</v>
      </c>
      <c r="N192" s="174">
        <f t="shared" si="10"/>
        <v>1177.9313650956178</v>
      </c>
      <c r="O192" s="186">
        <v>6388.5548321651322</v>
      </c>
      <c r="P192" s="187">
        <v>1133.7065185307133</v>
      </c>
      <c r="Q192" s="174">
        <f t="shared" si="11"/>
        <v>1320.1391950887983</v>
      </c>
      <c r="R192" s="186">
        <v>10154.602949454726</v>
      </c>
      <c r="S192" s="187">
        <v>176.1673175310234</v>
      </c>
      <c r="T192" s="174">
        <f t="shared" si="12"/>
        <v>205.13719994109528</v>
      </c>
    </row>
    <row r="193" spans="1:20" x14ac:dyDescent="0.2">
      <c r="A193" s="166">
        <v>3</v>
      </c>
      <c r="C193" s="177">
        <f>+E193-E192</f>
        <v>172.04383408071794</v>
      </c>
      <c r="D193" s="169">
        <f>+G193-G192</f>
        <v>153.21019910313902</v>
      </c>
      <c r="E193" s="166">
        <v>576.23983408071797</v>
      </c>
      <c r="G193" s="166">
        <v>522.497199103139</v>
      </c>
      <c r="I193" s="166">
        <v>134.19999999999999</v>
      </c>
      <c r="J193" s="166">
        <v>3</v>
      </c>
      <c r="L193" s="186">
        <v>18388.581422924897</v>
      </c>
      <c r="M193" s="187">
        <v>735.52528494140915</v>
      </c>
      <c r="N193" s="174">
        <f t="shared" si="10"/>
        <v>857.11715115918253</v>
      </c>
      <c r="O193" s="186">
        <v>11492.955434782609</v>
      </c>
      <c r="P193" s="187">
        <v>1323.3889549928699</v>
      </c>
      <c r="Q193" s="174">
        <f t="shared" si="11"/>
        <v>1542.162307947541</v>
      </c>
      <c r="R193" s="186">
        <v>11786.02326086957</v>
      </c>
      <c r="S193" s="187">
        <v>172.41802435151402</v>
      </c>
      <c r="T193" s="174">
        <f t="shared" si="12"/>
        <v>200.92095930112913</v>
      </c>
    </row>
    <row r="194" spans="1:20" x14ac:dyDescent="0.2">
      <c r="A194" s="169">
        <v>4</v>
      </c>
      <c r="C194" s="177">
        <f>+E194-E193</f>
        <v>204.099832585949</v>
      </c>
      <c r="D194" s="169">
        <f>+G194-G193</f>
        <v>188.07946756352794</v>
      </c>
      <c r="E194" s="166">
        <v>780.33966666666697</v>
      </c>
      <c r="G194" s="166">
        <v>710.57666666666694</v>
      </c>
      <c r="I194" s="166">
        <v>135.30000000000001</v>
      </c>
      <c r="J194" s="166">
        <v>4</v>
      </c>
      <c r="L194" s="186">
        <v>18420.418577075106</v>
      </c>
      <c r="M194" s="186">
        <v>895.71090498583999</v>
      </c>
      <c r="N194" s="174">
        <f>M194/I194*$I$69</f>
        <v>1035.2974861508544</v>
      </c>
      <c r="O194" s="186">
        <v>7745.0445652173912</v>
      </c>
      <c r="P194" s="186">
        <v>1212.6630411771803</v>
      </c>
      <c r="Q194" s="174">
        <f t="shared" si="11"/>
        <v>1401.6430871728999</v>
      </c>
      <c r="R194" s="186">
        <v>11621.97673913043</v>
      </c>
      <c r="S194" s="186">
        <v>180.100371437175</v>
      </c>
      <c r="T194" s="174">
        <f t="shared" si="12"/>
        <v>208.16701099188924</v>
      </c>
    </row>
    <row r="195" spans="1:20" x14ac:dyDescent="0.2">
      <c r="A195" s="169">
        <v>1</v>
      </c>
      <c r="B195" s="166">
        <v>2014</v>
      </c>
      <c r="C195" s="177">
        <f>E195</f>
        <v>196.17699999999999</v>
      </c>
      <c r="D195" s="169">
        <f>G195</f>
        <v>179.55199999999999</v>
      </c>
      <c r="E195" s="166">
        <v>196.17699999999999</v>
      </c>
      <c r="G195" s="166">
        <v>179.55199999999999</v>
      </c>
      <c r="I195" s="166">
        <v>135.80000000000001</v>
      </c>
      <c r="J195" s="166">
        <f>A195</f>
        <v>1</v>
      </c>
      <c r="K195" s="166">
        <f>B195</f>
        <v>2014</v>
      </c>
      <c r="L195" s="186">
        <v>19713</v>
      </c>
      <c r="M195" s="186">
        <v>886.67647724495987</v>
      </c>
      <c r="N195" s="174">
        <f>M195/I195*$I$69</f>
        <v>1021.081744432644</v>
      </c>
      <c r="O195" s="186">
        <v>7032</v>
      </c>
      <c r="P195" s="186">
        <v>1484.9150299297401</v>
      </c>
      <c r="Q195" s="174">
        <f t="shared" ref="Q195" si="13">P195/I195*$I$69</f>
        <v>1710.0032176403713</v>
      </c>
      <c r="R195" s="186">
        <v>8004</v>
      </c>
      <c r="S195" s="186">
        <v>165.16263465729782</v>
      </c>
      <c r="T195" s="174">
        <f t="shared" ref="T195" si="14">S195/I195*$I$69</f>
        <v>190.19851709043829</v>
      </c>
    </row>
    <row r="196" spans="1:20" x14ac:dyDescent="0.2">
      <c r="A196" s="166">
        <v>2</v>
      </c>
      <c r="C196" s="177">
        <f>+E196-E195</f>
        <v>197.965</v>
      </c>
      <c r="D196" s="169">
        <f>+G196-G195</f>
        <v>179.76700000000002</v>
      </c>
      <c r="E196" s="166">
        <v>394.142</v>
      </c>
      <c r="G196" s="166">
        <v>359.31900000000002</v>
      </c>
      <c r="I196" s="166">
        <v>136.69999999999999</v>
      </c>
      <c r="J196" s="166">
        <v>2</v>
      </c>
      <c r="L196" s="186">
        <v>16691</v>
      </c>
      <c r="M196" s="186">
        <v>732.96206934555016</v>
      </c>
      <c r="N196" s="174">
        <f t="shared" ref="N196:N223" si="15">M196/I196*$I$69</f>
        <v>838.50967969717544</v>
      </c>
      <c r="O196" s="186">
        <v>6228</v>
      </c>
      <c r="P196" s="186">
        <v>1158.7677611998799</v>
      </c>
      <c r="Q196" s="174">
        <f t="shared" si="11"/>
        <v>1325.6320141568635</v>
      </c>
      <c r="R196" s="186">
        <v>11579</v>
      </c>
      <c r="S196" s="186">
        <v>167.32102845142202</v>
      </c>
      <c r="T196" s="174">
        <f t="shared" si="12"/>
        <v>191.41550134876107</v>
      </c>
    </row>
    <row r="197" spans="1:20" x14ac:dyDescent="0.2">
      <c r="A197" s="166">
        <v>3</v>
      </c>
      <c r="C197" s="177">
        <f>+E197-E196</f>
        <v>192.10452006852</v>
      </c>
      <c r="D197" s="169">
        <f>+G197-G196</f>
        <v>173.47352006851992</v>
      </c>
      <c r="E197" s="166">
        <v>586.24652006852</v>
      </c>
      <c r="G197" s="166">
        <v>532.79252006851993</v>
      </c>
      <c r="I197" s="166">
        <v>137</v>
      </c>
      <c r="J197" s="166">
        <v>3</v>
      </c>
      <c r="L197" s="186">
        <v>21817</v>
      </c>
      <c r="M197" s="186">
        <v>1080.59231996894</v>
      </c>
      <c r="N197" s="174">
        <f t="shared" si="15"/>
        <v>1233.4921894769541</v>
      </c>
      <c r="O197" s="186">
        <v>20407</v>
      </c>
      <c r="P197" s="186">
        <v>1259.8740491119995</v>
      </c>
      <c r="Q197" s="174">
        <f t="shared" si="11"/>
        <v>1438.1416289808765</v>
      </c>
      <c r="R197" s="186">
        <v>11684</v>
      </c>
      <c r="S197" s="186">
        <v>177.03184293206914</v>
      </c>
      <c r="T197" s="174">
        <f t="shared" si="12"/>
        <v>202.08120260534042</v>
      </c>
    </row>
    <row r="198" spans="1:20" x14ac:dyDescent="0.2">
      <c r="A198" s="166">
        <v>4</v>
      </c>
      <c r="C198" s="177">
        <f>+E198-E197</f>
        <v>196.808833167682</v>
      </c>
      <c r="D198" s="169">
        <f>+G198-G197</f>
        <v>184.73883316768206</v>
      </c>
      <c r="E198" s="166">
        <v>783.055353236202</v>
      </c>
      <c r="G198" s="166">
        <v>717.53135323620199</v>
      </c>
      <c r="I198" s="166">
        <v>137.9</v>
      </c>
      <c r="J198" s="166">
        <v>4</v>
      </c>
      <c r="L198" s="186">
        <v>20183</v>
      </c>
      <c r="M198" s="186">
        <v>869.67426416194962</v>
      </c>
      <c r="N198" s="174">
        <f t="shared" si="15"/>
        <v>986.25097752695069</v>
      </c>
      <c r="O198" s="186">
        <v>12863</v>
      </c>
      <c r="P198" s="186">
        <v>1106.850761909501</v>
      </c>
      <c r="Q198" s="174">
        <f t="shared" si="11"/>
        <v>1255.2201334388492</v>
      </c>
      <c r="R198" s="186">
        <v>9690</v>
      </c>
      <c r="S198" s="186">
        <v>175.42101671448501</v>
      </c>
      <c r="T198" s="174">
        <f t="shared" si="12"/>
        <v>198.93557432120915</v>
      </c>
    </row>
    <row r="199" spans="1:20" x14ac:dyDescent="0.2">
      <c r="A199" s="166">
        <v>1</v>
      </c>
      <c r="B199" s="166">
        <v>2015</v>
      </c>
      <c r="C199" s="177">
        <f>E199</f>
        <v>219.418599054541</v>
      </c>
      <c r="D199" s="169">
        <f>G199</f>
        <v>202.59159905454101</v>
      </c>
      <c r="E199" s="166">
        <v>219.418599054541</v>
      </c>
      <c r="G199" s="166">
        <v>202.59159905454101</v>
      </c>
      <c r="I199" s="166">
        <v>138.4</v>
      </c>
      <c r="J199" s="166">
        <v>1</v>
      </c>
      <c r="K199" s="166">
        <v>2015</v>
      </c>
      <c r="L199" s="186">
        <v>19630</v>
      </c>
      <c r="M199" s="186">
        <v>957.60520650282388</v>
      </c>
      <c r="N199" s="174">
        <f t="shared" si="15"/>
        <v>1082.0454495588449</v>
      </c>
      <c r="O199" s="186">
        <v>9848</v>
      </c>
      <c r="P199" s="186">
        <v>1279.8360091262539</v>
      </c>
      <c r="Q199" s="174">
        <f t="shared" si="11"/>
        <v>1446.1499587226101</v>
      </c>
      <c r="R199" s="186">
        <v>7135</v>
      </c>
      <c r="S199" s="186">
        <v>155.36971992416409</v>
      </c>
      <c r="T199" s="174">
        <f t="shared" si="12"/>
        <v>175.55992521922258</v>
      </c>
    </row>
    <row r="200" spans="1:20" x14ac:dyDescent="0.2">
      <c r="A200" s="166">
        <v>2</v>
      </c>
      <c r="C200" s="177">
        <f>+E200-E199</f>
        <v>188.69592411436798</v>
      </c>
      <c r="D200" s="169">
        <f>+G200-G199</f>
        <v>171.45081948058601</v>
      </c>
      <c r="E200" s="166">
        <v>408.11452316890899</v>
      </c>
      <c r="G200" s="166">
        <v>374.04241853512701</v>
      </c>
      <c r="I200" s="166">
        <v>139.6</v>
      </c>
      <c r="J200" s="166">
        <v>2</v>
      </c>
      <c r="L200" s="186">
        <v>15703.949675889351</v>
      </c>
      <c r="M200" s="186">
        <v>739.71582874915612</v>
      </c>
      <c r="N200" s="174">
        <f t="shared" si="15"/>
        <v>828.65658939066475</v>
      </c>
      <c r="O200" s="186">
        <v>5422.7168724637304</v>
      </c>
      <c r="P200" s="186">
        <v>1206.7408437095464</v>
      </c>
      <c r="Q200" s="174">
        <f t="shared" si="11"/>
        <v>1351.8350060423886</v>
      </c>
      <c r="R200" s="186">
        <v>9988.3050621118018</v>
      </c>
      <c r="S200" s="186">
        <v>168.85276765034422</v>
      </c>
      <c r="T200" s="174">
        <f t="shared" si="12"/>
        <v>189.15501482091034</v>
      </c>
    </row>
    <row r="201" spans="1:20" x14ac:dyDescent="0.2">
      <c r="A201" s="166">
        <v>3</v>
      </c>
      <c r="C201" s="177">
        <f>+E201-E200</f>
        <v>180.38826158445403</v>
      </c>
      <c r="D201" s="169">
        <f>+G201-G200</f>
        <v>162.29720926756397</v>
      </c>
      <c r="E201" s="166">
        <v>588.50278475336302</v>
      </c>
      <c r="G201" s="166">
        <v>536.33962780269098</v>
      </c>
      <c r="I201" s="166">
        <v>139.69999999999999</v>
      </c>
      <c r="J201" s="166">
        <v>3</v>
      </c>
      <c r="L201" s="186">
        <v>22728.974837944646</v>
      </c>
      <c r="M201" s="186">
        <v>979.87465749478997</v>
      </c>
      <c r="N201" s="174">
        <f t="shared" si="15"/>
        <v>1096.905499730299</v>
      </c>
      <c r="O201" s="186">
        <v>8619.8584362319707</v>
      </c>
      <c r="P201" s="186">
        <v>1341.1049733657396</v>
      </c>
      <c r="Q201" s="174">
        <f t="shared" si="11"/>
        <v>1501.2791786671528</v>
      </c>
      <c r="R201" s="186">
        <v>10649.652531055901</v>
      </c>
      <c r="S201" s="186">
        <v>131.16322330640469</v>
      </c>
      <c r="T201" s="174">
        <f t="shared" si="12"/>
        <v>146.82863762900573</v>
      </c>
    </row>
    <row r="202" spans="1:20" x14ac:dyDescent="0.2">
      <c r="A202" s="166">
        <v>4</v>
      </c>
      <c r="C202" s="177">
        <f>+E202-E201</f>
        <v>195.22963867497901</v>
      </c>
      <c r="D202" s="169">
        <f>+G202-G201</f>
        <v>179.89113138755602</v>
      </c>
      <c r="E202" s="166">
        <v>783.73242342834203</v>
      </c>
      <c r="G202" s="166">
        <v>716.230759190247</v>
      </c>
      <c r="I202" s="166">
        <v>141.69999999999999</v>
      </c>
      <c r="J202" s="166">
        <v>4</v>
      </c>
      <c r="L202" s="186">
        <v>17661.404213438705</v>
      </c>
      <c r="M202" s="186">
        <v>882.4718984768997</v>
      </c>
      <c r="N202" s="174">
        <f t="shared" si="15"/>
        <v>973.92637856958356</v>
      </c>
      <c r="O202" s="186">
        <v>7193.856491304301</v>
      </c>
      <c r="P202" s="186">
        <v>1425.3376484527203</v>
      </c>
      <c r="Q202" s="174">
        <f t="shared" si="11"/>
        <v>1573.0517159723267</v>
      </c>
      <c r="R202" s="186">
        <v>9159.825978260902</v>
      </c>
      <c r="S202" s="186">
        <v>158.55842389179503</v>
      </c>
      <c r="T202" s="174">
        <f t="shared" si="12"/>
        <v>174.99053719349592</v>
      </c>
    </row>
    <row r="203" spans="1:20" x14ac:dyDescent="0.2">
      <c r="A203" s="166">
        <v>1</v>
      </c>
      <c r="B203" s="166">
        <v>2016</v>
      </c>
      <c r="C203" s="177">
        <f>E203</f>
        <v>217.297581707322</v>
      </c>
      <c r="D203" s="169">
        <f>G203</f>
        <v>201.19677375494101</v>
      </c>
      <c r="E203" s="166">
        <v>217.297581707322</v>
      </c>
      <c r="G203" s="166">
        <v>201.19677375494101</v>
      </c>
      <c r="I203" s="166">
        <v>142.69999999999999</v>
      </c>
      <c r="J203" s="166">
        <v>1</v>
      </c>
      <c r="K203" s="166">
        <v>2016</v>
      </c>
      <c r="L203" s="186">
        <v>20668.165818181998</v>
      </c>
      <c r="M203" s="186">
        <v>1021.6300324660001</v>
      </c>
      <c r="N203" s="174">
        <f t="shared" si="15"/>
        <v>1119.6048537294707</v>
      </c>
      <c r="O203" s="186">
        <v>6682.5362000000005</v>
      </c>
      <c r="P203" s="186">
        <v>1267.176908724</v>
      </c>
      <c r="Q203" s="174">
        <f t="shared" si="11"/>
        <v>1388.6997958710776</v>
      </c>
      <c r="R203" s="186">
        <v>6340.7358571430004</v>
      </c>
      <c r="S203" s="186">
        <v>128.592957756</v>
      </c>
      <c r="T203" s="174">
        <f t="shared" si="12"/>
        <v>140.92508548473768</v>
      </c>
    </row>
    <row r="204" spans="1:20" x14ac:dyDescent="0.2">
      <c r="A204" s="166">
        <v>2</v>
      </c>
      <c r="C204" s="177">
        <f>+E204-E203</f>
        <v>210.94903078835901</v>
      </c>
      <c r="D204" s="169">
        <f>+G204-G203</f>
        <v>192.89311593057502</v>
      </c>
      <c r="E204" s="166">
        <v>428.24661249568101</v>
      </c>
      <c r="G204" s="166">
        <v>394.08988968551603</v>
      </c>
      <c r="I204" s="166">
        <v>144.30000000000001</v>
      </c>
      <c r="J204" s="166">
        <v>2</v>
      </c>
      <c r="L204" s="186">
        <v>19039.287573122998</v>
      </c>
      <c r="M204" s="186">
        <v>795.20392340999979</v>
      </c>
      <c r="N204" s="174">
        <f t="shared" si="15"/>
        <v>861.80156314949977</v>
      </c>
      <c r="O204" s="186">
        <v>5385.3991579709982</v>
      </c>
      <c r="P204" s="186">
        <v>991.5183596400002</v>
      </c>
      <c r="Q204" s="174">
        <f t="shared" si="11"/>
        <v>1074.5571633562124</v>
      </c>
      <c r="R204" s="186">
        <v>10107.700518632999</v>
      </c>
      <c r="S204" s="186">
        <v>152.61472035099999</v>
      </c>
      <c r="T204" s="174">
        <f t="shared" si="12"/>
        <v>165.39607097776255</v>
      </c>
    </row>
    <row r="205" spans="1:20" x14ac:dyDescent="0.2">
      <c r="A205" s="166">
        <v>3</v>
      </c>
      <c r="C205" s="177">
        <f>+E205-E204</f>
        <v>193.64755294266695</v>
      </c>
      <c r="D205" s="169">
        <f>+G205-G204</f>
        <v>175.641874720337</v>
      </c>
      <c r="E205" s="166">
        <v>621.89416543834795</v>
      </c>
      <c r="G205" s="166">
        <v>569.73176440585303</v>
      </c>
      <c r="I205" s="166">
        <v>145.30000000000001</v>
      </c>
      <c r="J205" s="166">
        <v>3</v>
      </c>
      <c r="L205" s="186">
        <v>25325.005330874006</v>
      </c>
      <c r="M205" s="186">
        <v>1404.3111468839998</v>
      </c>
      <c r="N205" s="174">
        <f t="shared" si="15"/>
        <v>1511.4466531689902</v>
      </c>
      <c r="O205" s="186">
        <v>9666.7747891530034</v>
      </c>
      <c r="P205" s="186">
        <v>1492.4533452979995</v>
      </c>
      <c r="Q205" s="174">
        <f t="shared" si="11"/>
        <v>1606.3132581171897</v>
      </c>
      <c r="R205" s="186">
        <v>10325.156290487997</v>
      </c>
      <c r="S205" s="186">
        <v>149.15188867200001</v>
      </c>
      <c r="T205" s="174">
        <f t="shared" si="12"/>
        <v>160.53075092891066</v>
      </c>
    </row>
    <row r="206" spans="1:20" x14ac:dyDescent="0.2">
      <c r="A206" s="166">
        <v>4</v>
      </c>
      <c r="C206" s="177">
        <f>+E206-E205</f>
        <v>194.66297676649504</v>
      </c>
      <c r="D206" s="169">
        <f>+G206-G205</f>
        <v>178.45454935802093</v>
      </c>
      <c r="E206" s="166">
        <v>816.55714220484299</v>
      </c>
      <c r="G206" s="166">
        <v>748.18631376387395</v>
      </c>
      <c r="I206" s="166">
        <v>146.69999999999999</v>
      </c>
      <c r="J206" s="166">
        <v>4</v>
      </c>
      <c r="L206" s="186">
        <v>18369.446222722992</v>
      </c>
      <c r="M206" s="186">
        <v>962.00640138500057</v>
      </c>
      <c r="N206" s="174">
        <f t="shared" si="15"/>
        <v>1025.5171852801182</v>
      </c>
      <c r="O206" s="186">
        <v>6575.4640743699983</v>
      </c>
      <c r="P206" s="186">
        <v>1222.1149542560006</v>
      </c>
      <c r="Q206" s="174">
        <f t="shared" si="11"/>
        <v>1302.7978672210272</v>
      </c>
      <c r="R206" s="186">
        <v>7957.0224983410008</v>
      </c>
      <c r="S206" s="186">
        <v>147.86469469900001</v>
      </c>
      <c r="T206" s="174">
        <f t="shared" si="12"/>
        <v>157.62658677916238</v>
      </c>
    </row>
    <row r="207" spans="1:20" x14ac:dyDescent="0.2">
      <c r="A207" s="166">
        <v>1</v>
      </c>
      <c r="B207" s="166">
        <v>2017</v>
      </c>
      <c r="C207" s="177">
        <f>E207</f>
        <v>227.02914608932699</v>
      </c>
      <c r="D207" s="169">
        <f>G207</f>
        <v>210.737716871462</v>
      </c>
      <c r="E207" s="166">
        <v>227.02914608932699</v>
      </c>
      <c r="G207" s="166">
        <v>210.737716871462</v>
      </c>
      <c r="I207" s="166">
        <v>146.4</v>
      </c>
      <c r="J207" s="166">
        <v>1</v>
      </c>
      <c r="K207" s="166">
        <v>2017</v>
      </c>
      <c r="L207" s="186">
        <v>20188.970584052</v>
      </c>
      <c r="M207" s="186">
        <v>1029.1484993670001</v>
      </c>
      <c r="N207" s="174">
        <f t="shared" si="15"/>
        <v>1099.3400824693192</v>
      </c>
      <c r="O207" s="186">
        <v>7124.2571060979999</v>
      </c>
      <c r="P207" s="186">
        <v>1296.4468783369998</v>
      </c>
      <c r="Q207" s="174">
        <f t="shared" si="11"/>
        <v>1384.8691603055447</v>
      </c>
      <c r="R207" s="186">
        <v>6121.3819215860003</v>
      </c>
      <c r="S207" s="186">
        <v>141.149656131</v>
      </c>
      <c r="T207" s="174">
        <f t="shared" si="12"/>
        <v>150.77656403037184</v>
      </c>
    </row>
    <row r="208" spans="1:20" x14ac:dyDescent="0.2">
      <c r="A208" s="166">
        <v>2</v>
      </c>
      <c r="C208" s="177">
        <f>+E208-E207</f>
        <v>200.76722202181199</v>
      </c>
      <c r="D208" s="169">
        <f>+G208-G207</f>
        <v>183.70797761744905</v>
      </c>
      <c r="E208" s="166">
        <v>427.79636811113897</v>
      </c>
      <c r="G208" s="166">
        <v>394.44569448891104</v>
      </c>
      <c r="I208" s="166">
        <v>147.4</v>
      </c>
      <c r="J208" s="166">
        <v>2</v>
      </c>
      <c r="L208" s="186">
        <v>16357.538075795001</v>
      </c>
      <c r="M208" s="186">
        <v>768.50776898899994</v>
      </c>
      <c r="N208" s="174">
        <f t="shared" si="15"/>
        <v>815.35337485308526</v>
      </c>
      <c r="O208" s="186">
        <v>5007.3623026510004</v>
      </c>
      <c r="P208" s="186">
        <v>1681.8190342150001</v>
      </c>
      <c r="Q208" s="174">
        <f t="shared" si="11"/>
        <v>1784.3369719519187</v>
      </c>
      <c r="R208" s="186">
        <v>7194.9193664359991</v>
      </c>
      <c r="S208" s="186">
        <v>119.946167266</v>
      </c>
      <c r="T208" s="174">
        <f t="shared" si="12"/>
        <v>127.2576754945279</v>
      </c>
    </row>
    <row r="209" spans="1:20" x14ac:dyDescent="0.2">
      <c r="A209" s="166">
        <v>3</v>
      </c>
      <c r="C209" s="177">
        <f>+E209-E208</f>
        <v>195.05863188886104</v>
      </c>
      <c r="D209" s="169">
        <f>+G209-G208</f>
        <v>176.76630551108894</v>
      </c>
      <c r="E209" s="166">
        <v>622.85500000000002</v>
      </c>
      <c r="G209" s="166">
        <v>571.21199999999999</v>
      </c>
      <c r="I209" s="166">
        <v>147.30000000000001</v>
      </c>
      <c r="J209" s="166">
        <v>3</v>
      </c>
      <c r="L209" s="186">
        <v>19399</v>
      </c>
      <c r="M209" s="186">
        <v>907</v>
      </c>
      <c r="N209" s="174">
        <f t="shared" si="15"/>
        <v>962.94090291921259</v>
      </c>
      <c r="O209" s="186">
        <v>8892</v>
      </c>
      <c r="P209" s="186">
        <v>954</v>
      </c>
      <c r="Q209" s="174">
        <f t="shared" si="11"/>
        <v>1012.8397148676171</v>
      </c>
      <c r="R209" s="186">
        <v>8727</v>
      </c>
      <c r="S209" s="186">
        <v>128</v>
      </c>
      <c r="T209" s="174">
        <f t="shared" si="12"/>
        <v>135.89463679565512</v>
      </c>
    </row>
    <row r="210" spans="1:20" x14ac:dyDescent="0.2">
      <c r="A210" s="166">
        <v>4</v>
      </c>
      <c r="C210" s="177">
        <f>+E210-E209</f>
        <v>225.423</v>
      </c>
      <c r="D210" s="169">
        <f>+G210-G209</f>
        <v>208.21799999999996</v>
      </c>
      <c r="E210" s="166">
        <v>848.27800000000002</v>
      </c>
      <c r="G210" s="166">
        <v>779.43</v>
      </c>
      <c r="I210" s="166">
        <v>148.4</v>
      </c>
      <c r="J210" s="166">
        <v>4</v>
      </c>
      <c r="L210" s="186">
        <v>23333</v>
      </c>
      <c r="M210" s="186">
        <v>1141</v>
      </c>
      <c r="N210" s="174">
        <f t="shared" si="15"/>
        <v>1202.3941037735849</v>
      </c>
      <c r="O210" s="186">
        <v>6366</v>
      </c>
      <c r="P210" s="186">
        <v>1205</v>
      </c>
      <c r="Q210" s="174">
        <f t="shared" si="11"/>
        <v>1269.8377695417789</v>
      </c>
      <c r="R210" s="186">
        <v>7520</v>
      </c>
      <c r="S210" s="186">
        <v>124</v>
      </c>
      <c r="T210" s="174">
        <f t="shared" si="12"/>
        <v>130.67210242587603</v>
      </c>
    </row>
    <row r="211" spans="1:20" x14ac:dyDescent="0.2">
      <c r="A211" s="166">
        <v>1</v>
      </c>
      <c r="B211" s="166">
        <v>2018</v>
      </c>
      <c r="C211" s="177">
        <f>E211</f>
        <v>241.52799999999999</v>
      </c>
      <c r="D211" s="177">
        <f>G211</f>
        <v>222.678</v>
      </c>
      <c r="E211" s="166">
        <v>241.52799999999999</v>
      </c>
      <c r="G211" s="166">
        <v>222.678</v>
      </c>
      <c r="I211" s="166">
        <v>149.69999999999999</v>
      </c>
      <c r="J211" s="166">
        <v>1</v>
      </c>
      <c r="K211" s="166">
        <v>2018</v>
      </c>
      <c r="L211" s="186">
        <v>25111</v>
      </c>
      <c r="M211" s="186">
        <v>1175</v>
      </c>
      <c r="N211" s="174">
        <f t="shared" si="15"/>
        <v>1227.4707748830997</v>
      </c>
      <c r="O211" s="186">
        <v>6317</v>
      </c>
      <c r="P211" s="186">
        <v>1262</v>
      </c>
      <c r="Q211" s="174">
        <f t="shared" si="11"/>
        <v>1318.3558450233804</v>
      </c>
      <c r="R211" s="186">
        <v>5433</v>
      </c>
      <c r="S211" s="186">
        <v>116</v>
      </c>
      <c r="T211" s="174">
        <f t="shared" si="12"/>
        <v>121.1800935203741</v>
      </c>
    </row>
    <row r="212" spans="1:20" x14ac:dyDescent="0.2">
      <c r="A212" s="166">
        <v>2</v>
      </c>
      <c r="C212" s="177">
        <f>+E212-E211</f>
        <v>226.77080239162902</v>
      </c>
      <c r="D212" s="177">
        <f>+G212-G211</f>
        <v>208.83864191330298</v>
      </c>
      <c r="E212" s="166">
        <v>468.29880239162901</v>
      </c>
      <c r="G212" s="166">
        <v>431.51664191330298</v>
      </c>
      <c r="I212" s="166">
        <v>150.80000000000001</v>
      </c>
      <c r="J212" s="166">
        <v>2</v>
      </c>
      <c r="L212" s="186">
        <v>20973.437462450995</v>
      </c>
      <c r="M212" s="186">
        <v>1076.7915513600001</v>
      </c>
      <c r="N212" s="174">
        <f t="shared" si="15"/>
        <v>1116.6713976089763</v>
      </c>
      <c r="O212" s="186">
        <v>5869.5992710140017</v>
      </c>
      <c r="P212" s="186">
        <v>1471.9660798479999</v>
      </c>
      <c r="Q212" s="174">
        <f t="shared" si="11"/>
        <v>1526.4815344630601</v>
      </c>
      <c r="R212" s="186">
        <v>9319.6839472049996</v>
      </c>
      <c r="S212" s="186">
        <v>135.61776245999999</v>
      </c>
      <c r="T212" s="174">
        <f t="shared" si="12"/>
        <v>140.64047600999402</v>
      </c>
    </row>
    <row r="213" spans="1:20" x14ac:dyDescent="0.2">
      <c r="A213" s="166">
        <v>3</v>
      </c>
      <c r="C213" s="177">
        <f>+E213-E212</f>
        <v>230.04425590433516</v>
      </c>
      <c r="D213" s="177">
        <f>+G213-G212</f>
        <v>207.39460472346803</v>
      </c>
      <c r="E213" s="166">
        <v>698.34305829596417</v>
      </c>
      <c r="G213" s="166">
        <v>638.91124663677101</v>
      </c>
      <c r="I213" s="166">
        <v>152.30000000000001</v>
      </c>
      <c r="J213" s="166">
        <v>3</v>
      </c>
      <c r="L213" s="186">
        <v>22635.655438734771</v>
      </c>
      <c r="M213" s="186">
        <v>1212.1884087902995</v>
      </c>
      <c r="N213" s="174">
        <f t="shared" si="15"/>
        <v>1244.7018011074917</v>
      </c>
      <c r="O213" s="186">
        <v>10333.380031159912</v>
      </c>
      <c r="P213" s="186">
        <v>1822.4517080118057</v>
      </c>
      <c r="Q213" s="174">
        <f t="shared" si="11"/>
        <v>1871.3336202063444</v>
      </c>
      <c r="R213" s="186">
        <v>9726.2967189440697</v>
      </c>
      <c r="S213" s="186">
        <v>150.27129325880639</v>
      </c>
      <c r="T213" s="174">
        <f t="shared" si="12"/>
        <v>154.30187916138175</v>
      </c>
    </row>
    <row r="214" spans="1:20" x14ac:dyDescent="0.2">
      <c r="A214" s="166">
        <v>4</v>
      </c>
      <c r="C214" s="177">
        <f>+E214-E213</f>
        <v>212.66674917787782</v>
      </c>
      <c r="D214" s="177">
        <f>+G214-G213</f>
        <v>195.66619934230232</v>
      </c>
      <c r="E214" s="166">
        <v>911.00980747384199</v>
      </c>
      <c r="G214" s="166">
        <v>834.57744597907333</v>
      </c>
      <c r="I214" s="166">
        <v>153.6</v>
      </c>
      <c r="J214" s="166">
        <v>4</v>
      </c>
      <c r="L214" s="186">
        <v>22335.438371541502</v>
      </c>
      <c r="M214" s="186">
        <v>1078.6341079945755</v>
      </c>
      <c r="N214" s="174">
        <f t="shared" si="15"/>
        <v>1098.1913735594512</v>
      </c>
      <c r="O214" s="186">
        <v>7362.2217963768126</v>
      </c>
      <c r="P214" s="186">
        <v>1452.0805351783911</v>
      </c>
      <c r="Q214" s="174">
        <f t="shared" si="11"/>
        <v>1478.4089485278173</v>
      </c>
      <c r="R214" s="186">
        <v>8182.2589673913026</v>
      </c>
      <c r="S214" s="186">
        <v>116.53210966099653</v>
      </c>
      <c r="T214" s="174">
        <f t="shared" si="12"/>
        <v>118.64501282119105</v>
      </c>
    </row>
    <row r="215" spans="1:20" x14ac:dyDescent="0.2">
      <c r="A215" s="166">
        <v>1</v>
      </c>
      <c r="B215" s="166">
        <v>2019</v>
      </c>
      <c r="C215" s="177">
        <f>E215</f>
        <v>242.05576995515696</v>
      </c>
      <c r="D215" s="177">
        <f>G215</f>
        <v>223.58363596412556</v>
      </c>
      <c r="E215" s="166">
        <v>242.05576995515696</v>
      </c>
      <c r="G215" s="166">
        <v>223.58363596412556</v>
      </c>
      <c r="I215" s="166">
        <v>154.1</v>
      </c>
      <c r="J215" s="166">
        <v>1</v>
      </c>
      <c r="K215" s="166">
        <v>2019</v>
      </c>
      <c r="L215" s="186">
        <v>22394.924612648225</v>
      </c>
      <c r="M215" s="186">
        <v>1151.1138601930163</v>
      </c>
      <c r="N215" s="174">
        <f t="shared" si="15"/>
        <v>1168.1826153555151</v>
      </c>
      <c r="O215" s="186">
        <v>6179.0660115942028</v>
      </c>
      <c r="P215" s="186">
        <v>1384.5030606846908</v>
      </c>
      <c r="Q215" s="174">
        <f t="shared" si="11"/>
        <v>1405.0325187876406</v>
      </c>
      <c r="R215" s="186">
        <v>6840.1016739130437</v>
      </c>
      <c r="S215" s="186">
        <v>122.43916062391185</v>
      </c>
      <c r="T215" s="174">
        <f t="shared" si="12"/>
        <v>124.25469262926967</v>
      </c>
    </row>
    <row r="216" spans="1:20" x14ac:dyDescent="0.2">
      <c r="A216" s="166">
        <v>2</v>
      </c>
      <c r="C216" s="177">
        <f>+E216-E215</f>
        <v>221.71122705530604</v>
      </c>
      <c r="D216" s="177">
        <f>+G216-G215</f>
        <v>199.97176164424542</v>
      </c>
      <c r="E216" s="166">
        <v>463.766997010463</v>
      </c>
      <c r="G216" s="166">
        <v>423.55539760837098</v>
      </c>
      <c r="I216" s="166">
        <v>154.6</v>
      </c>
      <c r="J216" s="166">
        <v>2</v>
      </c>
      <c r="L216" s="186">
        <v>19703.243703557309</v>
      </c>
      <c r="M216" s="186">
        <v>1006.9446819648526</v>
      </c>
      <c r="N216" s="174">
        <f t="shared" si="15"/>
        <v>1018.5707897094017</v>
      </c>
      <c r="O216" s="186">
        <v>8628.701004347824</v>
      </c>
      <c r="P216" s="186">
        <v>1346.7424148398591</v>
      </c>
      <c r="Q216" s="174">
        <f t="shared" si="11"/>
        <v>1362.2918017123636</v>
      </c>
      <c r="R216" s="186">
        <v>10227.612341614906</v>
      </c>
      <c r="S216" s="186">
        <v>141.53554504088498</v>
      </c>
      <c r="T216" s="174">
        <f t="shared" si="12"/>
        <v>143.16970382418373</v>
      </c>
    </row>
    <row r="217" spans="1:20" x14ac:dyDescent="0.2">
      <c r="A217" s="166">
        <v>3</v>
      </c>
      <c r="C217" s="177">
        <f>+E217-E216</f>
        <v>200.66800298953694</v>
      </c>
      <c r="D217" s="177">
        <f>+G217-G216</f>
        <v>183.517602391629</v>
      </c>
      <c r="E217" s="166">
        <v>664.43499999999995</v>
      </c>
      <c r="G217" s="166">
        <v>607.07299999999998</v>
      </c>
      <c r="I217" s="166">
        <v>154.69999999999999</v>
      </c>
      <c r="J217" s="166">
        <v>3</v>
      </c>
      <c r="L217" s="186">
        <v>26165.077849802379</v>
      </c>
      <c r="M217" s="186">
        <v>1402.3482904344257</v>
      </c>
      <c r="N217" s="174">
        <f t="shared" si="15"/>
        <v>1417.6227369074836</v>
      </c>
      <c r="O217" s="186">
        <v>13748.462299275363</v>
      </c>
      <c r="P217" s="186">
        <v>1484.9789315777889</v>
      </c>
      <c r="Q217" s="174">
        <f t="shared" si="11"/>
        <v>1501.1533950536041</v>
      </c>
      <c r="R217" s="186">
        <v>10507.793672360251</v>
      </c>
      <c r="S217" s="186">
        <v>144.78676128055025</v>
      </c>
      <c r="T217" s="174">
        <f t="shared" si="12"/>
        <v>146.36378579740693</v>
      </c>
    </row>
    <row r="218" spans="1:20" x14ac:dyDescent="0.2">
      <c r="A218" s="166">
        <v>4</v>
      </c>
      <c r="C218" s="177">
        <f>+E218-E217</f>
        <v>216.91973572496272</v>
      </c>
      <c r="D218" s="177">
        <f>+G218-G217</f>
        <v>199.72038857997018</v>
      </c>
      <c r="E218" s="166">
        <v>881.35473572496267</v>
      </c>
      <c r="G218" s="166">
        <v>806.79338857997016</v>
      </c>
      <c r="I218" s="166">
        <v>156.1</v>
      </c>
      <c r="J218" s="166">
        <v>4</v>
      </c>
      <c r="L218" s="186">
        <v>22621.988837944664</v>
      </c>
      <c r="M218" s="186">
        <v>1317.7971704198299</v>
      </c>
      <c r="N218" s="174">
        <f t="shared" si="15"/>
        <v>1320.2031421915767</v>
      </c>
      <c r="O218" s="186">
        <v>7776.9221253623255</v>
      </c>
      <c r="P218" s="186">
        <v>1227.7391162265512</v>
      </c>
      <c r="Q218" s="174">
        <f t="shared" si="11"/>
        <v>1229.9806642606613</v>
      </c>
      <c r="R218" s="186">
        <v>9597.5708897515542</v>
      </c>
      <c r="S218" s="186">
        <v>133.20019148427383</v>
      </c>
      <c r="T218" s="174">
        <f t="shared" si="12"/>
        <v>133.44338209652892</v>
      </c>
    </row>
    <row r="219" spans="1:20" x14ac:dyDescent="0.2">
      <c r="A219" s="166">
        <v>1</v>
      </c>
      <c r="B219" s="166">
        <v>2020</v>
      </c>
      <c r="C219" s="177">
        <f>E219</f>
        <v>245.16278393124065</v>
      </c>
      <c r="D219" s="177">
        <f>G219</f>
        <v>227.94719714499254</v>
      </c>
      <c r="E219" s="166">
        <v>245.16278393124065</v>
      </c>
      <c r="G219" s="166">
        <v>227.94719714499254</v>
      </c>
      <c r="I219" s="166">
        <v>155.52000000000001</v>
      </c>
      <c r="J219" s="166">
        <v>1</v>
      </c>
      <c r="K219" s="166">
        <v>2020</v>
      </c>
      <c r="L219" s="186">
        <v>22417.308750988144</v>
      </c>
      <c r="M219" s="186">
        <v>1187.0066434405767</v>
      </c>
      <c r="N219" s="174">
        <f t="shared" si="15"/>
        <v>1193.6087572945899</v>
      </c>
      <c r="O219" s="186">
        <v>7817.2878601449283</v>
      </c>
      <c r="P219" s="186">
        <v>1773.3957103534681</v>
      </c>
      <c r="Q219" s="174">
        <f t="shared" si="11"/>
        <v>1783.2593117517176</v>
      </c>
      <c r="R219" s="186">
        <v>8173.2696444099374</v>
      </c>
      <c r="S219" s="186">
        <v>145.83786039029874</v>
      </c>
      <c r="T219" s="174">
        <f t="shared" si="12"/>
        <v>146.64900846924428</v>
      </c>
    </row>
    <row r="220" spans="1:20" x14ac:dyDescent="0.2">
      <c r="A220" s="166">
        <v>2</v>
      </c>
      <c r="C220" s="177">
        <f>+E220-E219</f>
        <v>219.4338294469357</v>
      </c>
      <c r="D220" s="177">
        <f>+G220-G219</f>
        <v>199.23928355754859</v>
      </c>
      <c r="E220" s="185">
        <v>464.59661337817636</v>
      </c>
      <c r="G220" s="166">
        <v>427.18648070254113</v>
      </c>
      <c r="I220" s="166">
        <v>156.5</v>
      </c>
      <c r="J220" s="166">
        <v>2</v>
      </c>
      <c r="L220" s="186">
        <v>20318.697663474304</v>
      </c>
      <c r="M220" s="186">
        <v>1003.3659178621033</v>
      </c>
      <c r="N220" s="174">
        <f t="shared" si="15"/>
        <v>1002.6286202227799</v>
      </c>
      <c r="O220" s="186">
        <v>6698.4276256020294</v>
      </c>
      <c r="P220" s="186">
        <v>1195.3385633418739</v>
      </c>
      <c r="Q220" s="174">
        <f t="shared" si="11"/>
        <v>1194.4601995413352</v>
      </c>
      <c r="R220" s="186">
        <v>9378.7613872911825</v>
      </c>
      <c r="S220" s="186">
        <v>125.6048434375343</v>
      </c>
      <c r="T220" s="174">
        <f t="shared" si="12"/>
        <v>125.51254594874635</v>
      </c>
    </row>
    <row r="221" spans="1:20" x14ac:dyDescent="0.2">
      <c r="A221" s="166">
        <v>3</v>
      </c>
      <c r="C221" s="177">
        <f>+E221-E220</f>
        <v>230.4091689088192</v>
      </c>
      <c r="D221" s="177">
        <f>+G221-G220</f>
        <v>212.03913512705532</v>
      </c>
      <c r="E221" s="185">
        <v>695.00578228699555</v>
      </c>
      <c r="G221" s="166">
        <v>639.22561582959645</v>
      </c>
      <c r="I221" s="166">
        <v>157.30000000000001</v>
      </c>
      <c r="J221" s="166">
        <v>3</v>
      </c>
      <c r="L221" s="186">
        <v>23115.129949173919</v>
      </c>
      <c r="M221" s="186">
        <v>1190.2908927373355</v>
      </c>
      <c r="N221" s="174">
        <f t="shared" si="15"/>
        <v>1183.3670773091433</v>
      </c>
      <c r="O221" s="186">
        <v>9381.5569490356484</v>
      </c>
      <c r="P221" s="186">
        <v>1044.8337260564822</v>
      </c>
      <c r="Q221" s="174">
        <f t="shared" si="11"/>
        <v>1038.756021928436</v>
      </c>
      <c r="R221" s="186">
        <v>12479.986334758509</v>
      </c>
      <c r="S221" s="186">
        <v>159.02277544572789</v>
      </c>
      <c r="T221" s="174">
        <f t="shared" si="12"/>
        <v>158.09775421538563</v>
      </c>
    </row>
    <row r="222" spans="1:20" x14ac:dyDescent="0.2">
      <c r="A222" s="166">
        <v>4</v>
      </c>
      <c r="C222" s="177">
        <f>+E222-E221</f>
        <v>210.53825269058302</v>
      </c>
      <c r="D222" s="177">
        <f>+G222-G221</f>
        <v>195.42257215246639</v>
      </c>
      <c r="E222" s="185">
        <v>905.54403497757858</v>
      </c>
      <c r="G222" s="166">
        <v>834.64818798206284</v>
      </c>
      <c r="I222" s="166">
        <v>156.1</v>
      </c>
      <c r="J222" s="166">
        <v>4</v>
      </c>
      <c r="L222" s="186">
        <v>24544.608407612643</v>
      </c>
      <c r="M222" s="186">
        <v>1241.5801516088959</v>
      </c>
      <c r="N222" s="174">
        <f t="shared" si="15"/>
        <v>1243.8469699510392</v>
      </c>
      <c r="O222" s="186">
        <v>8299.8127776884066</v>
      </c>
      <c r="P222" s="186">
        <v>1192.0542375158043</v>
      </c>
      <c r="Q222" s="174">
        <f t="shared" si="11"/>
        <v>1194.2306337854523</v>
      </c>
      <c r="R222" s="186">
        <v>9374.137683010551</v>
      </c>
      <c r="S222" s="186">
        <v>112.80928620726445</v>
      </c>
      <c r="T222" s="174">
        <f t="shared" si="12"/>
        <v>113.0152480686935</v>
      </c>
    </row>
    <row r="223" spans="1:20" x14ac:dyDescent="0.2">
      <c r="A223" s="166">
        <v>1</v>
      </c>
      <c r="B223" s="166">
        <v>2021</v>
      </c>
      <c r="C223" s="177">
        <f>E223</f>
        <v>246.03664372197312</v>
      </c>
      <c r="D223" s="177">
        <f>G223</f>
        <v>229.48208497757849</v>
      </c>
      <c r="E223" s="185">
        <v>246.03664372197312</v>
      </c>
      <c r="G223" s="166">
        <v>229.48208497757849</v>
      </c>
      <c r="I223" s="166">
        <v>155.52000000000001</v>
      </c>
      <c r="J223" s="166">
        <v>1</v>
      </c>
      <c r="K223" s="166">
        <v>2021</v>
      </c>
      <c r="L223" s="186">
        <v>34994.274094861663</v>
      </c>
      <c r="M223" s="186">
        <v>1823.5241188431366</v>
      </c>
      <c r="N223" s="174">
        <f t="shared" si="15"/>
        <v>1833.6665337273914</v>
      </c>
      <c r="O223" s="186">
        <v>8185.2405021739132</v>
      </c>
      <c r="P223" s="186">
        <v>1464.197591740502</v>
      </c>
      <c r="Q223" s="174">
        <f t="shared" si="11"/>
        <v>1472.3414376564972</v>
      </c>
      <c r="R223" s="186">
        <v>6121.5967593167707</v>
      </c>
      <c r="S223" s="186">
        <v>112.87324166947003</v>
      </c>
      <c r="T223" s="174">
        <f t="shared" si="12"/>
        <v>113.50104101388935</v>
      </c>
    </row>
    <row r="224" spans="1:20" x14ac:dyDescent="0.2">
      <c r="C224" s="177"/>
      <c r="D224" s="169"/>
      <c r="L224" s="186"/>
      <c r="M224" s="186"/>
      <c r="N224" s="174"/>
      <c r="O224" s="186"/>
      <c r="P224" s="186"/>
      <c r="Q224" s="174"/>
      <c r="R224" s="186"/>
      <c r="S224" s="186"/>
      <c r="T224" s="174"/>
    </row>
    <row r="225" spans="3:20" x14ac:dyDescent="0.2">
      <c r="C225" s="177"/>
      <c r="E225" s="170" t="s">
        <v>110</v>
      </c>
      <c r="J225" s="188"/>
      <c r="K225" s="189" t="s">
        <v>160</v>
      </c>
      <c r="L225" s="190">
        <f>+L223</f>
        <v>34994.274094861663</v>
      </c>
      <c r="M225" s="190">
        <f>+M223</f>
        <v>1823.5241188431366</v>
      </c>
      <c r="N225" s="191" t="s">
        <v>174</v>
      </c>
      <c r="O225" s="190">
        <f>+O223</f>
        <v>8185.2405021739132</v>
      </c>
      <c r="P225" s="190">
        <f>+P223</f>
        <v>1464.197591740502</v>
      </c>
      <c r="Q225" s="191" t="s">
        <v>174</v>
      </c>
      <c r="R225" s="190">
        <f>+R223</f>
        <v>6121.5967593167707</v>
      </c>
      <c r="S225" s="190">
        <f>+S223</f>
        <v>112.87324166947003</v>
      </c>
      <c r="T225" s="192" t="s">
        <v>174</v>
      </c>
    </row>
    <row r="226" spans="3:20" x14ac:dyDescent="0.2">
      <c r="E226" s="185">
        <f>IF('Tab5'!E8="",'Tab5'!E7,'Tab5'!E8)/1000</f>
        <v>246.03664372197312</v>
      </c>
      <c r="G226" s="185">
        <f>IF('Tab5'!E10="",'Tab5'!E9,'Tab5'!E10)/1000</f>
        <v>229.48208497757849</v>
      </c>
      <c r="K226" s="172" t="s">
        <v>188</v>
      </c>
      <c r="L226" s="193">
        <f>SUM('Tab7'!E11,'Tab11'!E11)</f>
        <v>141450.37901452152</v>
      </c>
      <c r="M226" s="194">
        <f>SUM('Tab7'!E39,'Tab11'!E39)</f>
        <v>7354.0446111059764</v>
      </c>
      <c r="N226" s="195" t="s">
        <v>173</v>
      </c>
      <c r="O226" s="193">
        <f>SUM('Tab7'!E9,'Tab11'!E9)</f>
        <v>38695.628670816237</v>
      </c>
      <c r="P226" s="194">
        <f>SUM('Tab7'!E37,'Tab11'!E37)</f>
        <v>5095.694444558032</v>
      </c>
      <c r="Q226" s="195" t="s">
        <v>173</v>
      </c>
      <c r="R226" s="193">
        <f>SUM('Tab7'!E13,'Tab11'!E13)</f>
        <v>30910.719215487279</v>
      </c>
      <c r="S226" s="194">
        <f>SUM('Tab7'!E41,'Tab11'!E41)</f>
        <v>459.97575842985833</v>
      </c>
      <c r="T226" s="196" t="s">
        <v>173</v>
      </c>
    </row>
    <row r="227" spans="3:20" x14ac:dyDescent="0.2">
      <c r="K227" s="172" t="s">
        <v>187</v>
      </c>
      <c r="L227" s="193">
        <f>SUM('Tab7'!E12,'Tab11'!E12)</f>
        <v>34994.274094861663</v>
      </c>
      <c r="M227" s="194">
        <f>SUM('Tab7'!E40,'Tab11'!E40)</f>
        <v>1823.5241188431366</v>
      </c>
      <c r="N227" s="195" t="s">
        <v>173</v>
      </c>
      <c r="O227" s="193">
        <f>SUM('Tab7'!E10,'Tab11'!E10)</f>
        <v>8185.2405021739132</v>
      </c>
      <c r="P227" s="194">
        <f>SUM('Tab7'!E38,'Tab11'!E38)</f>
        <v>1464.197591740502</v>
      </c>
      <c r="Q227" s="195" t="s">
        <v>173</v>
      </c>
      <c r="R227" s="193">
        <f>SUM('Tab7'!E14,'Tab11'!E14)</f>
        <v>6121.5967593167707</v>
      </c>
      <c r="S227" s="194">
        <f>SUM('Tab7'!E42,'Tab11'!E42)</f>
        <v>112.87324166947003</v>
      </c>
      <c r="T227" s="196"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ignoredErrors>
    <ignoredError sqref="C211:D211 C215:D215 C219:D21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3" t="s">
        <v>1</v>
      </c>
      <c r="H5" s="204"/>
    </row>
    <row r="6" spans="1:8" x14ac:dyDescent="0.2">
      <c r="A6" s="12"/>
      <c r="B6" s="13"/>
      <c r="C6" s="14" t="s">
        <v>232</v>
      </c>
      <c r="D6" s="15" t="s">
        <v>233</v>
      </c>
      <c r="E6" s="15" t="s">
        <v>234</v>
      </c>
      <c r="F6" s="16"/>
      <c r="G6" s="17" t="s">
        <v>235</v>
      </c>
      <c r="H6" s="18" t="s">
        <v>236</v>
      </c>
    </row>
    <row r="7" spans="1:8" x14ac:dyDescent="0.2">
      <c r="A7" s="205" t="s">
        <v>2</v>
      </c>
      <c r="B7" s="19" t="s">
        <v>3</v>
      </c>
      <c r="C7" s="20">
        <v>2227308.6919127963</v>
      </c>
      <c r="D7" s="20">
        <v>2421842.5613065525</v>
      </c>
      <c r="E7" s="79">
        <v>2147302.5490977345</v>
      </c>
      <c r="F7" s="22" t="s">
        <v>237</v>
      </c>
      <c r="G7" s="23">
        <v>-3.592054532250458</v>
      </c>
      <c r="H7" s="24">
        <v>-11.335997500213523</v>
      </c>
    </row>
    <row r="8" spans="1:8" x14ac:dyDescent="0.2">
      <c r="A8" s="206"/>
      <c r="B8" s="25" t="s">
        <v>238</v>
      </c>
      <c r="C8" s="26">
        <v>535536.12529563473</v>
      </c>
      <c r="D8" s="26">
        <v>642290.5426924848</v>
      </c>
      <c r="E8" s="26">
        <v>550576.55973246589</v>
      </c>
      <c r="F8" s="27"/>
      <c r="G8" s="28">
        <v>2.8084817674117346</v>
      </c>
      <c r="H8" s="29">
        <v>-14.279204949142411</v>
      </c>
    </row>
    <row r="9" spans="1:8" x14ac:dyDescent="0.2">
      <c r="A9" s="30" t="s">
        <v>4</v>
      </c>
      <c r="B9" s="31" t="s">
        <v>3</v>
      </c>
      <c r="C9" s="20">
        <v>700505.74065171904</v>
      </c>
      <c r="D9" s="20">
        <v>735648.49503139011</v>
      </c>
      <c r="E9" s="20">
        <v>750863.28994268796</v>
      </c>
      <c r="F9" s="22" t="s">
        <v>237</v>
      </c>
      <c r="G9" s="32">
        <v>7.1887418430173824</v>
      </c>
      <c r="H9" s="33">
        <v>2.0682153248541084</v>
      </c>
    </row>
    <row r="10" spans="1:8" x14ac:dyDescent="0.2">
      <c r="A10" s="34"/>
      <c r="B10" s="25" t="s">
        <v>238</v>
      </c>
      <c r="C10" s="26">
        <v>183623.74106278026</v>
      </c>
      <c r="D10" s="26">
        <v>184803.75766292977</v>
      </c>
      <c r="E10" s="26">
        <v>191281.64128923765</v>
      </c>
      <c r="F10" s="27"/>
      <c r="G10" s="28">
        <v>4.1704303496567832</v>
      </c>
      <c r="H10" s="29">
        <v>3.5052770074746746</v>
      </c>
    </row>
    <row r="11" spans="1:8" x14ac:dyDescent="0.2">
      <c r="A11" s="30" t="s">
        <v>5</v>
      </c>
      <c r="B11" s="31" t="s">
        <v>3</v>
      </c>
      <c r="C11" s="20">
        <v>180848.99507324363</v>
      </c>
      <c r="D11" s="20">
        <v>169895.53994618845</v>
      </c>
      <c r="E11" s="20">
        <v>155079.87488940579</v>
      </c>
      <c r="F11" s="22" t="s">
        <v>237</v>
      </c>
      <c r="G11" s="37">
        <v>-14.248970625134731</v>
      </c>
      <c r="H11" s="33">
        <v>-8.7204555584421257</v>
      </c>
    </row>
    <row r="12" spans="1:8" x14ac:dyDescent="0.2">
      <c r="A12" s="34"/>
      <c r="B12" s="25" t="s">
        <v>238</v>
      </c>
      <c r="C12" s="26">
        <v>66877.028892376693</v>
      </c>
      <c r="D12" s="26">
        <v>58660.026268310903</v>
      </c>
      <c r="E12" s="26">
        <v>54755.002432735462</v>
      </c>
      <c r="F12" s="27"/>
      <c r="G12" s="28">
        <v>-18.125844793656825</v>
      </c>
      <c r="H12" s="29">
        <v>-6.6570441303825305</v>
      </c>
    </row>
    <row r="13" spans="1:8" x14ac:dyDescent="0.2">
      <c r="A13" s="30" t="s">
        <v>6</v>
      </c>
      <c r="B13" s="31" t="s">
        <v>3</v>
      </c>
      <c r="C13" s="20">
        <v>436422.05680252536</v>
      </c>
      <c r="D13" s="20">
        <v>479818.33846073353</v>
      </c>
      <c r="E13" s="20">
        <v>548791.36928881705</v>
      </c>
      <c r="F13" s="22" t="s">
        <v>237</v>
      </c>
      <c r="G13" s="23">
        <v>25.747853651021387</v>
      </c>
      <c r="H13" s="24">
        <v>14.374821739692223</v>
      </c>
    </row>
    <row r="14" spans="1:8" x14ac:dyDescent="0.2">
      <c r="A14" s="34"/>
      <c r="B14" s="25" t="s">
        <v>238</v>
      </c>
      <c r="C14" s="26">
        <v>90726.55665428417</v>
      </c>
      <c r="D14" s="26">
        <v>105621.26420063133</v>
      </c>
      <c r="E14" s="26">
        <v>118478.78548631821</v>
      </c>
      <c r="F14" s="27"/>
      <c r="G14" s="38">
        <v>30.588870398536784</v>
      </c>
      <c r="H14" s="24">
        <v>12.173231766345438</v>
      </c>
    </row>
    <row r="15" spans="1:8" x14ac:dyDescent="0.2">
      <c r="A15" s="30" t="s">
        <v>168</v>
      </c>
      <c r="B15" s="31" t="s">
        <v>3</v>
      </c>
      <c r="C15" s="20">
        <v>46862.684981684986</v>
      </c>
      <c r="D15" s="20">
        <v>45810.752901417422</v>
      </c>
      <c r="E15" s="20">
        <v>54464.34779227258</v>
      </c>
      <c r="F15" s="22" t="s">
        <v>237</v>
      </c>
      <c r="G15" s="37">
        <v>16.221142287426545</v>
      </c>
      <c r="H15" s="33">
        <v>18.889877032751002</v>
      </c>
    </row>
    <row r="16" spans="1:8" x14ac:dyDescent="0.2">
      <c r="A16" s="34"/>
      <c r="B16" s="25" t="s">
        <v>238</v>
      </c>
      <c r="C16" s="26">
        <v>12689.963847746456</v>
      </c>
      <c r="D16" s="26">
        <v>11707.421245421247</v>
      </c>
      <c r="E16" s="26">
        <v>14184.867654085045</v>
      </c>
      <c r="F16" s="27"/>
      <c r="G16" s="28">
        <v>11.780205399119879</v>
      </c>
      <c r="H16" s="29">
        <v>21.161333112812713</v>
      </c>
    </row>
    <row r="17" spans="1:8" x14ac:dyDescent="0.2">
      <c r="A17" s="30" t="s">
        <v>7</v>
      </c>
      <c r="B17" s="31" t="s">
        <v>3</v>
      </c>
      <c r="C17" s="20">
        <v>9550.4275265306132</v>
      </c>
      <c r="D17" s="20">
        <v>8509.779069387756</v>
      </c>
      <c r="E17" s="20">
        <v>8358.6232689079952</v>
      </c>
      <c r="F17" s="22" t="s">
        <v>237</v>
      </c>
      <c r="G17" s="23">
        <v>-12.479067081676135</v>
      </c>
      <c r="H17" s="24">
        <v>-1.7762599856853285</v>
      </c>
    </row>
    <row r="18" spans="1:8" x14ac:dyDescent="0.2">
      <c r="A18" s="30"/>
      <c r="B18" s="25" t="s">
        <v>238</v>
      </c>
      <c r="C18" s="26">
        <v>2645.6721469387758</v>
      </c>
      <c r="D18" s="26">
        <v>2497.8568816326533</v>
      </c>
      <c r="E18" s="26">
        <v>2405.7066122448982</v>
      </c>
      <c r="F18" s="27"/>
      <c r="G18" s="38">
        <v>-9.0701160750977436</v>
      </c>
      <c r="H18" s="24">
        <v>-3.6891733095421984</v>
      </c>
    </row>
    <row r="19" spans="1:8" x14ac:dyDescent="0.2">
      <c r="A19" s="39" t="s">
        <v>8</v>
      </c>
      <c r="B19" s="31" t="s">
        <v>3</v>
      </c>
      <c r="C19" s="20">
        <v>5250</v>
      </c>
      <c r="D19" s="20">
        <v>5522</v>
      </c>
      <c r="E19" s="20">
        <v>6130.3314964037891</v>
      </c>
      <c r="F19" s="22" t="s">
        <v>237</v>
      </c>
      <c r="G19" s="37">
        <v>16.768218979119794</v>
      </c>
      <c r="H19" s="33">
        <v>11.016506635345706</v>
      </c>
    </row>
    <row r="20" spans="1:8" x14ac:dyDescent="0.2">
      <c r="A20" s="34"/>
      <c r="B20" s="25" t="s">
        <v>238</v>
      </c>
      <c r="C20" s="26">
        <v>1224</v>
      </c>
      <c r="D20" s="26">
        <v>1362</v>
      </c>
      <c r="E20" s="26">
        <v>1483.3984</v>
      </c>
      <c r="F20" s="27"/>
      <c r="G20" s="28">
        <v>21.192679738562092</v>
      </c>
      <c r="H20" s="29">
        <v>8.9132452276064527</v>
      </c>
    </row>
    <row r="21" spans="1:8" x14ac:dyDescent="0.2">
      <c r="A21" s="39" t="s">
        <v>9</v>
      </c>
      <c r="B21" s="31" t="s">
        <v>3</v>
      </c>
      <c r="C21" s="20">
        <v>27254.799999999999</v>
      </c>
      <c r="D21" s="20">
        <v>27600.996666666666</v>
      </c>
      <c r="E21" s="20">
        <v>26238.999871715772</v>
      </c>
      <c r="F21" s="22" t="s">
        <v>237</v>
      </c>
      <c r="G21" s="37">
        <v>-3.7270503848284591</v>
      </c>
      <c r="H21" s="33">
        <v>-4.9345928025699095</v>
      </c>
    </row>
    <row r="22" spans="1:8" x14ac:dyDescent="0.2">
      <c r="A22" s="34"/>
      <c r="B22" s="25" t="s">
        <v>238</v>
      </c>
      <c r="C22" s="26">
        <v>7597.1933333333336</v>
      </c>
      <c r="D22" s="26">
        <v>7537.45</v>
      </c>
      <c r="E22" s="26">
        <v>7214.3441666666668</v>
      </c>
      <c r="F22" s="27"/>
      <c r="G22" s="28">
        <v>-5.0393500582232633</v>
      </c>
      <c r="H22" s="29">
        <v>-4.2866729906444903</v>
      </c>
    </row>
    <row r="23" spans="1:8" x14ac:dyDescent="0.2">
      <c r="A23" s="39" t="s">
        <v>190</v>
      </c>
      <c r="B23" s="31" t="s">
        <v>3</v>
      </c>
      <c r="C23" s="20">
        <v>6375</v>
      </c>
      <c r="D23" s="20">
        <v>6379</v>
      </c>
      <c r="E23" s="20">
        <v>5885.2844238287635</v>
      </c>
      <c r="F23" s="22" t="s">
        <v>237</v>
      </c>
      <c r="G23" s="37">
        <v>-7.6818129595488074</v>
      </c>
      <c r="H23" s="33">
        <v>-7.7397017741219116</v>
      </c>
    </row>
    <row r="24" spans="1:8" x14ac:dyDescent="0.2">
      <c r="A24" s="34"/>
      <c r="B24" s="25" t="s">
        <v>238</v>
      </c>
      <c r="C24" s="26">
        <v>1730</v>
      </c>
      <c r="D24" s="26">
        <v>1924</v>
      </c>
      <c r="E24" s="26">
        <v>1660.7930817610063</v>
      </c>
      <c r="F24" s="27"/>
      <c r="G24" s="28">
        <v>-4.000399898207732</v>
      </c>
      <c r="H24" s="29">
        <v>-13.680193255664946</v>
      </c>
    </row>
    <row r="25" spans="1:8" x14ac:dyDescent="0.2">
      <c r="A25" s="39" t="s">
        <v>191</v>
      </c>
      <c r="B25" s="31" t="s">
        <v>3</v>
      </c>
      <c r="C25" s="20">
        <v>1628</v>
      </c>
      <c r="D25" s="20">
        <v>1472</v>
      </c>
      <c r="E25" s="20">
        <v>1568.8889740359716</v>
      </c>
      <c r="F25" s="22" t="s">
        <v>237</v>
      </c>
      <c r="G25" s="37">
        <v>-3.6308984007388432</v>
      </c>
      <c r="H25" s="33">
        <v>6.5821313883133001</v>
      </c>
    </row>
    <row r="26" spans="1:8" x14ac:dyDescent="0.2">
      <c r="A26" s="34"/>
      <c r="B26" s="25" t="s">
        <v>238</v>
      </c>
      <c r="C26" s="26">
        <v>324</v>
      </c>
      <c r="D26" s="26">
        <v>433</v>
      </c>
      <c r="E26" s="26">
        <v>435.8397727272727</v>
      </c>
      <c r="F26" s="27"/>
      <c r="G26" s="28">
        <v>34.51844837261504</v>
      </c>
      <c r="H26" s="29">
        <v>0.65583665756874154</v>
      </c>
    </row>
    <row r="27" spans="1:8" x14ac:dyDescent="0.2">
      <c r="A27" s="39" t="s">
        <v>192</v>
      </c>
      <c r="B27" s="31" t="s">
        <v>3</v>
      </c>
      <c r="C27" s="20">
        <v>335300.03885714285</v>
      </c>
      <c r="D27" s="20">
        <v>343016</v>
      </c>
      <c r="E27" s="20">
        <v>385808.66013210319</v>
      </c>
      <c r="F27" s="22" t="s">
        <v>237</v>
      </c>
      <c r="G27" s="37">
        <v>15.06370874489518</v>
      </c>
      <c r="H27" s="33">
        <v>12.475412264181031</v>
      </c>
    </row>
    <row r="28" spans="1:8" x14ac:dyDescent="0.2">
      <c r="A28" s="34"/>
      <c r="B28" s="25" t="s">
        <v>238</v>
      </c>
      <c r="C28" s="26">
        <v>61043.472000000002</v>
      </c>
      <c r="D28" s="26">
        <v>71543.779428571434</v>
      </c>
      <c r="E28" s="26">
        <v>85173.856</v>
      </c>
      <c r="F28" s="27"/>
      <c r="G28" s="28">
        <v>39.529835393373418</v>
      </c>
      <c r="H28" s="29">
        <v>19.051379002190799</v>
      </c>
    </row>
    <row r="29" spans="1:8" x14ac:dyDescent="0.2">
      <c r="A29" s="30" t="s">
        <v>10</v>
      </c>
      <c r="B29" s="31" t="s">
        <v>3</v>
      </c>
      <c r="C29" s="20">
        <v>351332</v>
      </c>
      <c r="D29" s="20">
        <v>447542</v>
      </c>
      <c r="E29" s="20">
        <v>112373.12927612441</v>
      </c>
      <c r="F29" s="22" t="s">
        <v>237</v>
      </c>
      <c r="G29" s="37">
        <v>-68.015116961698794</v>
      </c>
      <c r="H29" s="33">
        <v>-74.891042790146088</v>
      </c>
    </row>
    <row r="30" spans="1:8" x14ac:dyDescent="0.2">
      <c r="A30" s="30"/>
      <c r="B30" s="25" t="s">
        <v>238</v>
      </c>
      <c r="C30" s="26">
        <v>81899</v>
      </c>
      <c r="D30" s="26">
        <v>161525</v>
      </c>
      <c r="E30" s="26">
        <v>34290.493589743593</v>
      </c>
      <c r="F30" s="27"/>
      <c r="G30" s="28">
        <v>-58.130754234186504</v>
      </c>
      <c r="H30" s="29">
        <v>-78.770782485842076</v>
      </c>
    </row>
    <row r="31" spans="1:8" x14ac:dyDescent="0.2">
      <c r="A31" s="39" t="s">
        <v>11</v>
      </c>
      <c r="B31" s="31" t="s">
        <v>3</v>
      </c>
      <c r="C31" s="20">
        <v>10785.192019950126</v>
      </c>
      <c r="D31" s="20">
        <v>13466</v>
      </c>
      <c r="E31" s="20">
        <v>12298.97680103231</v>
      </c>
      <c r="F31" s="22" t="s">
        <v>237</v>
      </c>
      <c r="G31" s="37">
        <v>14.035770325479888</v>
      </c>
      <c r="H31" s="33">
        <v>-8.6664428855464877</v>
      </c>
    </row>
    <row r="32" spans="1:8" x14ac:dyDescent="0.2">
      <c r="A32" s="34"/>
      <c r="B32" s="25" t="s">
        <v>238</v>
      </c>
      <c r="C32" s="26">
        <v>1566.1477556109726</v>
      </c>
      <c r="D32" s="26">
        <v>1428.2980049875312</v>
      </c>
      <c r="E32" s="26">
        <v>1433.3104738154614</v>
      </c>
      <c r="F32" s="27"/>
      <c r="G32" s="28">
        <v>-8.4817847690041077</v>
      </c>
      <c r="H32" s="29">
        <v>0.3509399866433256</v>
      </c>
    </row>
    <row r="33" spans="1:8" x14ac:dyDescent="0.2">
      <c r="A33" s="30" t="s">
        <v>12</v>
      </c>
      <c r="B33" s="31" t="s">
        <v>3</v>
      </c>
      <c r="C33" s="20">
        <v>11204.776</v>
      </c>
      <c r="D33" s="20">
        <v>11603.98</v>
      </c>
      <c r="E33" s="20">
        <v>9696.655790382827</v>
      </c>
      <c r="F33" s="22" t="s">
        <v>237</v>
      </c>
      <c r="G33" s="37">
        <v>-13.459619448145801</v>
      </c>
      <c r="H33" s="33">
        <v>-16.436810556526055</v>
      </c>
    </row>
    <row r="34" spans="1:8" x14ac:dyDescent="0.2">
      <c r="A34" s="30"/>
      <c r="B34" s="25" t="s">
        <v>238</v>
      </c>
      <c r="C34" s="26">
        <v>3033.5280000000002</v>
      </c>
      <c r="D34" s="26">
        <v>4087.944</v>
      </c>
      <c r="E34" s="26">
        <v>3104.3150039000002</v>
      </c>
      <c r="F34" s="27"/>
      <c r="G34" s="28">
        <v>2.3334877377100298</v>
      </c>
      <c r="H34" s="29">
        <v>-24.06170427236772</v>
      </c>
    </row>
    <row r="35" spans="1:8" x14ac:dyDescent="0.2">
      <c r="A35" s="39" t="s">
        <v>13</v>
      </c>
      <c r="B35" s="31" t="s">
        <v>3</v>
      </c>
      <c r="C35" s="20">
        <v>47</v>
      </c>
      <c r="D35" s="20">
        <v>50</v>
      </c>
      <c r="E35" s="20">
        <v>48.999999999999993</v>
      </c>
      <c r="F35" s="22" t="s">
        <v>237</v>
      </c>
      <c r="G35" s="23">
        <v>4.2553191489361524</v>
      </c>
      <c r="H35" s="24">
        <v>-2.0000000000000142</v>
      </c>
    </row>
    <row r="36" spans="1:8" x14ac:dyDescent="0.2">
      <c r="A36" s="34"/>
      <c r="B36" s="25" t="s">
        <v>238</v>
      </c>
      <c r="C36" s="26">
        <v>10</v>
      </c>
      <c r="D36" s="26">
        <v>10</v>
      </c>
      <c r="E36" s="26">
        <v>10</v>
      </c>
      <c r="F36" s="27"/>
      <c r="G36" s="28">
        <v>0</v>
      </c>
      <c r="H36" s="29">
        <v>0</v>
      </c>
    </row>
    <row r="37" spans="1:8" x14ac:dyDescent="0.2">
      <c r="A37" s="30" t="s">
        <v>14</v>
      </c>
      <c r="B37" s="31" t="s">
        <v>3</v>
      </c>
      <c r="C37" s="40">
        <v>103941.98</v>
      </c>
      <c r="D37" s="40">
        <v>125507.67923076924</v>
      </c>
      <c r="E37" s="20">
        <v>157959.75726259095</v>
      </c>
      <c r="F37" s="22" t="s">
        <v>237</v>
      </c>
      <c r="G37" s="23">
        <v>51.969163241445813</v>
      </c>
      <c r="H37" s="24">
        <v>25.85664736271039</v>
      </c>
    </row>
    <row r="38" spans="1:8" ht="13.5" thickBot="1" x14ac:dyDescent="0.25">
      <c r="A38" s="41"/>
      <c r="B38" s="42" t="s">
        <v>238</v>
      </c>
      <c r="C38" s="43">
        <v>20545.821602564101</v>
      </c>
      <c r="D38" s="43">
        <v>29148.745000000003</v>
      </c>
      <c r="E38" s="43">
        <v>34664.205769230772</v>
      </c>
      <c r="F38" s="44"/>
      <c r="G38" s="45">
        <v>68.716571377728229</v>
      </c>
      <c r="H38" s="46">
        <v>18.921777830334619</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8"/>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8">
        <v>9</v>
      </c>
    </row>
    <row r="62" spans="1:8" ht="12.75" customHeight="1" x14ac:dyDescent="0.2">
      <c r="A62" s="54" t="s">
        <v>240</v>
      </c>
      <c r="G62" s="53"/>
      <c r="H62" s="201"/>
    </row>
    <row r="63" spans="1:8" x14ac:dyDescent="0.2">
      <c r="H63" s="87"/>
    </row>
    <row r="64" spans="1:8" x14ac:dyDescent="0.2">
      <c r="A64" s="207"/>
      <c r="H64" s="53"/>
    </row>
    <row r="65" spans="1:8" x14ac:dyDescent="0.2">
      <c r="A65" s="207"/>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9" t="s">
        <v>16</v>
      </c>
      <c r="D5" s="203"/>
      <c r="E5" s="203"/>
      <c r="F5" s="210"/>
      <c r="G5" s="203" t="s">
        <v>1</v>
      </c>
      <c r="H5" s="204"/>
    </row>
    <row r="6" spans="1:10" x14ac:dyDescent="0.2">
      <c r="A6" s="12"/>
      <c r="B6" s="13"/>
      <c r="C6" s="14" t="s">
        <v>232</v>
      </c>
      <c r="D6" s="15" t="s">
        <v>233</v>
      </c>
      <c r="E6" s="15" t="s">
        <v>234</v>
      </c>
      <c r="F6" s="16"/>
      <c r="G6" s="17" t="s">
        <v>235</v>
      </c>
      <c r="H6" s="18" t="s">
        <v>236</v>
      </c>
    </row>
    <row r="7" spans="1:10" x14ac:dyDescent="0.2">
      <c r="A7" s="205" t="s">
        <v>2</v>
      </c>
      <c r="B7" s="19" t="s">
        <v>3</v>
      </c>
      <c r="C7" s="80">
        <v>43407.636043431892</v>
      </c>
      <c r="D7" s="80">
        <v>43726.073478287661</v>
      </c>
      <c r="E7" s="81">
        <v>43015.338929464328</v>
      </c>
      <c r="F7" s="22" t="s">
        <v>237</v>
      </c>
      <c r="G7" s="23">
        <v>-0.90375138967495161</v>
      </c>
      <c r="H7" s="24">
        <v>-1.6254250434269011</v>
      </c>
    </row>
    <row r="8" spans="1:10" x14ac:dyDescent="0.2">
      <c r="A8" s="206"/>
      <c r="B8" s="25" t="s">
        <v>238</v>
      </c>
      <c r="C8" s="82">
        <v>11559.501084574442</v>
      </c>
      <c r="D8" s="82">
        <v>12793.478040094158</v>
      </c>
      <c r="E8" s="82">
        <v>12184.693623340452</v>
      </c>
      <c r="F8" s="27"/>
      <c r="G8" s="28">
        <v>5.4084733778025935</v>
      </c>
      <c r="H8" s="29">
        <v>-4.7585528723761001</v>
      </c>
      <c r="J8" s="95"/>
    </row>
    <row r="9" spans="1:10" x14ac:dyDescent="0.2">
      <c r="A9" s="30" t="s">
        <v>4</v>
      </c>
      <c r="B9" s="31" t="s">
        <v>3</v>
      </c>
      <c r="C9" s="80">
        <v>10720.587163369206</v>
      </c>
      <c r="D9" s="80">
        <v>11715.583932812993</v>
      </c>
      <c r="E9" s="80">
        <v>10580.430423266065</v>
      </c>
      <c r="F9" s="22" t="s">
        <v>237</v>
      </c>
      <c r="G9" s="32">
        <v>-1.3073606694047157</v>
      </c>
      <c r="H9" s="33">
        <v>-9.6892610394569516</v>
      </c>
    </row>
    <row r="10" spans="1:10" x14ac:dyDescent="0.2">
      <c r="A10" s="34"/>
      <c r="B10" s="25" t="s">
        <v>238</v>
      </c>
      <c r="C10" s="82">
        <v>2917.4935486509694</v>
      </c>
      <c r="D10" s="82">
        <v>3285.8595143460511</v>
      </c>
      <c r="E10" s="82">
        <v>2937.5130537789141</v>
      </c>
      <c r="F10" s="27"/>
      <c r="G10" s="35">
        <v>0.68618849687607053</v>
      </c>
      <c r="H10" s="29">
        <v>-10.60138021866905</v>
      </c>
      <c r="J10" s="95"/>
    </row>
    <row r="11" spans="1:10" x14ac:dyDescent="0.2">
      <c r="A11" s="30" t="s">
        <v>5</v>
      </c>
      <c r="B11" s="31" t="s">
        <v>3</v>
      </c>
      <c r="C11" s="80">
        <v>5112.0898873813076</v>
      </c>
      <c r="D11" s="80">
        <v>3786.8559341359833</v>
      </c>
      <c r="E11" s="80">
        <v>4639.5471834896189</v>
      </c>
      <c r="F11" s="22" t="s">
        <v>237</v>
      </c>
      <c r="G11" s="37">
        <v>-9.2436305757868951</v>
      </c>
      <c r="H11" s="33">
        <v>22.51712935966728</v>
      </c>
    </row>
    <row r="12" spans="1:10" x14ac:dyDescent="0.2">
      <c r="A12" s="34"/>
      <c r="B12" s="25" t="s">
        <v>238</v>
      </c>
      <c r="C12" s="82">
        <v>1591.3110014472049</v>
      </c>
      <c r="D12" s="82">
        <v>1136.2718205764172</v>
      </c>
      <c r="E12" s="82">
        <v>1409.0678782603077</v>
      </c>
      <c r="F12" s="27"/>
      <c r="G12" s="28">
        <v>-11.45238881784627</v>
      </c>
      <c r="H12" s="29">
        <v>24.007992871415595</v>
      </c>
    </row>
    <row r="13" spans="1:10" x14ac:dyDescent="0.2">
      <c r="A13" s="30" t="s">
        <v>6</v>
      </c>
      <c r="B13" s="31" t="s">
        <v>3</v>
      </c>
      <c r="C13" s="80">
        <v>8866.8966085764332</v>
      </c>
      <c r="D13" s="80">
        <v>8740.3543440821522</v>
      </c>
      <c r="E13" s="80">
        <v>12120.593624654934</v>
      </c>
      <c r="F13" s="22" t="s">
        <v>237</v>
      </c>
      <c r="G13" s="23">
        <v>36.694879389158416</v>
      </c>
      <c r="H13" s="24">
        <v>38.673938692902595</v>
      </c>
    </row>
    <row r="14" spans="1:10" x14ac:dyDescent="0.2">
      <c r="A14" s="34"/>
      <c r="B14" s="25" t="s">
        <v>238</v>
      </c>
      <c r="C14" s="82">
        <v>2004.8948327261578</v>
      </c>
      <c r="D14" s="82">
        <v>2229.8794272830219</v>
      </c>
      <c r="E14" s="82">
        <v>2965.4204490303</v>
      </c>
      <c r="F14" s="27"/>
      <c r="G14" s="38">
        <v>47.90902747741967</v>
      </c>
      <c r="H14" s="24">
        <v>32.985685806496377</v>
      </c>
    </row>
    <row r="15" spans="1:10" x14ac:dyDescent="0.2">
      <c r="A15" s="30" t="s">
        <v>168</v>
      </c>
      <c r="B15" s="31" t="s">
        <v>3</v>
      </c>
      <c r="C15" s="80">
        <v>5905.4067986511109</v>
      </c>
      <c r="D15" s="80">
        <v>5870.5359812985025</v>
      </c>
      <c r="E15" s="80">
        <v>4877.2760186254682</v>
      </c>
      <c r="F15" s="22" t="s">
        <v>237</v>
      </c>
      <c r="G15" s="37">
        <v>-17.409990794545834</v>
      </c>
      <c r="H15" s="33">
        <v>-16.91940848054108</v>
      </c>
    </row>
    <row r="16" spans="1:10" x14ac:dyDescent="0.2">
      <c r="A16" s="34"/>
      <c r="B16" s="25" t="s">
        <v>238</v>
      </c>
      <c r="C16" s="82">
        <v>1824.3973235769665</v>
      </c>
      <c r="D16" s="82">
        <v>1959.3996641893941</v>
      </c>
      <c r="E16" s="82">
        <v>1585.4037215067142</v>
      </c>
      <c r="F16" s="27"/>
      <c r="G16" s="28">
        <v>-13.099865856066614</v>
      </c>
      <c r="H16" s="29">
        <v>-19.087271959771527</v>
      </c>
    </row>
    <row r="17" spans="1:8" x14ac:dyDescent="0.2">
      <c r="A17" s="30" t="s">
        <v>7</v>
      </c>
      <c r="B17" s="31" t="s">
        <v>3</v>
      </c>
      <c r="C17" s="80">
        <v>2097.286501513945</v>
      </c>
      <c r="D17" s="80">
        <v>1776.8332046777334</v>
      </c>
      <c r="E17" s="80">
        <v>1786.4737803685878</v>
      </c>
      <c r="F17" s="22" t="s">
        <v>237</v>
      </c>
      <c r="G17" s="23">
        <v>-14.819754998708774</v>
      </c>
      <c r="H17" s="24">
        <v>0.54257066254020003</v>
      </c>
    </row>
    <row r="18" spans="1:8" x14ac:dyDescent="0.2">
      <c r="A18" s="30"/>
      <c r="B18" s="25" t="s">
        <v>238</v>
      </c>
      <c r="C18" s="82">
        <v>545.64501203044745</v>
      </c>
      <c r="D18" s="82">
        <v>488.6673083519845</v>
      </c>
      <c r="E18" s="82">
        <v>482.14262646559507</v>
      </c>
      <c r="F18" s="27"/>
      <c r="G18" s="38">
        <v>-11.638040147851456</v>
      </c>
      <c r="H18" s="24">
        <v>-1.3351991784336263</v>
      </c>
    </row>
    <row r="19" spans="1:8" x14ac:dyDescent="0.2">
      <c r="A19" s="39" t="s">
        <v>8</v>
      </c>
      <c r="B19" s="31" t="s">
        <v>3</v>
      </c>
      <c r="C19" s="80">
        <v>1715.0155545624007</v>
      </c>
      <c r="D19" s="80">
        <v>2036.0218121420889</v>
      </c>
      <c r="E19" s="80">
        <v>2475.8639356333324</v>
      </c>
      <c r="F19" s="22" t="s">
        <v>237</v>
      </c>
      <c r="G19" s="37">
        <v>44.363934720409475</v>
      </c>
      <c r="H19" s="33">
        <v>21.603016277536227</v>
      </c>
    </row>
    <row r="20" spans="1:8" x14ac:dyDescent="0.2">
      <c r="A20" s="34"/>
      <c r="B20" s="25" t="s">
        <v>238</v>
      </c>
      <c r="C20" s="82">
        <v>421.08048263052808</v>
      </c>
      <c r="D20" s="82">
        <v>502.10305881512238</v>
      </c>
      <c r="E20" s="82">
        <v>609.6751307627203</v>
      </c>
      <c r="F20" s="27"/>
      <c r="G20" s="28">
        <v>44.788266355644026</v>
      </c>
      <c r="H20" s="29">
        <v>21.424301258281446</v>
      </c>
    </row>
    <row r="21" spans="1:8" x14ac:dyDescent="0.2">
      <c r="A21" s="39" t="s">
        <v>9</v>
      </c>
      <c r="B21" s="31" t="s">
        <v>3</v>
      </c>
      <c r="C21" s="80">
        <v>750.93103671113693</v>
      </c>
      <c r="D21" s="80">
        <v>790.99551165503703</v>
      </c>
      <c r="E21" s="80">
        <v>1013.0787758380878</v>
      </c>
      <c r="F21" s="22" t="s">
        <v>237</v>
      </c>
      <c r="G21" s="37">
        <v>34.909695606015021</v>
      </c>
      <c r="H21" s="33">
        <v>28.076425328681779</v>
      </c>
    </row>
    <row r="22" spans="1:8" x14ac:dyDescent="0.2">
      <c r="A22" s="34"/>
      <c r="B22" s="25" t="s">
        <v>238</v>
      </c>
      <c r="C22" s="82">
        <v>160.97506029357834</v>
      </c>
      <c r="D22" s="82">
        <v>218.00562808048574</v>
      </c>
      <c r="E22" s="82">
        <v>254.93649516953667</v>
      </c>
      <c r="F22" s="27"/>
      <c r="G22" s="28">
        <v>58.370181507990196</v>
      </c>
      <c r="H22" s="29">
        <v>16.940327373298999</v>
      </c>
    </row>
    <row r="23" spans="1:8" x14ac:dyDescent="0.2">
      <c r="A23" s="39" t="s">
        <v>190</v>
      </c>
      <c r="B23" s="31" t="s">
        <v>3</v>
      </c>
      <c r="C23" s="80">
        <v>1135.0357251820456</v>
      </c>
      <c r="D23" s="80">
        <v>1443.9436886190492</v>
      </c>
      <c r="E23" s="80">
        <v>1711.9345875407814</v>
      </c>
      <c r="F23" s="22" t="s">
        <v>237</v>
      </c>
      <c r="G23" s="23">
        <v>50.826493788661026</v>
      </c>
      <c r="H23" s="24">
        <v>18.559650285118238</v>
      </c>
    </row>
    <row r="24" spans="1:8" x14ac:dyDescent="0.2">
      <c r="A24" s="34"/>
      <c r="B24" s="25" t="s">
        <v>238</v>
      </c>
      <c r="C24" s="82">
        <v>280.10127821508109</v>
      </c>
      <c r="D24" s="82">
        <v>371.52526909084611</v>
      </c>
      <c r="E24" s="82">
        <v>436.23363324952498</v>
      </c>
      <c r="F24" s="27"/>
      <c r="G24" s="38">
        <v>55.741393266529371</v>
      </c>
      <c r="H24" s="24">
        <v>17.416948332215938</v>
      </c>
    </row>
    <row r="25" spans="1:8" x14ac:dyDescent="0.2">
      <c r="A25" s="39" t="s">
        <v>191</v>
      </c>
      <c r="B25" s="31" t="s">
        <v>3</v>
      </c>
      <c r="C25" s="80">
        <v>454.12308686202277</v>
      </c>
      <c r="D25" s="80">
        <v>590.1806121196131</v>
      </c>
      <c r="E25" s="80">
        <v>547.49972792403935</v>
      </c>
      <c r="F25" s="22" t="s">
        <v>237</v>
      </c>
      <c r="G25" s="37">
        <v>20.561967396823277</v>
      </c>
      <c r="H25" s="33">
        <v>-7.2318343434371428</v>
      </c>
    </row>
    <row r="26" spans="1:8" x14ac:dyDescent="0.2">
      <c r="A26" s="34"/>
      <c r="B26" s="25" t="s">
        <v>238</v>
      </c>
      <c r="C26" s="82">
        <v>124.44408206001879</v>
      </c>
      <c r="D26" s="82">
        <v>198.64649855446481</v>
      </c>
      <c r="E26" s="82">
        <v>165.20781349782061</v>
      </c>
      <c r="F26" s="27"/>
      <c r="G26" s="38">
        <v>32.756665293365813</v>
      </c>
      <c r="H26" s="24">
        <v>-16.833261748872957</v>
      </c>
    </row>
    <row r="27" spans="1:8" x14ac:dyDescent="0.2">
      <c r="A27" s="39" t="s">
        <v>192</v>
      </c>
      <c r="B27" s="31" t="s">
        <v>3</v>
      </c>
      <c r="C27" s="80">
        <v>1333.7987954130613</v>
      </c>
      <c r="D27" s="80">
        <v>1456.5722955892095</v>
      </c>
      <c r="E27" s="80">
        <v>1771.2518729633141</v>
      </c>
      <c r="F27" s="22" t="s">
        <v>237</v>
      </c>
      <c r="G27" s="37">
        <v>32.797531310918515</v>
      </c>
      <c r="H27" s="33">
        <v>21.604116618654416</v>
      </c>
    </row>
    <row r="28" spans="1:8" x14ac:dyDescent="0.2">
      <c r="A28" s="34"/>
      <c r="B28" s="25" t="s">
        <v>238</v>
      </c>
      <c r="C28" s="82">
        <v>381.33060114785951</v>
      </c>
      <c r="D28" s="82">
        <v>369.5314769139809</v>
      </c>
      <c r="E28" s="82">
        <v>447.15987373804472</v>
      </c>
      <c r="F28" s="27"/>
      <c r="G28" s="38">
        <v>17.263044820433947</v>
      </c>
      <c r="H28" s="24">
        <v>21.007248820141527</v>
      </c>
    </row>
    <row r="29" spans="1:8" x14ac:dyDescent="0.2">
      <c r="A29" s="30" t="s">
        <v>10</v>
      </c>
      <c r="B29" s="31" t="s">
        <v>3</v>
      </c>
      <c r="C29" s="80">
        <v>2298.9281077959999</v>
      </c>
      <c r="D29" s="80">
        <v>2302.5662864483888</v>
      </c>
      <c r="E29" s="80">
        <v>256.72379076687002</v>
      </c>
      <c r="F29" s="22" t="s">
        <v>237</v>
      </c>
      <c r="G29" s="37">
        <v>-88.832891733487344</v>
      </c>
      <c r="H29" s="33">
        <v>-88.850536365541274</v>
      </c>
    </row>
    <row r="30" spans="1:8" x14ac:dyDescent="0.2">
      <c r="A30" s="30"/>
      <c r="B30" s="25" t="s">
        <v>238</v>
      </c>
      <c r="C30" s="82">
        <v>669.81500735484826</v>
      </c>
      <c r="D30" s="82">
        <v>1302.9366576102254</v>
      </c>
      <c r="E30" s="82">
        <v>110.55182730182818</v>
      </c>
      <c r="F30" s="27"/>
      <c r="G30" s="28">
        <v>-83.495170145798028</v>
      </c>
      <c r="H30" s="29">
        <v>-91.515180215698564</v>
      </c>
    </row>
    <row r="31" spans="1:8" x14ac:dyDescent="0.2">
      <c r="A31" s="39" t="s">
        <v>11</v>
      </c>
      <c r="B31" s="31" t="s">
        <v>3</v>
      </c>
      <c r="C31" s="80">
        <v>506.53855755591928</v>
      </c>
      <c r="D31" s="80">
        <v>607.81922434697947</v>
      </c>
      <c r="E31" s="80">
        <v>534.57446412952197</v>
      </c>
      <c r="F31" s="22" t="s">
        <v>237</v>
      </c>
      <c r="G31" s="23">
        <v>5.5348020709179053</v>
      </c>
      <c r="H31" s="24">
        <v>-12.050418493450778</v>
      </c>
    </row>
    <row r="32" spans="1:8" x14ac:dyDescent="0.2">
      <c r="A32" s="34"/>
      <c r="B32" s="25" t="s">
        <v>238</v>
      </c>
      <c r="C32" s="82">
        <v>77.155455798829564</v>
      </c>
      <c r="D32" s="82">
        <v>66.026009004013829</v>
      </c>
      <c r="E32" s="82">
        <v>64.208836868916421</v>
      </c>
      <c r="F32" s="27"/>
      <c r="G32" s="38">
        <v>-16.779913741510867</v>
      </c>
      <c r="H32" s="24">
        <v>-2.7522065357409957</v>
      </c>
    </row>
    <row r="33" spans="1:8" x14ac:dyDescent="0.2">
      <c r="A33" s="30" t="s">
        <v>12</v>
      </c>
      <c r="B33" s="31" t="s">
        <v>3</v>
      </c>
      <c r="C33" s="80">
        <v>1202.7935045741633</v>
      </c>
      <c r="D33" s="80">
        <v>1394.3954936555808</v>
      </c>
      <c r="E33" s="80">
        <v>1545.4818435978241</v>
      </c>
      <c r="F33" s="22" t="s">
        <v>237</v>
      </c>
      <c r="G33" s="37">
        <v>28.491036717477613</v>
      </c>
      <c r="H33" s="33">
        <v>10.835258047639812</v>
      </c>
    </row>
    <row r="34" spans="1:8" x14ac:dyDescent="0.2">
      <c r="A34" s="30"/>
      <c r="B34" s="25" t="s">
        <v>238</v>
      </c>
      <c r="C34" s="82">
        <v>286.86351714177783</v>
      </c>
      <c r="D34" s="82">
        <v>374.9547510546671</v>
      </c>
      <c r="E34" s="82">
        <v>398.64248721138262</v>
      </c>
      <c r="F34" s="27"/>
      <c r="G34" s="28">
        <v>38.965906568857889</v>
      </c>
      <c r="H34" s="29">
        <v>6.3174919347166707</v>
      </c>
    </row>
    <row r="35" spans="1:8" x14ac:dyDescent="0.2">
      <c r="A35" s="39" t="s">
        <v>13</v>
      </c>
      <c r="B35" s="31" t="s">
        <v>3</v>
      </c>
      <c r="C35" s="80">
        <v>271.74329495989718</v>
      </c>
      <c r="D35" s="80">
        <v>143.74115385315406</v>
      </c>
      <c r="E35" s="80">
        <v>121.94795765855754</v>
      </c>
      <c r="F35" s="22" t="s">
        <v>237</v>
      </c>
      <c r="G35" s="23">
        <v>-55.123839329116052</v>
      </c>
      <c r="H35" s="24">
        <v>-15.161417318842766</v>
      </c>
    </row>
    <row r="36" spans="1:8" x14ac:dyDescent="0.2">
      <c r="A36" s="34"/>
      <c r="B36" s="25" t="s">
        <v>238</v>
      </c>
      <c r="C36" s="82">
        <v>43.233376973261215</v>
      </c>
      <c r="D36" s="82">
        <v>35.680164690636182</v>
      </c>
      <c r="E36" s="82">
        <v>25.507322123697413</v>
      </c>
      <c r="F36" s="27"/>
      <c r="G36" s="28">
        <v>-41.00085649225813</v>
      </c>
      <c r="H36" s="29">
        <v>-28.511198463185636</v>
      </c>
    </row>
    <row r="37" spans="1:8" x14ac:dyDescent="0.2">
      <c r="A37" s="30" t="s">
        <v>14</v>
      </c>
      <c r="B37" s="31" t="s">
        <v>3</v>
      </c>
      <c r="C37" s="85">
        <v>1036.4614203232363</v>
      </c>
      <c r="D37" s="85">
        <v>1069.6740028511836</v>
      </c>
      <c r="E37" s="83">
        <v>1261.4068562799901</v>
      </c>
      <c r="F37" s="22" t="s">
        <v>237</v>
      </c>
      <c r="G37" s="23">
        <v>21.703213602161966</v>
      </c>
      <c r="H37" s="24">
        <v>17.924419301371117</v>
      </c>
    </row>
    <row r="38" spans="1:8" ht="13.5" thickBot="1" x14ac:dyDescent="0.25">
      <c r="A38" s="41"/>
      <c r="B38" s="42" t="s">
        <v>238</v>
      </c>
      <c r="C38" s="86">
        <v>230.76050452690811</v>
      </c>
      <c r="D38" s="86">
        <v>253.99079153284541</v>
      </c>
      <c r="E38" s="86">
        <v>293.02247437515626</v>
      </c>
      <c r="F38" s="44"/>
      <c r="G38" s="45">
        <v>26.981207193966767</v>
      </c>
      <c r="H38" s="46">
        <v>15.367361393991089</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8"/>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H61" s="200">
        <v>10</v>
      </c>
    </row>
    <row r="62" spans="1:8" ht="12.75" customHeight="1" x14ac:dyDescent="0.2">
      <c r="A62" s="54" t="s">
        <v>240</v>
      </c>
      <c r="H62" s="201"/>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3" t="s">
        <v>1</v>
      </c>
      <c r="H5" s="204"/>
    </row>
    <row r="6" spans="1:8" x14ac:dyDescent="0.2">
      <c r="A6" s="12"/>
      <c r="B6" s="13"/>
      <c r="C6" s="14" t="s">
        <v>232</v>
      </c>
      <c r="D6" s="15" t="s">
        <v>233</v>
      </c>
      <c r="E6" s="15" t="s">
        <v>234</v>
      </c>
      <c r="F6" s="16"/>
      <c r="G6" s="17" t="s">
        <v>235</v>
      </c>
      <c r="H6" s="18" t="s">
        <v>236</v>
      </c>
    </row>
    <row r="7" spans="1:8" x14ac:dyDescent="0.2">
      <c r="A7" s="205" t="s">
        <v>26</v>
      </c>
      <c r="B7" s="19" t="s">
        <v>3</v>
      </c>
      <c r="C7" s="20">
        <v>881354.73572496255</v>
      </c>
      <c r="D7" s="20">
        <v>905544.03497757844</v>
      </c>
      <c r="E7" s="21">
        <v>898625.14780635328</v>
      </c>
      <c r="F7" s="22" t="s">
        <v>237</v>
      </c>
      <c r="G7" s="23">
        <v>1.9595301847654838</v>
      </c>
      <c r="H7" s="24">
        <v>-0.76405861051213719</v>
      </c>
    </row>
    <row r="8" spans="1:8" x14ac:dyDescent="0.2">
      <c r="A8" s="206"/>
      <c r="B8" s="25" t="s">
        <v>238</v>
      </c>
      <c r="C8" s="26">
        <v>250500.76995515695</v>
      </c>
      <c r="D8" s="26">
        <v>243463.78393124064</v>
      </c>
      <c r="E8" s="26">
        <v>246036.64372197312</v>
      </c>
      <c r="F8" s="27"/>
      <c r="G8" s="28">
        <v>-1.7820808430980009</v>
      </c>
      <c r="H8" s="29">
        <v>1.0567731057113292</v>
      </c>
    </row>
    <row r="9" spans="1:8" x14ac:dyDescent="0.2">
      <c r="A9" s="30" t="s">
        <v>28</v>
      </c>
      <c r="B9" s="31" t="s">
        <v>3</v>
      </c>
      <c r="C9" s="20">
        <v>806793.38857997011</v>
      </c>
      <c r="D9" s="20">
        <v>834648.18798206281</v>
      </c>
      <c r="E9" s="21">
        <v>830294.87078274298</v>
      </c>
      <c r="F9" s="22" t="s">
        <v>237</v>
      </c>
      <c r="G9" s="32">
        <v>2.9129492798816443</v>
      </c>
      <c r="H9" s="33">
        <v>-0.52157510936972074</v>
      </c>
    </row>
    <row r="10" spans="1:8" x14ac:dyDescent="0.2">
      <c r="A10" s="34"/>
      <c r="B10" s="25" t="s">
        <v>238</v>
      </c>
      <c r="C10" s="26">
        <v>231937.63596412557</v>
      </c>
      <c r="D10" s="26">
        <v>226318.19714499253</v>
      </c>
      <c r="E10" s="26">
        <v>229482.08497757849</v>
      </c>
      <c r="F10" s="27"/>
      <c r="G10" s="35">
        <v>-1.0587117422059436</v>
      </c>
      <c r="H10" s="29">
        <v>1.3979820767832365</v>
      </c>
    </row>
    <row r="11" spans="1:8" x14ac:dyDescent="0.2">
      <c r="A11" s="30" t="s">
        <v>29</v>
      </c>
      <c r="B11" s="31" t="s">
        <v>3</v>
      </c>
      <c r="C11" s="20">
        <v>33630.173572496264</v>
      </c>
      <c r="D11" s="20">
        <v>29354.423497757849</v>
      </c>
      <c r="E11" s="21">
        <v>26997.726542204135</v>
      </c>
      <c r="F11" s="22" t="s">
        <v>237</v>
      </c>
      <c r="G11" s="37">
        <v>-19.721715131783739</v>
      </c>
      <c r="H11" s="33">
        <v>-8.0284218687985032</v>
      </c>
    </row>
    <row r="12" spans="1:8" x14ac:dyDescent="0.2">
      <c r="A12" s="34"/>
      <c r="B12" s="25" t="s">
        <v>238</v>
      </c>
      <c r="C12" s="26">
        <v>10120.566995515695</v>
      </c>
      <c r="D12" s="26">
        <v>9119.2933931240659</v>
      </c>
      <c r="E12" s="26">
        <v>8297.7793721973103</v>
      </c>
      <c r="F12" s="27"/>
      <c r="G12" s="28">
        <v>-18.010726317270965</v>
      </c>
      <c r="H12" s="29">
        <v>-9.0085271469188228</v>
      </c>
    </row>
    <row r="13" spans="1:8" x14ac:dyDescent="0.2">
      <c r="A13" s="30" t="s">
        <v>27</v>
      </c>
      <c r="B13" s="31" t="s">
        <v>3</v>
      </c>
      <c r="C13" s="20">
        <v>10399.352071748879</v>
      </c>
      <c r="D13" s="20">
        <v>11188.027049327355</v>
      </c>
      <c r="E13" s="21">
        <v>11231.973288422674</v>
      </c>
      <c r="F13" s="22" t="s">
        <v>237</v>
      </c>
      <c r="G13" s="23">
        <v>8.0064720468086819</v>
      </c>
      <c r="H13" s="24">
        <v>0.39279704009977934</v>
      </c>
    </row>
    <row r="14" spans="1:8" x14ac:dyDescent="0.2">
      <c r="A14" s="34"/>
      <c r="B14" s="25" t="s">
        <v>238</v>
      </c>
      <c r="C14" s="26">
        <v>1155.8700986547085</v>
      </c>
      <c r="D14" s="26">
        <v>1269.5880179372198</v>
      </c>
      <c r="E14" s="26">
        <v>1265.7338116591927</v>
      </c>
      <c r="F14" s="27"/>
      <c r="G14" s="38">
        <v>9.5048494750709551</v>
      </c>
      <c r="H14" s="24">
        <v>-0.30357928899559283</v>
      </c>
    </row>
    <row r="15" spans="1:8" x14ac:dyDescent="0.2">
      <c r="A15" s="30" t="s">
        <v>30</v>
      </c>
      <c r="B15" s="31" t="s">
        <v>3</v>
      </c>
      <c r="C15" s="20">
        <v>14500.469428998505</v>
      </c>
      <c r="D15" s="20">
        <v>14655.36939910314</v>
      </c>
      <c r="E15" s="21">
        <v>15397.062184098788</v>
      </c>
      <c r="F15" s="22" t="s">
        <v>237</v>
      </c>
      <c r="G15" s="37">
        <v>6.1831981336221133</v>
      </c>
      <c r="H15" s="33">
        <v>5.0608945076542113</v>
      </c>
    </row>
    <row r="16" spans="1:8" x14ac:dyDescent="0.2">
      <c r="A16" s="34"/>
      <c r="B16" s="25" t="s">
        <v>238</v>
      </c>
      <c r="C16" s="26">
        <v>4424.826798206278</v>
      </c>
      <c r="D16" s="26">
        <v>4010.1173572496264</v>
      </c>
      <c r="E16" s="26">
        <v>4363.3117488789239</v>
      </c>
      <c r="F16" s="27"/>
      <c r="G16" s="28">
        <v>-1.3902250219667565</v>
      </c>
      <c r="H16" s="29">
        <v>8.8075824262544558</v>
      </c>
    </row>
    <row r="17" spans="1:9" x14ac:dyDescent="0.2">
      <c r="A17" s="30" t="s">
        <v>31</v>
      </c>
      <c r="B17" s="31" t="s">
        <v>3</v>
      </c>
      <c r="C17" s="20">
        <v>16031.352071748879</v>
      </c>
      <c r="D17" s="20">
        <v>15698.027049327355</v>
      </c>
      <c r="E17" s="21">
        <v>14919.076567089844</v>
      </c>
      <c r="F17" s="22" t="s">
        <v>237</v>
      </c>
      <c r="G17" s="37">
        <v>-6.9381266139063484</v>
      </c>
      <c r="H17" s="33">
        <v>-4.9620916041859431</v>
      </c>
    </row>
    <row r="18" spans="1:9" ht="13.5" thickBot="1" x14ac:dyDescent="0.25">
      <c r="A18" s="56"/>
      <c r="B18" s="42" t="s">
        <v>238</v>
      </c>
      <c r="C18" s="43">
        <v>2861.8700986547087</v>
      </c>
      <c r="D18" s="43">
        <v>2746.5880179372198</v>
      </c>
      <c r="E18" s="43">
        <v>2627.7338116591927</v>
      </c>
      <c r="F18" s="44"/>
      <c r="G18" s="57">
        <v>-8.1812339108465295</v>
      </c>
      <c r="H18" s="46">
        <v>-4.3273401581097204</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232</v>
      </c>
      <c r="D34" s="15" t="s">
        <v>233</v>
      </c>
      <c r="E34" s="15" t="s">
        <v>234</v>
      </c>
      <c r="F34" s="16"/>
      <c r="G34" s="17" t="s">
        <v>235</v>
      </c>
      <c r="H34" s="18" t="s">
        <v>236</v>
      </c>
    </row>
    <row r="35" spans="1:9" ht="12.75" customHeight="1" x14ac:dyDescent="0.2">
      <c r="A35" s="205" t="s">
        <v>26</v>
      </c>
      <c r="B35" s="19" t="s">
        <v>3</v>
      </c>
      <c r="C35" s="80">
        <v>15832.677050750515</v>
      </c>
      <c r="D35" s="80">
        <v>15502.439866948976</v>
      </c>
      <c r="E35" s="83">
        <v>15246.067273500628</v>
      </c>
      <c r="F35" s="22" t="s">
        <v>237</v>
      </c>
      <c r="G35" s="23">
        <v>-3.7050574288198419</v>
      </c>
      <c r="H35" s="24">
        <v>-1.6537564128529851</v>
      </c>
    </row>
    <row r="36" spans="1:9" ht="12.75" customHeight="1" x14ac:dyDescent="0.2">
      <c r="A36" s="206"/>
      <c r="B36" s="25" t="s">
        <v>238</v>
      </c>
      <c r="C36" s="82">
        <v>4508.8045500981762</v>
      </c>
      <c r="D36" s="82">
        <v>4422.1313349224674</v>
      </c>
      <c r="E36" s="82">
        <v>4346.5809320392218</v>
      </c>
      <c r="F36" s="27"/>
      <c r="G36" s="28">
        <v>-3.5979297007989004</v>
      </c>
      <c r="H36" s="29">
        <v>-1.7084613088401284</v>
      </c>
    </row>
    <row r="37" spans="1:9" x14ac:dyDescent="0.2">
      <c r="A37" s="30" t="s">
        <v>28</v>
      </c>
      <c r="B37" s="31" t="s">
        <v>3</v>
      </c>
      <c r="C37" s="80">
        <v>13112.65006826836</v>
      </c>
      <c r="D37" s="80">
        <v>12905.803856264893</v>
      </c>
      <c r="E37" s="83">
        <v>12689.363944712004</v>
      </c>
      <c r="F37" s="22" t="s">
        <v>237</v>
      </c>
      <c r="G37" s="32">
        <v>-3.2280745795289505</v>
      </c>
      <c r="H37" s="33">
        <v>-1.6770742370133149</v>
      </c>
    </row>
    <row r="38" spans="1:9" x14ac:dyDescent="0.2">
      <c r="A38" s="34"/>
      <c r="B38" s="25" t="s">
        <v>238</v>
      </c>
      <c r="C38" s="82">
        <v>3833.3224750274994</v>
      </c>
      <c r="D38" s="82">
        <v>3782.0119164239622</v>
      </c>
      <c r="E38" s="82">
        <v>3715.5783146213939</v>
      </c>
      <c r="F38" s="27"/>
      <c r="G38" s="35">
        <v>-3.0715954938088146</v>
      </c>
      <c r="H38" s="29">
        <v>-1.7565677546934779</v>
      </c>
    </row>
    <row r="39" spans="1:9" x14ac:dyDescent="0.2">
      <c r="A39" s="30" t="s">
        <v>29</v>
      </c>
      <c r="B39" s="31" t="s">
        <v>3</v>
      </c>
      <c r="C39" s="80">
        <v>1087.6094540315007</v>
      </c>
      <c r="D39" s="80">
        <v>929.7729126938068</v>
      </c>
      <c r="E39" s="83">
        <v>896.55742328926283</v>
      </c>
      <c r="F39" s="22" t="s">
        <v>237</v>
      </c>
      <c r="G39" s="37">
        <v>-17.566234831267323</v>
      </c>
      <c r="H39" s="33">
        <v>-3.5724303161628512</v>
      </c>
    </row>
    <row r="40" spans="1:9" x14ac:dyDescent="0.2">
      <c r="A40" s="34"/>
      <c r="B40" s="25" t="s">
        <v>238</v>
      </c>
      <c r="C40" s="82">
        <v>334.00394972935413</v>
      </c>
      <c r="D40" s="82">
        <v>286.83567481491917</v>
      </c>
      <c r="E40" s="82">
        <v>276.16851806658013</v>
      </c>
      <c r="F40" s="27"/>
      <c r="G40" s="28">
        <v>-17.315792735277086</v>
      </c>
      <c r="H40" s="29">
        <v>-3.7189086591903191</v>
      </c>
    </row>
    <row r="41" spans="1:9" x14ac:dyDescent="0.2">
      <c r="A41" s="30" t="s">
        <v>27</v>
      </c>
      <c r="B41" s="31" t="s">
        <v>3</v>
      </c>
      <c r="C41" s="80">
        <v>313.01303950799792</v>
      </c>
      <c r="D41" s="80">
        <v>326.40791946298395</v>
      </c>
      <c r="E41" s="83">
        <v>331.05881581396</v>
      </c>
      <c r="F41" s="22" t="s">
        <v>237</v>
      </c>
      <c r="G41" s="23">
        <v>5.7651835637029478</v>
      </c>
      <c r="H41" s="24">
        <v>1.4248723985091516</v>
      </c>
    </row>
    <row r="42" spans="1:9" x14ac:dyDescent="0.2">
      <c r="A42" s="34"/>
      <c r="B42" s="25" t="s">
        <v>238</v>
      </c>
      <c r="C42" s="82">
        <v>41.858540453458261</v>
      </c>
      <c r="D42" s="82">
        <v>43.540807021534192</v>
      </c>
      <c r="E42" s="82">
        <v>44.197997957197863</v>
      </c>
      <c r="F42" s="27"/>
      <c r="G42" s="38">
        <v>5.5889610062749284</v>
      </c>
      <c r="H42" s="24">
        <v>1.5093678335788212</v>
      </c>
    </row>
    <row r="43" spans="1:9" x14ac:dyDescent="0.2">
      <c r="A43" s="30" t="s">
        <v>30</v>
      </c>
      <c r="B43" s="31" t="s">
        <v>3</v>
      </c>
      <c r="C43" s="80">
        <v>784.17131108572971</v>
      </c>
      <c r="D43" s="80">
        <v>791.47903614085703</v>
      </c>
      <c r="E43" s="83">
        <v>849.72916172440603</v>
      </c>
      <c r="F43" s="22" t="s">
        <v>237</v>
      </c>
      <c r="G43" s="37">
        <v>8.3601439777116724</v>
      </c>
      <c r="H43" s="33">
        <v>7.3596548896062615</v>
      </c>
    </row>
    <row r="44" spans="1:9" x14ac:dyDescent="0.2">
      <c r="A44" s="34"/>
      <c r="B44" s="25" t="s">
        <v>238</v>
      </c>
      <c r="C44" s="82">
        <v>197.30380581526623</v>
      </c>
      <c r="D44" s="82">
        <v>198.42890560925437</v>
      </c>
      <c r="E44" s="82">
        <v>213.28734409827834</v>
      </c>
      <c r="F44" s="27"/>
      <c r="G44" s="28">
        <v>8.1009781929788858</v>
      </c>
      <c r="H44" s="29">
        <v>7.488041343272414</v>
      </c>
    </row>
    <row r="45" spans="1:9" x14ac:dyDescent="0.2">
      <c r="A45" s="30" t="s">
        <v>31</v>
      </c>
      <c r="B45" s="31" t="s">
        <v>3</v>
      </c>
      <c r="C45" s="80">
        <v>535.23317785692666</v>
      </c>
      <c r="D45" s="80">
        <v>548.97614238643359</v>
      </c>
      <c r="E45" s="83">
        <v>489.81825330401739</v>
      </c>
      <c r="F45" s="22" t="s">
        <v>237</v>
      </c>
      <c r="G45" s="37">
        <v>-8.4850727555325705</v>
      </c>
      <c r="H45" s="33">
        <v>-10.776040070749374</v>
      </c>
    </row>
    <row r="46" spans="1:9" ht="13.5" thickBot="1" x14ac:dyDescent="0.25">
      <c r="A46" s="56"/>
      <c r="B46" s="42" t="s">
        <v>238</v>
      </c>
      <c r="C46" s="86">
        <v>102.31577907259711</v>
      </c>
      <c r="D46" s="86">
        <v>111.31403105279828</v>
      </c>
      <c r="E46" s="86">
        <v>97.348757295771662</v>
      </c>
      <c r="F46" s="44"/>
      <c r="G46" s="57">
        <v>-4.8545999667374389</v>
      </c>
      <c r="H46" s="46">
        <v>-12.545834181858567</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239</v>
      </c>
      <c r="G61" s="53"/>
      <c r="H61" s="208">
        <v>11</v>
      </c>
    </row>
    <row r="62" spans="1:9" ht="12.75" customHeight="1" x14ac:dyDescent="0.2">
      <c r="A62" s="54" t="s">
        <v>240</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3" t="s">
        <v>1</v>
      </c>
      <c r="H5" s="204"/>
    </row>
    <row r="6" spans="1:8" x14ac:dyDescent="0.2">
      <c r="A6" s="12"/>
      <c r="B6" s="13"/>
      <c r="C6" s="14" t="s">
        <v>232</v>
      </c>
      <c r="D6" s="15" t="s">
        <v>233</v>
      </c>
      <c r="E6" s="15" t="s">
        <v>234</v>
      </c>
      <c r="F6" s="16"/>
      <c r="G6" s="17" t="s">
        <v>235</v>
      </c>
      <c r="H6" s="18" t="s">
        <v>236</v>
      </c>
    </row>
    <row r="7" spans="1:8" ht="12.75" customHeight="1" x14ac:dyDescent="0.2">
      <c r="A7" s="205" t="s">
        <v>26</v>
      </c>
      <c r="B7" s="19" t="s">
        <v>3</v>
      </c>
      <c r="C7" s="20">
        <v>881354.73572496255</v>
      </c>
      <c r="D7" s="20">
        <v>905544.03497757844</v>
      </c>
      <c r="E7" s="21">
        <v>898625.14780635317</v>
      </c>
      <c r="F7" s="22" t="s">
        <v>237</v>
      </c>
      <c r="G7" s="23">
        <v>1.9595301847654696</v>
      </c>
      <c r="H7" s="24">
        <v>-0.76405861051213719</v>
      </c>
    </row>
    <row r="8" spans="1:8" ht="12.75" customHeight="1" x14ac:dyDescent="0.2">
      <c r="A8" s="206"/>
      <c r="B8" s="25" t="s">
        <v>238</v>
      </c>
      <c r="C8" s="26">
        <v>250500.76995515695</v>
      </c>
      <c r="D8" s="26">
        <v>243463.78393124067</v>
      </c>
      <c r="E8" s="26">
        <v>246036.64372197309</v>
      </c>
      <c r="F8" s="27"/>
      <c r="G8" s="28">
        <v>-1.7820808430980151</v>
      </c>
      <c r="H8" s="29">
        <v>1.0567731057113008</v>
      </c>
    </row>
    <row r="9" spans="1:8" x14ac:dyDescent="0.2">
      <c r="A9" s="30" t="s">
        <v>34</v>
      </c>
      <c r="B9" s="31" t="s">
        <v>3</v>
      </c>
      <c r="C9" s="20">
        <v>10149.056399999999</v>
      </c>
      <c r="D9" s="20">
        <v>9026.7504000000008</v>
      </c>
      <c r="E9" s="21">
        <v>7832.453807758362</v>
      </c>
      <c r="F9" s="22" t="s">
        <v>237</v>
      </c>
      <c r="G9" s="32">
        <v>-22.825792871164225</v>
      </c>
      <c r="H9" s="33">
        <v>-13.230637154225946</v>
      </c>
    </row>
    <row r="10" spans="1:8" x14ac:dyDescent="0.2">
      <c r="A10" s="34"/>
      <c r="B10" s="25" t="s">
        <v>238</v>
      </c>
      <c r="C10" s="26">
        <v>2810.8753999999999</v>
      </c>
      <c r="D10" s="26">
        <v>2334.5140999999999</v>
      </c>
      <c r="E10" s="26">
        <v>2071.3580000000002</v>
      </c>
      <c r="F10" s="27"/>
      <c r="G10" s="35">
        <v>-26.309149099956542</v>
      </c>
      <c r="H10" s="29">
        <v>-11.272414246716252</v>
      </c>
    </row>
    <row r="11" spans="1:8" x14ac:dyDescent="0.2">
      <c r="A11" s="30" t="s">
        <v>35</v>
      </c>
      <c r="B11" s="31" t="s">
        <v>3</v>
      </c>
      <c r="C11" s="20">
        <v>3469.444512</v>
      </c>
      <c r="D11" s="20">
        <v>3099.940032</v>
      </c>
      <c r="E11" s="21">
        <v>2873.9756186663785</v>
      </c>
      <c r="F11" s="22" t="s">
        <v>237</v>
      </c>
      <c r="G11" s="37">
        <v>-17.163234381585681</v>
      </c>
      <c r="H11" s="33">
        <v>-7.2893156319490231</v>
      </c>
    </row>
    <row r="12" spans="1:8" x14ac:dyDescent="0.2">
      <c r="A12" s="34"/>
      <c r="B12" s="25" t="s">
        <v>238</v>
      </c>
      <c r="C12" s="26">
        <v>1002.978032</v>
      </c>
      <c r="D12" s="26">
        <v>734.36112800000001</v>
      </c>
      <c r="E12" s="26">
        <v>724.42864000000009</v>
      </c>
      <c r="F12" s="27"/>
      <c r="G12" s="28">
        <v>-27.77223260259801</v>
      </c>
      <c r="H12" s="29">
        <v>-1.3525345529999129</v>
      </c>
    </row>
    <row r="13" spans="1:8" x14ac:dyDescent="0.2">
      <c r="A13" s="30" t="s">
        <v>36</v>
      </c>
      <c r="B13" s="31" t="s">
        <v>3</v>
      </c>
      <c r="C13" s="20">
        <v>163221.03962666666</v>
      </c>
      <c r="D13" s="20">
        <v>144885.03456</v>
      </c>
      <c r="E13" s="21">
        <v>129428.81808547387</v>
      </c>
      <c r="F13" s="22" t="s">
        <v>237</v>
      </c>
      <c r="G13" s="23">
        <v>-20.703349040347547</v>
      </c>
      <c r="H13" s="24">
        <v>-10.667917857399814</v>
      </c>
    </row>
    <row r="14" spans="1:8" x14ac:dyDescent="0.2">
      <c r="A14" s="34"/>
      <c r="B14" s="25" t="s">
        <v>238</v>
      </c>
      <c r="C14" s="26">
        <v>49563.824560000001</v>
      </c>
      <c r="D14" s="26">
        <v>39479.509906666666</v>
      </c>
      <c r="E14" s="26">
        <v>36517.431199999999</v>
      </c>
      <c r="F14" s="27"/>
      <c r="G14" s="38">
        <v>-26.322410499630749</v>
      </c>
      <c r="H14" s="24">
        <v>-7.5028254243006245</v>
      </c>
    </row>
    <row r="15" spans="1:8" x14ac:dyDescent="0.2">
      <c r="A15" s="30" t="s">
        <v>18</v>
      </c>
      <c r="B15" s="31" t="s">
        <v>3</v>
      </c>
      <c r="C15" s="20">
        <v>3303.7460799999999</v>
      </c>
      <c r="D15" s="20">
        <v>4883.2428799999998</v>
      </c>
      <c r="E15" s="21">
        <v>2413.0295931619462</v>
      </c>
      <c r="F15" s="22" t="s">
        <v>237</v>
      </c>
      <c r="G15" s="37">
        <v>-26.960803441590571</v>
      </c>
      <c r="H15" s="33">
        <v>-50.585509415375505</v>
      </c>
    </row>
    <row r="16" spans="1:8" x14ac:dyDescent="0.2">
      <c r="A16" s="34"/>
      <c r="B16" s="25" t="s">
        <v>238</v>
      </c>
      <c r="C16" s="26">
        <v>834.41287999999997</v>
      </c>
      <c r="D16" s="26">
        <v>2238.6865200000002</v>
      </c>
      <c r="E16" s="26">
        <v>869.87760000000003</v>
      </c>
      <c r="F16" s="27"/>
      <c r="G16" s="28">
        <v>4.2502603746960403</v>
      </c>
      <c r="H16" s="29">
        <v>-61.143394029102389</v>
      </c>
    </row>
    <row r="17" spans="1:9" x14ac:dyDescent="0.2">
      <c r="A17" s="30" t="s">
        <v>37</v>
      </c>
      <c r="B17" s="31" t="s">
        <v>3</v>
      </c>
      <c r="C17" s="20">
        <v>2790.166768</v>
      </c>
      <c r="D17" s="20">
        <v>2548.4100479999997</v>
      </c>
      <c r="E17" s="21">
        <v>1682.6299541868868</v>
      </c>
      <c r="F17" s="22" t="s">
        <v>237</v>
      </c>
      <c r="G17" s="37">
        <v>-39.694287327742742</v>
      </c>
      <c r="H17" s="33">
        <v>-33.973343280944121</v>
      </c>
    </row>
    <row r="18" spans="1:9" x14ac:dyDescent="0.2">
      <c r="A18" s="34"/>
      <c r="B18" s="25" t="s">
        <v>238</v>
      </c>
      <c r="C18" s="26">
        <v>555.96704799999998</v>
      </c>
      <c r="D18" s="26">
        <v>582.54169200000001</v>
      </c>
      <c r="E18" s="26">
        <v>366.64296000000002</v>
      </c>
      <c r="F18" s="27"/>
      <c r="G18" s="28">
        <v>-34.05311316220309</v>
      </c>
      <c r="H18" s="29">
        <v>-37.061507350447286</v>
      </c>
    </row>
    <row r="19" spans="1:9" x14ac:dyDescent="0.2">
      <c r="A19" s="30" t="s">
        <v>38</v>
      </c>
      <c r="B19" s="31" t="s">
        <v>3</v>
      </c>
      <c r="C19" s="20">
        <v>5614.7408533333328</v>
      </c>
      <c r="D19" s="20">
        <v>5079.5667199999998</v>
      </c>
      <c r="E19" s="21">
        <v>4408.6526225933758</v>
      </c>
      <c r="F19" s="22" t="s">
        <v>237</v>
      </c>
      <c r="G19" s="23">
        <v>-21.480746168791256</v>
      </c>
      <c r="H19" s="24">
        <v>-13.20809695765989</v>
      </c>
    </row>
    <row r="20" spans="1:9" x14ac:dyDescent="0.2">
      <c r="A20" s="30"/>
      <c r="B20" s="25" t="s">
        <v>238</v>
      </c>
      <c r="C20" s="26">
        <v>1226.2967200000001</v>
      </c>
      <c r="D20" s="26">
        <v>1186.9352133333332</v>
      </c>
      <c r="E20" s="26">
        <v>1006.7144000000001</v>
      </c>
      <c r="F20" s="27"/>
      <c r="G20" s="38">
        <v>-17.906132864809422</v>
      </c>
      <c r="H20" s="24">
        <v>-15.183711066015931</v>
      </c>
    </row>
    <row r="21" spans="1:9" x14ac:dyDescent="0.2">
      <c r="A21" s="39" t="s">
        <v>39</v>
      </c>
      <c r="B21" s="31" t="s">
        <v>3</v>
      </c>
      <c r="C21" s="20">
        <v>246464.55791999999</v>
      </c>
      <c r="D21" s="20">
        <v>260980.90111999999</v>
      </c>
      <c r="E21" s="21">
        <v>182135.18027577086</v>
      </c>
      <c r="F21" s="22" t="s">
        <v>237</v>
      </c>
      <c r="G21" s="37">
        <v>-26.100863421145448</v>
      </c>
      <c r="H21" s="33">
        <v>-30.211299181611594</v>
      </c>
    </row>
    <row r="22" spans="1:9" x14ac:dyDescent="0.2">
      <c r="A22" s="34"/>
      <c r="B22" s="25" t="s">
        <v>238</v>
      </c>
      <c r="C22" s="26">
        <v>63846.231119999997</v>
      </c>
      <c r="D22" s="26">
        <v>75273.639479999998</v>
      </c>
      <c r="E22" s="26">
        <v>50619.002399999998</v>
      </c>
      <c r="F22" s="27"/>
      <c r="G22" s="28">
        <v>-20.717321113503502</v>
      </c>
      <c r="H22" s="29">
        <v>-32.753347985187659</v>
      </c>
    </row>
    <row r="23" spans="1:9" x14ac:dyDescent="0.2">
      <c r="A23" s="39" t="s">
        <v>40</v>
      </c>
      <c r="B23" s="31" t="s">
        <v>3</v>
      </c>
      <c r="C23" s="20">
        <v>192266.22560000001</v>
      </c>
      <c r="D23" s="20">
        <v>208428.00160000002</v>
      </c>
      <c r="E23" s="21">
        <v>262492.88154890371</v>
      </c>
      <c r="F23" s="22" t="s">
        <v>237</v>
      </c>
      <c r="G23" s="23">
        <v>36.525737024144149</v>
      </c>
      <c r="H23" s="24">
        <v>25.939355333196119</v>
      </c>
    </row>
    <row r="24" spans="1:9" x14ac:dyDescent="0.2">
      <c r="A24" s="34"/>
      <c r="B24" s="25" t="s">
        <v>238</v>
      </c>
      <c r="C24" s="26">
        <v>56244.901599999997</v>
      </c>
      <c r="D24" s="26">
        <v>53197.056400000001</v>
      </c>
      <c r="E24" s="26">
        <v>69970.432000000001</v>
      </c>
      <c r="F24" s="27"/>
      <c r="G24" s="38">
        <v>24.403154791900292</v>
      </c>
      <c r="H24" s="24">
        <v>31.530646120487205</v>
      </c>
    </row>
    <row r="25" spans="1:9" x14ac:dyDescent="0.2">
      <c r="A25" s="30" t="s">
        <v>41</v>
      </c>
      <c r="B25" s="31" t="s">
        <v>3</v>
      </c>
      <c r="C25" s="20">
        <v>333427.1974</v>
      </c>
      <c r="D25" s="20">
        <v>312814.12640000001</v>
      </c>
      <c r="E25" s="21">
        <v>293409.97098838491</v>
      </c>
      <c r="F25" s="22" t="s">
        <v>237</v>
      </c>
      <c r="G25" s="37">
        <v>-12.001788313509394</v>
      </c>
      <c r="H25" s="33">
        <v>-6.2030943534828538</v>
      </c>
    </row>
    <row r="26" spans="1:9" x14ac:dyDescent="0.2">
      <c r="A26" s="34"/>
      <c r="B26" s="25" t="s">
        <v>238</v>
      </c>
      <c r="C26" s="26">
        <v>92699.5389</v>
      </c>
      <c r="D26" s="26">
        <v>83122.299350000001</v>
      </c>
      <c r="E26" s="26">
        <v>79132.752999999997</v>
      </c>
      <c r="F26" s="27"/>
      <c r="G26" s="28">
        <v>-14.635224792903472</v>
      </c>
      <c r="H26" s="29">
        <v>-4.7996101902828343</v>
      </c>
    </row>
    <row r="27" spans="1:9" x14ac:dyDescent="0.2">
      <c r="A27" s="30" t="s">
        <v>24</v>
      </c>
      <c r="B27" s="31" t="s">
        <v>3</v>
      </c>
      <c r="C27" s="20">
        <v>176584.81706666667</v>
      </c>
      <c r="D27" s="20">
        <v>180300.33439999999</v>
      </c>
      <c r="E27" s="21">
        <v>241824.31582616526</v>
      </c>
      <c r="F27" s="22" t="s">
        <v>237</v>
      </c>
      <c r="G27" s="23">
        <v>36.945134832780383</v>
      </c>
      <c r="H27" s="24">
        <v>34.123054530599518</v>
      </c>
    </row>
    <row r="28" spans="1:9" ht="13.5" thickBot="1" x14ac:dyDescent="0.25">
      <c r="A28" s="56"/>
      <c r="B28" s="42" t="s">
        <v>238</v>
      </c>
      <c r="C28" s="43">
        <v>42674.934399999998</v>
      </c>
      <c r="D28" s="43">
        <v>44413.704266666668</v>
      </c>
      <c r="E28" s="43">
        <v>59188.288</v>
      </c>
      <c r="F28" s="44"/>
      <c r="G28" s="57">
        <v>38.69567424572304</v>
      </c>
      <c r="H28" s="46">
        <v>33.265821838738049</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232</v>
      </c>
      <c r="D34" s="15" t="s">
        <v>233</v>
      </c>
      <c r="E34" s="15" t="s">
        <v>234</v>
      </c>
      <c r="F34" s="16"/>
      <c r="G34" s="17" t="s">
        <v>235</v>
      </c>
      <c r="H34" s="18" t="s">
        <v>236</v>
      </c>
    </row>
    <row r="35" spans="1:8" ht="12.75" customHeight="1" x14ac:dyDescent="0.2">
      <c r="A35" s="205" t="s">
        <v>26</v>
      </c>
      <c r="B35" s="19" t="s">
        <v>3</v>
      </c>
      <c r="C35" s="80">
        <v>15832.677050750515</v>
      </c>
      <c r="D35" s="80">
        <v>15502.439866948976</v>
      </c>
      <c r="E35" s="83">
        <v>15246.067273500628</v>
      </c>
      <c r="F35" s="22" t="s">
        <v>237</v>
      </c>
      <c r="G35" s="23">
        <v>-3.7050574288198419</v>
      </c>
      <c r="H35" s="24">
        <v>-1.6537564128529851</v>
      </c>
    </row>
    <row r="36" spans="1:8" ht="12.75" customHeight="1" x14ac:dyDescent="0.2">
      <c r="A36" s="206"/>
      <c r="B36" s="25" t="s">
        <v>238</v>
      </c>
      <c r="C36" s="82">
        <v>4508.8045500981743</v>
      </c>
      <c r="D36" s="82">
        <v>4422.1313349224683</v>
      </c>
      <c r="E36" s="82">
        <v>4346.5809320392218</v>
      </c>
      <c r="F36" s="27"/>
      <c r="G36" s="28">
        <v>-3.5979297007988578</v>
      </c>
      <c r="H36" s="29">
        <v>-1.7084613088401426</v>
      </c>
    </row>
    <row r="37" spans="1:8" x14ac:dyDescent="0.2">
      <c r="A37" s="30" t="s">
        <v>34</v>
      </c>
      <c r="B37" s="31" t="s">
        <v>3</v>
      </c>
      <c r="C37" s="84">
        <v>1290.8265800279776</v>
      </c>
      <c r="D37" s="84">
        <v>1173.4909154312004</v>
      </c>
      <c r="E37" s="83">
        <v>1214.5799488397342</v>
      </c>
      <c r="F37" s="22" t="s">
        <v>237</v>
      </c>
      <c r="G37" s="32">
        <v>-5.9068067212088806</v>
      </c>
      <c r="H37" s="33">
        <v>3.5014360033145806</v>
      </c>
    </row>
    <row r="38" spans="1:8" x14ac:dyDescent="0.2">
      <c r="A38" s="34"/>
      <c r="B38" s="25" t="s">
        <v>238</v>
      </c>
      <c r="C38" s="82">
        <v>428.13587066140946</v>
      </c>
      <c r="D38" s="82">
        <v>413.61090723136277</v>
      </c>
      <c r="E38" s="82">
        <v>419.33331636264865</v>
      </c>
      <c r="F38" s="27"/>
      <c r="G38" s="35">
        <v>-2.0560188720375407</v>
      </c>
      <c r="H38" s="29">
        <v>1.3835247164033007</v>
      </c>
    </row>
    <row r="39" spans="1:8" x14ac:dyDescent="0.2">
      <c r="A39" s="30" t="s">
        <v>35</v>
      </c>
      <c r="B39" s="31" t="s">
        <v>3</v>
      </c>
      <c r="C39" s="84">
        <v>50.117116598413013</v>
      </c>
      <c r="D39" s="84">
        <v>55.412940768714726</v>
      </c>
      <c r="E39" s="83">
        <v>35.249076866418662</v>
      </c>
      <c r="F39" s="22" t="s">
        <v>237</v>
      </c>
      <c r="G39" s="37">
        <v>-29.666590460763175</v>
      </c>
      <c r="H39" s="33">
        <v>-36.388366368168398</v>
      </c>
    </row>
    <row r="40" spans="1:8" x14ac:dyDescent="0.2">
      <c r="A40" s="34"/>
      <c r="B40" s="25" t="s">
        <v>238</v>
      </c>
      <c r="C40" s="82">
        <v>21.836600909154978</v>
      </c>
      <c r="D40" s="82">
        <v>19.595842766037418</v>
      </c>
      <c r="E40" s="82">
        <v>13.300403719995066</v>
      </c>
      <c r="F40" s="27"/>
      <c r="G40" s="28">
        <v>-39.091235969702218</v>
      </c>
      <c r="H40" s="29">
        <v>-32.126401100509483</v>
      </c>
    </row>
    <row r="41" spans="1:8" x14ac:dyDescent="0.2">
      <c r="A41" s="30" t="s">
        <v>36</v>
      </c>
      <c r="B41" s="31" t="s">
        <v>3</v>
      </c>
      <c r="C41" s="84">
        <v>2902.8218499061213</v>
      </c>
      <c r="D41" s="84">
        <v>2649.3064202585679</v>
      </c>
      <c r="E41" s="83">
        <v>2572.2879775280517</v>
      </c>
      <c r="F41" s="22" t="s">
        <v>237</v>
      </c>
      <c r="G41" s="23">
        <v>-11.38663994790997</v>
      </c>
      <c r="H41" s="24">
        <v>-2.9071172040189879</v>
      </c>
    </row>
    <row r="42" spans="1:8" x14ac:dyDescent="0.2">
      <c r="A42" s="34"/>
      <c r="B42" s="25" t="s">
        <v>238</v>
      </c>
      <c r="C42" s="82">
        <v>775.43417193310222</v>
      </c>
      <c r="D42" s="82">
        <v>667.57087162936671</v>
      </c>
      <c r="E42" s="82">
        <v>660.65457591878101</v>
      </c>
      <c r="F42" s="27"/>
      <c r="G42" s="38">
        <v>-14.801978061939664</v>
      </c>
      <c r="H42" s="24">
        <v>-1.0360391689506798</v>
      </c>
    </row>
    <row r="43" spans="1:8" x14ac:dyDescent="0.2">
      <c r="A43" s="30" t="s">
        <v>18</v>
      </c>
      <c r="B43" s="31" t="s">
        <v>3</v>
      </c>
      <c r="C43" s="84">
        <v>266.32922584417429</v>
      </c>
      <c r="D43" s="84">
        <v>400.10805758700963</v>
      </c>
      <c r="E43" s="83">
        <v>181.77221089885523</v>
      </c>
      <c r="F43" s="22" t="s">
        <v>237</v>
      </c>
      <c r="G43" s="37">
        <v>-31.749055957828759</v>
      </c>
      <c r="H43" s="33">
        <v>-54.569220126408958</v>
      </c>
    </row>
    <row r="44" spans="1:8" x14ac:dyDescent="0.2">
      <c r="A44" s="34"/>
      <c r="B44" s="25" t="s">
        <v>238</v>
      </c>
      <c r="C44" s="82">
        <v>79.584868540646866</v>
      </c>
      <c r="D44" s="82">
        <v>203.12499417206868</v>
      </c>
      <c r="E44" s="82">
        <v>74.844381229580648</v>
      </c>
      <c r="F44" s="27"/>
      <c r="G44" s="28">
        <v>-5.956518365856283</v>
      </c>
      <c r="H44" s="29">
        <v>-63.153534337492992</v>
      </c>
    </row>
    <row r="45" spans="1:8" x14ac:dyDescent="0.2">
      <c r="A45" s="30" t="s">
        <v>37</v>
      </c>
      <c r="B45" s="31" t="s">
        <v>3</v>
      </c>
      <c r="C45" s="84">
        <v>134.5963927207346</v>
      </c>
      <c r="D45" s="84">
        <v>104.2841681353503</v>
      </c>
      <c r="E45" s="83">
        <v>66.422914795292769</v>
      </c>
      <c r="F45" s="22" t="s">
        <v>237</v>
      </c>
      <c r="G45" s="37">
        <v>-50.650300908799686</v>
      </c>
      <c r="H45" s="33">
        <v>-36.305849696108673</v>
      </c>
    </row>
    <row r="46" spans="1:8" x14ac:dyDescent="0.2">
      <c r="A46" s="34"/>
      <c r="B46" s="25" t="s">
        <v>238</v>
      </c>
      <c r="C46" s="82">
        <v>27.10171811875351</v>
      </c>
      <c r="D46" s="82">
        <v>26.223587120290066</v>
      </c>
      <c r="E46" s="82">
        <v>15.423510287046645</v>
      </c>
      <c r="F46" s="27"/>
      <c r="G46" s="28">
        <v>-43.09028593883103</v>
      </c>
      <c r="H46" s="29">
        <v>-41.184589978870747</v>
      </c>
    </row>
    <row r="47" spans="1:8" x14ac:dyDescent="0.2">
      <c r="A47" s="30" t="s">
        <v>38</v>
      </c>
      <c r="B47" s="31" t="s">
        <v>3</v>
      </c>
      <c r="C47" s="84">
        <v>126.50901799240219</v>
      </c>
      <c r="D47" s="84">
        <v>105.82605388393578</v>
      </c>
      <c r="E47" s="83">
        <v>77.268986125729597</v>
      </c>
      <c r="F47" s="22" t="s">
        <v>237</v>
      </c>
      <c r="G47" s="23">
        <v>-38.922151675882766</v>
      </c>
      <c r="H47" s="24">
        <v>-26.984912231090092</v>
      </c>
    </row>
    <row r="48" spans="1:8" x14ac:dyDescent="0.2">
      <c r="A48" s="30"/>
      <c r="B48" s="25" t="s">
        <v>238</v>
      </c>
      <c r="C48" s="82">
        <v>24.183800351677849</v>
      </c>
      <c r="D48" s="82">
        <v>24.476014951364832</v>
      </c>
      <c r="E48" s="82">
        <v>16.702625529695691</v>
      </c>
      <c r="F48" s="27"/>
      <c r="G48" s="38">
        <v>-30.934653417543288</v>
      </c>
      <c r="H48" s="24">
        <v>-31.759211771668248</v>
      </c>
    </row>
    <row r="49" spans="1:9" x14ac:dyDescent="0.2">
      <c r="A49" s="39" t="s">
        <v>39</v>
      </c>
      <c r="B49" s="31" t="s">
        <v>3</v>
      </c>
      <c r="C49" s="84">
        <v>1593.2205910805935</v>
      </c>
      <c r="D49" s="84">
        <v>1683.7532472702133</v>
      </c>
      <c r="E49" s="83">
        <v>1403.5024588385643</v>
      </c>
      <c r="F49" s="22" t="s">
        <v>237</v>
      </c>
      <c r="G49" s="37">
        <v>-11.907838330996839</v>
      </c>
      <c r="H49" s="33">
        <v>-16.644409677368458</v>
      </c>
    </row>
    <row r="50" spans="1:9" x14ac:dyDescent="0.2">
      <c r="A50" s="34"/>
      <c r="B50" s="25" t="s">
        <v>238</v>
      </c>
      <c r="C50" s="82">
        <v>389.25617273343158</v>
      </c>
      <c r="D50" s="82">
        <v>422.96520540999342</v>
      </c>
      <c r="E50" s="82">
        <v>349.28489816585994</v>
      </c>
      <c r="F50" s="27"/>
      <c r="G50" s="28">
        <v>-10.268629598571465</v>
      </c>
      <c r="H50" s="29">
        <v>-17.419945258313348</v>
      </c>
    </row>
    <row r="51" spans="1:9" x14ac:dyDescent="0.2">
      <c r="A51" s="39" t="s">
        <v>40</v>
      </c>
      <c r="B51" s="31" t="s">
        <v>3</v>
      </c>
      <c r="C51" s="84">
        <v>863.94073953695613</v>
      </c>
      <c r="D51" s="84">
        <v>850.75359543371451</v>
      </c>
      <c r="E51" s="83">
        <v>987.50375232810973</v>
      </c>
      <c r="F51" s="22" t="s">
        <v>237</v>
      </c>
      <c r="G51" s="23">
        <v>14.302255598848063</v>
      </c>
      <c r="H51" s="24">
        <v>16.074002816841457</v>
      </c>
    </row>
    <row r="52" spans="1:9" x14ac:dyDescent="0.2">
      <c r="A52" s="34"/>
      <c r="B52" s="25" t="s">
        <v>238</v>
      </c>
      <c r="C52" s="82">
        <v>254.76524488259065</v>
      </c>
      <c r="D52" s="82">
        <v>241.35052612944764</v>
      </c>
      <c r="E52" s="82">
        <v>283.73645508525948</v>
      </c>
      <c r="F52" s="27"/>
      <c r="G52" s="38">
        <v>11.371727810055219</v>
      </c>
      <c r="H52" s="24">
        <v>17.56197909967608</v>
      </c>
    </row>
    <row r="53" spans="1:9" x14ac:dyDescent="0.2">
      <c r="A53" s="30" t="s">
        <v>41</v>
      </c>
      <c r="B53" s="31" t="s">
        <v>3</v>
      </c>
      <c r="C53" s="84">
        <v>7804.6326024530808</v>
      </c>
      <c r="D53" s="84">
        <v>7376.5297567928401</v>
      </c>
      <c r="E53" s="83">
        <v>7289.2508848244051</v>
      </c>
      <c r="F53" s="22" t="s">
        <v>237</v>
      </c>
      <c r="G53" s="37">
        <v>-6.6035359238650955</v>
      </c>
      <c r="H53" s="33">
        <v>-1.1831969075711015</v>
      </c>
    </row>
    <row r="54" spans="1:9" x14ac:dyDescent="0.2">
      <c r="A54" s="34"/>
      <c r="B54" s="25" t="s">
        <v>238</v>
      </c>
      <c r="C54" s="82">
        <v>2296.9695207450623</v>
      </c>
      <c r="D54" s="82">
        <v>2144.9539604017318</v>
      </c>
      <c r="E54" s="82">
        <v>2128.0772951059153</v>
      </c>
      <c r="F54" s="27"/>
      <c r="G54" s="28">
        <v>-7.3528283294052414</v>
      </c>
      <c r="H54" s="29">
        <v>-0.78680781067467365</v>
      </c>
    </row>
    <row r="55" spans="1:9" x14ac:dyDescent="0.2">
      <c r="A55" s="30" t="s">
        <v>24</v>
      </c>
      <c r="B55" s="31" t="s">
        <v>3</v>
      </c>
      <c r="C55" s="84">
        <v>799.68293459006009</v>
      </c>
      <c r="D55" s="84">
        <v>1102.9747113874296</v>
      </c>
      <c r="E55" s="83">
        <v>1582.23551416041</v>
      </c>
      <c r="F55" s="22" t="s">
        <v>237</v>
      </c>
      <c r="G55" s="23">
        <v>97.857856623076287</v>
      </c>
      <c r="H55" s="24">
        <v>43.451658304125516</v>
      </c>
    </row>
    <row r="56" spans="1:9" ht="13.5" thickBot="1" x14ac:dyDescent="0.25">
      <c r="A56" s="56"/>
      <c r="B56" s="42" t="s">
        <v>238</v>
      </c>
      <c r="C56" s="86">
        <v>211.53658122234677</v>
      </c>
      <c r="D56" s="86">
        <v>258.25942511080478</v>
      </c>
      <c r="E56" s="86">
        <v>385.2234706344388</v>
      </c>
      <c r="F56" s="44"/>
      <c r="G56" s="57">
        <v>82.107259372566489</v>
      </c>
      <c r="H56" s="46">
        <v>49.161437368320946</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239</v>
      </c>
      <c r="H61" s="200">
        <v>12</v>
      </c>
    </row>
    <row r="62" spans="1:9" ht="12.75" customHeight="1" x14ac:dyDescent="0.2">
      <c r="A62" s="54" t="s">
        <v>240</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3" t="s">
        <v>1</v>
      </c>
      <c r="H5" s="204"/>
    </row>
    <row r="6" spans="1:8" x14ac:dyDescent="0.2">
      <c r="A6" s="12"/>
      <c r="B6" s="13"/>
      <c r="C6" s="14" t="s">
        <v>232</v>
      </c>
      <c r="D6" s="15" t="s">
        <v>233</v>
      </c>
      <c r="E6" s="15" t="s">
        <v>234</v>
      </c>
      <c r="F6" s="16"/>
      <c r="G6" s="17" t="s">
        <v>235</v>
      </c>
      <c r="H6" s="18" t="s">
        <v>236</v>
      </c>
    </row>
    <row r="7" spans="1:8" x14ac:dyDescent="0.2">
      <c r="A7" s="205" t="s">
        <v>17</v>
      </c>
      <c r="B7" s="19" t="s">
        <v>3</v>
      </c>
      <c r="C7" s="20">
        <v>436422.05680252536</v>
      </c>
      <c r="D7" s="20">
        <v>479818.33846073353</v>
      </c>
      <c r="E7" s="21">
        <v>548791.36928881705</v>
      </c>
      <c r="F7" s="22" t="s">
        <v>237</v>
      </c>
      <c r="G7" s="23">
        <v>25.747853651021387</v>
      </c>
      <c r="H7" s="24">
        <v>14.374821739692223</v>
      </c>
    </row>
    <row r="8" spans="1:8" x14ac:dyDescent="0.2">
      <c r="A8" s="206"/>
      <c r="B8" s="25" t="s">
        <v>238</v>
      </c>
      <c r="C8" s="26">
        <v>90726.55665428417</v>
      </c>
      <c r="D8" s="26">
        <v>105621.26420063134</v>
      </c>
      <c r="E8" s="26">
        <v>118478.78548631821</v>
      </c>
      <c r="F8" s="27"/>
      <c r="G8" s="28">
        <v>30.588870398536784</v>
      </c>
      <c r="H8" s="29">
        <v>12.17323176634541</v>
      </c>
    </row>
    <row r="9" spans="1:8" x14ac:dyDescent="0.2">
      <c r="A9" s="30" t="s">
        <v>18</v>
      </c>
      <c r="B9" s="31" t="s">
        <v>3</v>
      </c>
      <c r="C9" s="20">
        <v>31193.199773913042</v>
      </c>
      <c r="D9" s="20">
        <v>27408.687252173913</v>
      </c>
      <c r="E9" s="21">
        <v>33734.508038264881</v>
      </c>
      <c r="F9" s="22" t="s">
        <v>237</v>
      </c>
      <c r="G9" s="32">
        <v>8.146994482038167</v>
      </c>
      <c r="H9" s="33">
        <v>23.079619712867625</v>
      </c>
    </row>
    <row r="10" spans="1:8" x14ac:dyDescent="0.2">
      <c r="A10" s="34"/>
      <c r="B10" s="25" t="s">
        <v>238</v>
      </c>
      <c r="C10" s="26">
        <v>5067.1914826086959</v>
      </c>
      <c r="D10" s="26">
        <v>6532.0499434782614</v>
      </c>
      <c r="E10" s="26">
        <v>6956.535447826087</v>
      </c>
      <c r="F10" s="27"/>
      <c r="G10" s="35">
        <v>37.285821380579023</v>
      </c>
      <c r="H10" s="29">
        <v>6.4985036553745488</v>
      </c>
    </row>
    <row r="11" spans="1:8" x14ac:dyDescent="0.2">
      <c r="A11" s="30" t="s">
        <v>19</v>
      </c>
      <c r="B11" s="31" t="s">
        <v>3</v>
      </c>
      <c r="C11" s="20">
        <v>70509.665913043485</v>
      </c>
      <c r="D11" s="20">
        <v>69574.624173913035</v>
      </c>
      <c r="E11" s="21">
        <v>111702.1654062084</v>
      </c>
      <c r="F11" s="22" t="s">
        <v>237</v>
      </c>
      <c r="G11" s="37">
        <v>58.421067466077403</v>
      </c>
      <c r="H11" s="33">
        <v>60.550152778390498</v>
      </c>
    </row>
    <row r="12" spans="1:8" x14ac:dyDescent="0.2">
      <c r="A12" s="34"/>
      <c r="B12" s="25" t="s">
        <v>238</v>
      </c>
      <c r="C12" s="26">
        <v>17493.971608695651</v>
      </c>
      <c r="D12" s="26">
        <v>16943.166478260871</v>
      </c>
      <c r="E12" s="26">
        <v>27370.784826086958</v>
      </c>
      <c r="F12" s="27"/>
      <c r="G12" s="28">
        <v>56.458381425987255</v>
      </c>
      <c r="H12" s="29">
        <v>61.544684467365443</v>
      </c>
    </row>
    <row r="13" spans="1:8" x14ac:dyDescent="0.2">
      <c r="A13" s="30" t="s">
        <v>20</v>
      </c>
      <c r="B13" s="31" t="s">
        <v>3</v>
      </c>
      <c r="C13" s="20">
        <v>34331.50757763975</v>
      </c>
      <c r="D13" s="20">
        <v>36547.916273291921</v>
      </c>
      <c r="E13" s="21">
        <v>28913.302750979172</v>
      </c>
      <c r="F13" s="22" t="s">
        <v>237</v>
      </c>
      <c r="G13" s="23">
        <v>-15.782018352696753</v>
      </c>
      <c r="H13" s="24">
        <v>-20.889326398867468</v>
      </c>
    </row>
    <row r="14" spans="1:8" x14ac:dyDescent="0.2">
      <c r="A14" s="34"/>
      <c r="B14" s="25" t="s">
        <v>238</v>
      </c>
      <c r="C14" s="26">
        <v>6182.1769565217392</v>
      </c>
      <c r="D14" s="26">
        <v>7292.1268944099374</v>
      </c>
      <c r="E14" s="26">
        <v>5568.3737267080751</v>
      </c>
      <c r="F14" s="27"/>
      <c r="G14" s="38">
        <v>-9.9285936674159245</v>
      </c>
      <c r="H14" s="24">
        <v>-23.638551449554072</v>
      </c>
    </row>
    <row r="15" spans="1:8" x14ac:dyDescent="0.2">
      <c r="A15" s="30" t="s">
        <v>21</v>
      </c>
      <c r="B15" s="31" t="s">
        <v>3</v>
      </c>
      <c r="C15" s="20">
        <v>5193.3147101449276</v>
      </c>
      <c r="D15" s="20">
        <v>6986.5589130434782</v>
      </c>
      <c r="E15" s="21">
        <v>10759.477624603092</v>
      </c>
      <c r="F15" s="22" t="s">
        <v>237</v>
      </c>
      <c r="G15" s="37">
        <v>107.17938783076045</v>
      </c>
      <c r="H15" s="33">
        <v>54.0025319834605</v>
      </c>
    </row>
    <row r="16" spans="1:8" x14ac:dyDescent="0.2">
      <c r="A16" s="34"/>
      <c r="B16" s="25" t="s">
        <v>238</v>
      </c>
      <c r="C16" s="26">
        <v>1054.7182789855074</v>
      </c>
      <c r="D16" s="26">
        <v>1217.5786775362319</v>
      </c>
      <c r="E16" s="26">
        <v>1968.1923369565216</v>
      </c>
      <c r="F16" s="27"/>
      <c r="G16" s="28">
        <v>86.608346149992741</v>
      </c>
      <c r="H16" s="29">
        <v>61.648062114487317</v>
      </c>
    </row>
    <row r="17" spans="1:8" x14ac:dyDescent="0.2">
      <c r="A17" s="30" t="s">
        <v>22</v>
      </c>
      <c r="B17" s="31" t="s">
        <v>3</v>
      </c>
      <c r="C17" s="20">
        <v>7586.3147101449276</v>
      </c>
      <c r="D17" s="20">
        <v>6720.5589130434782</v>
      </c>
      <c r="E17" s="21">
        <v>7075.7705628182539</v>
      </c>
      <c r="F17" s="22" t="s">
        <v>237</v>
      </c>
      <c r="G17" s="37">
        <v>-6.7298044812712448</v>
      </c>
      <c r="H17" s="33">
        <v>5.2854480463725935</v>
      </c>
    </row>
    <row r="18" spans="1:8" x14ac:dyDescent="0.2">
      <c r="A18" s="34"/>
      <c r="B18" s="25" t="s">
        <v>238</v>
      </c>
      <c r="C18" s="26">
        <v>1385.7182789855074</v>
      </c>
      <c r="D18" s="26">
        <v>1409.5786775362319</v>
      </c>
      <c r="E18" s="26">
        <v>1414.1923369565218</v>
      </c>
      <c r="F18" s="27"/>
      <c r="G18" s="28">
        <v>2.0548230042733167</v>
      </c>
      <c r="H18" s="29">
        <v>0.32730769085938505</v>
      </c>
    </row>
    <row r="19" spans="1:8" x14ac:dyDescent="0.2">
      <c r="A19" s="30" t="s">
        <v>189</v>
      </c>
      <c r="B19" s="31" t="s">
        <v>3</v>
      </c>
      <c r="C19" s="20">
        <v>248706.26894409937</v>
      </c>
      <c r="D19" s="20">
        <v>287166.7906832298</v>
      </c>
      <c r="E19" s="21">
        <v>328967.27612221765</v>
      </c>
      <c r="F19" s="22" t="s">
        <v>237</v>
      </c>
      <c r="G19" s="23">
        <v>32.271404946434302</v>
      </c>
      <c r="H19" s="24">
        <v>14.556169722667363</v>
      </c>
    </row>
    <row r="20" spans="1:8" x14ac:dyDescent="0.2">
      <c r="A20" s="30"/>
      <c r="B20" s="25" t="s">
        <v>238</v>
      </c>
      <c r="C20" s="26">
        <v>39593.44239130435</v>
      </c>
      <c r="D20" s="26">
        <v>61387.817236024843</v>
      </c>
      <c r="E20" s="26">
        <v>63111.934316770188</v>
      </c>
      <c r="F20" s="27"/>
      <c r="G20" s="38">
        <v>59.399967532580717</v>
      </c>
      <c r="H20" s="24">
        <v>2.8085655401566783</v>
      </c>
    </row>
    <row r="21" spans="1:8" x14ac:dyDescent="0.2">
      <c r="A21" s="39" t="s">
        <v>12</v>
      </c>
      <c r="B21" s="31" t="s">
        <v>3</v>
      </c>
      <c r="C21" s="20">
        <v>1977.3888260869564</v>
      </c>
      <c r="D21" s="20">
        <v>2391.1353478260871</v>
      </c>
      <c r="E21" s="21">
        <v>2511.1530128202035</v>
      </c>
      <c r="F21" s="22" t="s">
        <v>237</v>
      </c>
      <c r="G21" s="37">
        <v>26.993385402582163</v>
      </c>
      <c r="H21" s="33">
        <v>5.0192752619892929</v>
      </c>
    </row>
    <row r="22" spans="1:8" x14ac:dyDescent="0.2">
      <c r="A22" s="34"/>
      <c r="B22" s="25" t="s">
        <v>238</v>
      </c>
      <c r="C22" s="26">
        <v>379.83096739130434</v>
      </c>
      <c r="D22" s="26">
        <v>416.34720652173911</v>
      </c>
      <c r="E22" s="26">
        <v>451.31540217391307</v>
      </c>
      <c r="F22" s="27"/>
      <c r="G22" s="28">
        <v>18.820064955094878</v>
      </c>
      <c r="H22" s="29">
        <v>8.3988063578728855</v>
      </c>
    </row>
    <row r="23" spans="1:8" x14ac:dyDescent="0.2">
      <c r="A23" s="39" t="s">
        <v>23</v>
      </c>
      <c r="B23" s="31" t="s">
        <v>3</v>
      </c>
      <c r="C23" s="20">
        <v>13174.314710144927</v>
      </c>
      <c r="D23" s="20">
        <v>13589.558913043478</v>
      </c>
      <c r="E23" s="21">
        <v>14351.860936105317</v>
      </c>
      <c r="F23" s="22" t="s">
        <v>237</v>
      </c>
      <c r="G23" s="23">
        <v>8.9381971804090625</v>
      </c>
      <c r="H23" s="24">
        <v>5.6094684745813908</v>
      </c>
    </row>
    <row r="24" spans="1:8" x14ac:dyDescent="0.2">
      <c r="A24" s="34"/>
      <c r="B24" s="25" t="s">
        <v>238</v>
      </c>
      <c r="C24" s="26">
        <v>3483.7182789855074</v>
      </c>
      <c r="D24" s="26">
        <v>3276.5786775362317</v>
      </c>
      <c r="E24" s="26">
        <v>3565.1923369565216</v>
      </c>
      <c r="F24" s="27"/>
      <c r="G24" s="28">
        <v>2.3387097189368546</v>
      </c>
      <c r="H24" s="29">
        <v>8.8083848374826061</v>
      </c>
    </row>
    <row r="25" spans="1:8" x14ac:dyDescent="0.2">
      <c r="A25" s="30" t="s">
        <v>24</v>
      </c>
      <c r="B25" s="31" t="s">
        <v>3</v>
      </c>
      <c r="C25" s="20">
        <v>34043.629420289857</v>
      </c>
      <c r="D25" s="20">
        <v>41764.117826086956</v>
      </c>
      <c r="E25" s="21">
        <v>38926.204555210294</v>
      </c>
      <c r="F25" s="22" t="s">
        <v>237</v>
      </c>
      <c r="G25" s="23">
        <v>14.342111044160404</v>
      </c>
      <c r="H25" s="24">
        <v>-6.7950992828203027</v>
      </c>
    </row>
    <row r="26" spans="1:8" ht="13.5" thickBot="1" x14ac:dyDescent="0.25">
      <c r="A26" s="41"/>
      <c r="B26" s="42" t="s">
        <v>238</v>
      </c>
      <c r="C26" s="43">
        <v>18178.436557971014</v>
      </c>
      <c r="D26" s="43">
        <v>10795.157355072464</v>
      </c>
      <c r="E26" s="43">
        <v>12151.384673913042</v>
      </c>
      <c r="F26" s="44"/>
      <c r="G26" s="45">
        <v>-33.15495182898546</v>
      </c>
      <c r="H26" s="46">
        <v>12.56329365317967</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232</v>
      </c>
      <c r="D34" s="15" t="s">
        <v>233</v>
      </c>
      <c r="E34" s="15" t="s">
        <v>234</v>
      </c>
      <c r="F34" s="16"/>
      <c r="G34" s="17" t="s">
        <v>235</v>
      </c>
      <c r="H34" s="18" t="s">
        <v>236</v>
      </c>
    </row>
    <row r="35" spans="1:8" x14ac:dyDescent="0.2">
      <c r="A35" s="205" t="s">
        <v>17</v>
      </c>
      <c r="B35" s="19" t="s">
        <v>3</v>
      </c>
      <c r="C35" s="80">
        <v>8866.8966085764332</v>
      </c>
      <c r="D35" s="80">
        <v>8740.3543440821522</v>
      </c>
      <c r="E35" s="83">
        <v>12120.593624654934</v>
      </c>
      <c r="F35" s="22" t="s">
        <v>237</v>
      </c>
      <c r="G35" s="23">
        <v>36.694879389158416</v>
      </c>
      <c r="H35" s="24">
        <v>38.673938692902595</v>
      </c>
    </row>
    <row r="36" spans="1:8" x14ac:dyDescent="0.2">
      <c r="A36" s="206"/>
      <c r="B36" s="25" t="s">
        <v>238</v>
      </c>
      <c r="C36" s="82">
        <v>2004.894832726158</v>
      </c>
      <c r="D36" s="82">
        <v>2229.8794272830219</v>
      </c>
      <c r="E36" s="82">
        <v>2965.4204490303</v>
      </c>
      <c r="F36" s="27"/>
      <c r="G36" s="28">
        <v>47.909027477419642</v>
      </c>
      <c r="H36" s="29">
        <v>32.985685806496377</v>
      </c>
    </row>
    <row r="37" spans="1:8" x14ac:dyDescent="0.2">
      <c r="A37" s="30" t="s">
        <v>18</v>
      </c>
      <c r="B37" s="31" t="s">
        <v>3</v>
      </c>
      <c r="C37" s="80">
        <v>2867.3178072613055</v>
      </c>
      <c r="D37" s="80">
        <v>2536.459741980294</v>
      </c>
      <c r="E37" s="83">
        <v>3485.3770137701595</v>
      </c>
      <c r="F37" s="22" t="s">
        <v>237</v>
      </c>
      <c r="G37" s="32">
        <v>21.555308760809737</v>
      </c>
      <c r="H37" s="33">
        <v>37.411091376085324</v>
      </c>
    </row>
    <row r="38" spans="1:8" x14ac:dyDescent="0.2">
      <c r="A38" s="34"/>
      <c r="B38" s="25" t="s">
        <v>238</v>
      </c>
      <c r="C38" s="82">
        <v>622.91597962166793</v>
      </c>
      <c r="D38" s="82">
        <v>702.71699006468305</v>
      </c>
      <c r="E38" s="82">
        <v>884.4589407071046</v>
      </c>
      <c r="F38" s="27"/>
      <c r="G38" s="35">
        <v>41.986876182609166</v>
      </c>
      <c r="H38" s="29">
        <v>25.862751749561767</v>
      </c>
    </row>
    <row r="39" spans="1:8" x14ac:dyDescent="0.2">
      <c r="A39" s="30" t="s">
        <v>19</v>
      </c>
      <c r="B39" s="31" t="s">
        <v>3</v>
      </c>
      <c r="C39" s="80">
        <v>3233.0145650993331</v>
      </c>
      <c r="D39" s="80">
        <v>2983.9453053103271</v>
      </c>
      <c r="E39" s="83">
        <v>4903.0980848613308</v>
      </c>
      <c r="F39" s="22" t="s">
        <v>237</v>
      </c>
      <c r="G39" s="37">
        <v>51.657160403503639</v>
      </c>
      <c r="H39" s="33">
        <v>64.315950300282509</v>
      </c>
    </row>
    <row r="40" spans="1:8" x14ac:dyDescent="0.2">
      <c r="A40" s="34"/>
      <c r="B40" s="25" t="s">
        <v>238</v>
      </c>
      <c r="C40" s="82">
        <v>727.59359840826301</v>
      </c>
      <c r="D40" s="82">
        <v>754.38492573216604</v>
      </c>
      <c r="E40" s="82">
        <v>1190.6146531509116</v>
      </c>
      <c r="F40" s="27"/>
      <c r="G40" s="28">
        <v>63.637318381523329</v>
      </c>
      <c r="H40" s="29">
        <v>57.825880732619908</v>
      </c>
    </row>
    <row r="41" spans="1:8" x14ac:dyDescent="0.2">
      <c r="A41" s="30" t="s">
        <v>20</v>
      </c>
      <c r="B41" s="31" t="s">
        <v>3</v>
      </c>
      <c r="C41" s="80">
        <v>398.01623132637644</v>
      </c>
      <c r="D41" s="80">
        <v>402.88467715266012</v>
      </c>
      <c r="E41" s="83">
        <v>363.32037843571817</v>
      </c>
      <c r="F41" s="22" t="s">
        <v>237</v>
      </c>
      <c r="G41" s="23">
        <v>-8.7171954709071713</v>
      </c>
      <c r="H41" s="24">
        <v>-9.8202540232003628</v>
      </c>
    </row>
    <row r="42" spans="1:8" x14ac:dyDescent="0.2">
      <c r="A42" s="34"/>
      <c r="B42" s="25" t="s">
        <v>238</v>
      </c>
      <c r="C42" s="82">
        <v>77.544223553519529</v>
      </c>
      <c r="D42" s="82">
        <v>90.416635860258879</v>
      </c>
      <c r="E42" s="82">
        <v>77.60767282242125</v>
      </c>
      <c r="F42" s="27"/>
      <c r="G42" s="38">
        <v>8.182333382696072E-2</v>
      </c>
      <c r="H42" s="24">
        <v>-14.166599891677237</v>
      </c>
    </row>
    <row r="43" spans="1:8" x14ac:dyDescent="0.2">
      <c r="A43" s="30" t="s">
        <v>21</v>
      </c>
      <c r="B43" s="31" t="s">
        <v>3</v>
      </c>
      <c r="C43" s="80">
        <v>50.789542562724669</v>
      </c>
      <c r="D43" s="80">
        <v>67.030808103509273</v>
      </c>
      <c r="E43" s="83">
        <v>94.568808928339152</v>
      </c>
      <c r="F43" s="22" t="s">
        <v>237</v>
      </c>
      <c r="G43" s="37">
        <v>86.197402371851354</v>
      </c>
      <c r="H43" s="33">
        <v>41.082603065601688</v>
      </c>
    </row>
    <row r="44" spans="1:8" x14ac:dyDescent="0.2">
      <c r="A44" s="34"/>
      <c r="B44" s="25" t="s">
        <v>238</v>
      </c>
      <c r="C44" s="82">
        <v>9.5122588536742789</v>
      </c>
      <c r="D44" s="82">
        <v>13.529288704766756</v>
      </c>
      <c r="E44" s="82">
        <v>18.605688946730716</v>
      </c>
      <c r="F44" s="27"/>
      <c r="G44" s="28">
        <v>95.596957914406801</v>
      </c>
      <c r="H44" s="29">
        <v>37.521560465890559</v>
      </c>
    </row>
    <row r="45" spans="1:8" x14ac:dyDescent="0.2">
      <c r="A45" s="30" t="s">
        <v>22</v>
      </c>
      <c r="B45" s="31" t="s">
        <v>3</v>
      </c>
      <c r="C45" s="80">
        <v>35.716650817172884</v>
      </c>
      <c r="D45" s="80">
        <v>33.438433235771839</v>
      </c>
      <c r="E45" s="83">
        <v>34.42749592265239</v>
      </c>
      <c r="F45" s="22" t="s">
        <v>237</v>
      </c>
      <c r="G45" s="37">
        <v>-3.6093946801435806</v>
      </c>
      <c r="H45" s="33">
        <v>2.9578619306315659</v>
      </c>
    </row>
    <row r="46" spans="1:8" x14ac:dyDescent="0.2">
      <c r="A46" s="34"/>
      <c r="B46" s="25" t="s">
        <v>238</v>
      </c>
      <c r="C46" s="82">
        <v>6.4970919183883629</v>
      </c>
      <c r="D46" s="82">
        <v>7.2085884970812293</v>
      </c>
      <c r="E46" s="82">
        <v>6.9904888610527616</v>
      </c>
      <c r="F46" s="27"/>
      <c r="G46" s="28">
        <v>7.5941197825440128</v>
      </c>
      <c r="H46" s="29">
        <v>-3.0255525907294754</v>
      </c>
    </row>
    <row r="47" spans="1:8" x14ac:dyDescent="0.2">
      <c r="A47" s="30" t="s">
        <v>189</v>
      </c>
      <c r="B47" s="31" t="s">
        <v>3</v>
      </c>
      <c r="C47" s="80">
        <v>1278.84087611615</v>
      </c>
      <c r="D47" s="80">
        <v>1488.2956952963564</v>
      </c>
      <c r="E47" s="83">
        <v>1800.2438958475689</v>
      </c>
      <c r="F47" s="22" t="s">
        <v>237</v>
      </c>
      <c r="G47" s="23">
        <v>40.771532210866155</v>
      </c>
      <c r="H47" s="24">
        <v>20.96009560043079</v>
      </c>
    </row>
    <row r="48" spans="1:8" x14ac:dyDescent="0.2">
      <c r="A48" s="30"/>
      <c r="B48" s="25" t="s">
        <v>238</v>
      </c>
      <c r="C48" s="82">
        <v>274.85476805777949</v>
      </c>
      <c r="D48" s="82">
        <v>343.11552844556115</v>
      </c>
      <c r="E48" s="82">
        <v>405.21773178403322</v>
      </c>
      <c r="F48" s="27"/>
      <c r="G48" s="38">
        <v>47.429762506011571</v>
      </c>
      <c r="H48" s="24">
        <v>18.099502409528867</v>
      </c>
    </row>
    <row r="49" spans="1:8" x14ac:dyDescent="0.2">
      <c r="A49" s="39" t="s">
        <v>12</v>
      </c>
      <c r="B49" s="31" t="s">
        <v>3</v>
      </c>
      <c r="C49" s="80">
        <v>35.355077256815157</v>
      </c>
      <c r="D49" s="80">
        <v>25.390669657697376</v>
      </c>
      <c r="E49" s="83">
        <v>38.550564350549358</v>
      </c>
      <c r="F49" s="22" t="s">
        <v>237</v>
      </c>
      <c r="G49" s="37">
        <v>9.0382693001136829</v>
      </c>
      <c r="H49" s="33">
        <v>51.829647938657104</v>
      </c>
    </row>
    <row r="50" spans="1:8" x14ac:dyDescent="0.2">
      <c r="A50" s="34"/>
      <c r="B50" s="25" t="s">
        <v>238</v>
      </c>
      <c r="C50" s="82">
        <v>4.2552463860105707</v>
      </c>
      <c r="D50" s="82">
        <v>3.7256480482710606</v>
      </c>
      <c r="E50" s="82">
        <v>5.2715624811219426</v>
      </c>
      <c r="F50" s="27"/>
      <c r="G50" s="28">
        <v>23.883836631706785</v>
      </c>
      <c r="H50" s="29">
        <v>41.493839805085315</v>
      </c>
    </row>
    <row r="51" spans="1:8" x14ac:dyDescent="0.2">
      <c r="A51" s="39" t="s">
        <v>23</v>
      </c>
      <c r="B51" s="31" t="s">
        <v>3</v>
      </c>
      <c r="C51" s="80">
        <v>315.15993797119836</v>
      </c>
      <c r="D51" s="80">
        <v>346.31066871556175</v>
      </c>
      <c r="E51" s="83">
        <v>405.56358792632903</v>
      </c>
      <c r="F51" s="22" t="s">
        <v>237</v>
      </c>
      <c r="G51" s="23">
        <v>28.685006900652581</v>
      </c>
      <c r="H51" s="24">
        <v>17.109758538635717</v>
      </c>
    </row>
    <row r="52" spans="1:8" x14ac:dyDescent="0.2">
      <c r="A52" s="34"/>
      <c r="B52" s="25" t="s">
        <v>238</v>
      </c>
      <c r="C52" s="82">
        <v>77.407102632035617</v>
      </c>
      <c r="D52" s="82">
        <v>68.151680269706418</v>
      </c>
      <c r="E52" s="82">
        <v>85.47538861594343</v>
      </c>
      <c r="F52" s="27"/>
      <c r="G52" s="28">
        <v>10.423185611611657</v>
      </c>
      <c r="H52" s="29">
        <v>25.419341500722254</v>
      </c>
    </row>
    <row r="53" spans="1:8" x14ac:dyDescent="0.2">
      <c r="A53" s="30" t="s">
        <v>24</v>
      </c>
      <c r="B53" s="31" t="s">
        <v>3</v>
      </c>
      <c r="C53" s="80">
        <v>652.68592016535774</v>
      </c>
      <c r="D53" s="80">
        <v>856.59834462997526</v>
      </c>
      <c r="E53" s="83">
        <v>984.27352505843942</v>
      </c>
      <c r="F53" s="22" t="s">
        <v>237</v>
      </c>
      <c r="G53" s="23">
        <v>50.803548023385304</v>
      </c>
      <c r="H53" s="24">
        <v>14.904906275953181</v>
      </c>
    </row>
    <row r="54" spans="1:8" ht="13.5" thickBot="1" x14ac:dyDescent="0.25">
      <c r="A54" s="41"/>
      <c r="B54" s="42" t="s">
        <v>238</v>
      </c>
      <c r="C54" s="86">
        <v>204.31456329481932</v>
      </c>
      <c r="D54" s="86">
        <v>246.63014166052673</v>
      </c>
      <c r="E54" s="86">
        <v>291.1783216609806</v>
      </c>
      <c r="F54" s="44"/>
      <c r="G54" s="45">
        <v>42.514716995880377</v>
      </c>
      <c r="H54" s="46">
        <v>18.062747602753305</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8">
        <v>13</v>
      </c>
    </row>
    <row r="62" spans="1:8" ht="12.75" customHeight="1" x14ac:dyDescent="0.2">
      <c r="A62" s="54" t="s">
        <v>240</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3" t="s">
        <v>1</v>
      </c>
      <c r="H5" s="204"/>
    </row>
    <row r="6" spans="1:8" x14ac:dyDescent="0.2">
      <c r="A6" s="12"/>
      <c r="B6" s="13"/>
      <c r="C6" s="14" t="s">
        <v>232</v>
      </c>
      <c r="D6" s="15" t="s">
        <v>233</v>
      </c>
      <c r="E6" s="15" t="s">
        <v>234</v>
      </c>
      <c r="F6" s="16"/>
      <c r="G6" s="17" t="s">
        <v>235</v>
      </c>
      <c r="H6" s="18" t="s">
        <v>236</v>
      </c>
    </row>
    <row r="7" spans="1:8" x14ac:dyDescent="0.2">
      <c r="A7" s="205" t="s">
        <v>42</v>
      </c>
      <c r="B7" s="19" t="s">
        <v>3</v>
      </c>
      <c r="C7" s="20">
        <v>214593.35876105269</v>
      </c>
      <c r="D7" s="20">
        <v>237964</v>
      </c>
      <c r="E7" s="21">
        <v>269082.59544007707</v>
      </c>
      <c r="F7" s="22" t="s">
        <v>237</v>
      </c>
      <c r="G7" s="23">
        <v>25.391856017174106</v>
      </c>
      <c r="H7" s="24">
        <v>13.077018137229615</v>
      </c>
    </row>
    <row r="8" spans="1:8" x14ac:dyDescent="0.2">
      <c r="A8" s="206"/>
      <c r="B8" s="25" t="s">
        <v>238</v>
      </c>
      <c r="C8" s="26">
        <v>46176.703657196675</v>
      </c>
      <c r="D8" s="26">
        <v>50338.839690263172</v>
      </c>
      <c r="E8" s="26">
        <v>57244.673067196847</v>
      </c>
      <c r="F8" s="27"/>
      <c r="G8" s="28">
        <v>23.968729972944331</v>
      </c>
      <c r="H8" s="29">
        <v>13.718697966471893</v>
      </c>
    </row>
    <row r="9" spans="1:8" x14ac:dyDescent="0.2">
      <c r="A9" s="30" t="s">
        <v>18</v>
      </c>
      <c r="B9" s="31" t="s">
        <v>3</v>
      </c>
      <c r="C9" s="20">
        <v>13497.019426086956</v>
      </c>
      <c r="D9" s="20">
        <v>12133</v>
      </c>
      <c r="E9" s="21">
        <v>14310.72803734023</v>
      </c>
      <c r="F9" s="22" t="s">
        <v>237</v>
      </c>
      <c r="G9" s="32">
        <v>6.0288022530407233</v>
      </c>
      <c r="H9" s="33">
        <v>17.948801098988127</v>
      </c>
    </row>
    <row r="10" spans="1:8" x14ac:dyDescent="0.2">
      <c r="A10" s="34"/>
      <c r="B10" s="25" t="s">
        <v>238</v>
      </c>
      <c r="C10" s="26">
        <v>1868.242647826087</v>
      </c>
      <c r="D10" s="26">
        <v>2715.2548565217394</v>
      </c>
      <c r="E10" s="26">
        <v>2656.4708304347828</v>
      </c>
      <c r="F10" s="27"/>
      <c r="G10" s="35">
        <v>42.190889043555927</v>
      </c>
      <c r="H10" s="29">
        <v>-2.1649542747622377</v>
      </c>
    </row>
    <row r="11" spans="1:8" x14ac:dyDescent="0.2">
      <c r="A11" s="30" t="s">
        <v>19</v>
      </c>
      <c r="B11" s="31" t="s">
        <v>3</v>
      </c>
      <c r="C11" s="20">
        <v>8872.3980869565221</v>
      </c>
      <c r="D11" s="20">
        <v>8652</v>
      </c>
      <c r="E11" s="21">
        <v>15061.471594195669</v>
      </c>
      <c r="F11" s="22" t="s">
        <v>237</v>
      </c>
      <c r="G11" s="37">
        <v>69.756490258680117</v>
      </c>
      <c r="H11" s="33">
        <v>74.080808994402105</v>
      </c>
    </row>
    <row r="12" spans="1:8" x14ac:dyDescent="0.2">
      <c r="A12" s="34"/>
      <c r="B12" s="25" t="s">
        <v>238</v>
      </c>
      <c r="C12" s="26">
        <v>1807.8088260869565</v>
      </c>
      <c r="D12" s="26">
        <v>1725.8495217391305</v>
      </c>
      <c r="E12" s="26">
        <v>3025.5694347826088</v>
      </c>
      <c r="F12" s="27"/>
      <c r="G12" s="28">
        <v>67.361138585185643</v>
      </c>
      <c r="H12" s="29">
        <v>75.308994015524405</v>
      </c>
    </row>
    <row r="13" spans="1:8" x14ac:dyDescent="0.2">
      <c r="A13" s="30" t="s">
        <v>20</v>
      </c>
      <c r="B13" s="31" t="s">
        <v>3</v>
      </c>
      <c r="C13" s="20">
        <v>26709.618136645964</v>
      </c>
      <c r="D13" s="20">
        <v>29205</v>
      </c>
      <c r="E13" s="21">
        <v>24080.718932272452</v>
      </c>
      <c r="F13" s="22" t="s">
        <v>237</v>
      </c>
      <c r="G13" s="23">
        <v>-9.8425188668894776</v>
      </c>
      <c r="H13" s="24">
        <v>-17.545903330688404</v>
      </c>
    </row>
    <row r="14" spans="1:8" x14ac:dyDescent="0.2">
      <c r="A14" s="34"/>
      <c r="B14" s="25" t="s">
        <v>238</v>
      </c>
      <c r="C14" s="26">
        <v>4700.3851552795031</v>
      </c>
      <c r="D14" s="26">
        <v>5646.404534161491</v>
      </c>
      <c r="E14" s="26">
        <v>4507.5092546583855</v>
      </c>
      <c r="F14" s="27"/>
      <c r="G14" s="38">
        <v>-4.1034063007470394</v>
      </c>
      <c r="H14" s="24">
        <v>-20.170274244656738</v>
      </c>
    </row>
    <row r="15" spans="1:8" x14ac:dyDescent="0.2">
      <c r="A15" s="30" t="s">
        <v>21</v>
      </c>
      <c r="B15" s="31" t="s">
        <v>3</v>
      </c>
      <c r="C15" s="20">
        <v>1392.4719565217392</v>
      </c>
      <c r="D15" s="20">
        <v>2089</v>
      </c>
      <c r="E15" s="21">
        <v>3683.5164686230291</v>
      </c>
      <c r="F15" s="22" t="s">
        <v>237</v>
      </c>
      <c r="G15" s="37">
        <v>164.53074701942995</v>
      </c>
      <c r="H15" s="33">
        <v>76.329175137531337</v>
      </c>
    </row>
    <row r="16" spans="1:8" x14ac:dyDescent="0.2">
      <c r="A16" s="34"/>
      <c r="B16" s="25" t="s">
        <v>238</v>
      </c>
      <c r="C16" s="26">
        <v>293.11233695652174</v>
      </c>
      <c r="D16" s="26">
        <v>315.11798913043481</v>
      </c>
      <c r="E16" s="26">
        <v>613.606865942029</v>
      </c>
      <c r="F16" s="27"/>
      <c r="G16" s="28">
        <v>109.34187633086464</v>
      </c>
      <c r="H16" s="29">
        <v>94.72289336298175</v>
      </c>
    </row>
    <row r="17" spans="1:8" x14ac:dyDescent="0.2">
      <c r="A17" s="30" t="s">
        <v>22</v>
      </c>
      <c r="B17" s="31" t="s">
        <v>3</v>
      </c>
      <c r="C17" s="20">
        <v>6695.4719565217392</v>
      </c>
      <c r="D17" s="20">
        <v>5918</v>
      </c>
      <c r="E17" s="21">
        <v>6362.2330086458451</v>
      </c>
      <c r="F17" s="22" t="s">
        <v>237</v>
      </c>
      <c r="G17" s="37">
        <v>-4.9770792864168811</v>
      </c>
      <c r="H17" s="33">
        <v>7.5064719271011455</v>
      </c>
    </row>
    <row r="18" spans="1:8" x14ac:dyDescent="0.2">
      <c r="A18" s="34"/>
      <c r="B18" s="25" t="s">
        <v>238</v>
      </c>
      <c r="C18" s="26">
        <v>1227.1123369565216</v>
      </c>
      <c r="D18" s="26">
        <v>1219.1179891304348</v>
      </c>
      <c r="E18" s="26">
        <v>1258.6068659420289</v>
      </c>
      <c r="F18" s="27"/>
      <c r="G18" s="28">
        <v>2.5665562994517472</v>
      </c>
      <c r="H18" s="29">
        <v>3.2391349454010196</v>
      </c>
    </row>
    <row r="19" spans="1:8" x14ac:dyDescent="0.2">
      <c r="A19" s="30" t="s">
        <v>189</v>
      </c>
      <c r="B19" s="31" t="s">
        <v>3</v>
      </c>
      <c r="C19" s="20">
        <v>142574.0453416149</v>
      </c>
      <c r="D19" s="20">
        <v>166646</v>
      </c>
      <c r="E19" s="21">
        <v>206665.29729072534</v>
      </c>
      <c r="F19" s="22" t="s">
        <v>237</v>
      </c>
      <c r="G19" s="23">
        <v>44.952958861161875</v>
      </c>
      <c r="H19" s="24">
        <v>24.014556179401453</v>
      </c>
    </row>
    <row r="20" spans="1:8" x14ac:dyDescent="0.2">
      <c r="A20" s="30"/>
      <c r="B20" s="25" t="s">
        <v>238</v>
      </c>
      <c r="C20" s="26">
        <v>27108.962888198759</v>
      </c>
      <c r="D20" s="26">
        <v>35218.011335403724</v>
      </c>
      <c r="E20" s="26">
        <v>42110.773136645963</v>
      </c>
      <c r="F20" s="27"/>
      <c r="G20" s="38">
        <v>55.338930929659</v>
      </c>
      <c r="H20" s="24">
        <v>19.571695106796483</v>
      </c>
    </row>
    <row r="21" spans="1:8" x14ac:dyDescent="0.2">
      <c r="A21" s="39" t="s">
        <v>12</v>
      </c>
      <c r="B21" s="31" t="s">
        <v>3</v>
      </c>
      <c r="C21" s="20">
        <v>1460.2831739130436</v>
      </c>
      <c r="D21" s="20">
        <v>1853</v>
      </c>
      <c r="E21" s="21">
        <v>2067.0644531591879</v>
      </c>
      <c r="F21" s="22" t="s">
        <v>237</v>
      </c>
      <c r="G21" s="37">
        <v>41.552302326416907</v>
      </c>
      <c r="H21" s="33">
        <v>11.552318033415432</v>
      </c>
    </row>
    <row r="22" spans="1:8" x14ac:dyDescent="0.2">
      <c r="A22" s="34"/>
      <c r="B22" s="25" t="s">
        <v>238</v>
      </c>
      <c r="C22" s="26">
        <v>270.06740217391302</v>
      </c>
      <c r="D22" s="26">
        <v>296.0707934782609</v>
      </c>
      <c r="E22" s="26">
        <v>345.9641195652174</v>
      </c>
      <c r="F22" s="27"/>
      <c r="G22" s="28">
        <v>28.102879792367474</v>
      </c>
      <c r="H22" s="29">
        <v>16.85182300516918</v>
      </c>
    </row>
    <row r="23" spans="1:8" x14ac:dyDescent="0.2">
      <c r="A23" s="39" t="s">
        <v>23</v>
      </c>
      <c r="B23" s="31" t="s">
        <v>3</v>
      </c>
      <c r="C23" s="20">
        <v>5200.4719565217392</v>
      </c>
      <c r="D23" s="20">
        <v>5386</v>
      </c>
      <c r="E23" s="21">
        <v>6379.6303068943835</v>
      </c>
      <c r="F23" s="22" t="s">
        <v>237</v>
      </c>
      <c r="G23" s="23">
        <v>22.674064204767049</v>
      </c>
      <c r="H23" s="24">
        <v>18.448390399078789</v>
      </c>
    </row>
    <row r="24" spans="1:8" x14ac:dyDescent="0.2">
      <c r="A24" s="34"/>
      <c r="B24" s="25" t="s">
        <v>238</v>
      </c>
      <c r="C24" s="26">
        <v>1300.1123369565216</v>
      </c>
      <c r="D24" s="26">
        <v>1269.1179891304348</v>
      </c>
      <c r="E24" s="26">
        <v>1532.6068659420289</v>
      </c>
      <c r="F24" s="27"/>
      <c r="G24" s="28">
        <v>17.882649243200149</v>
      </c>
      <c r="H24" s="29">
        <v>20.761574500423691</v>
      </c>
    </row>
    <row r="25" spans="1:8" x14ac:dyDescent="0.2">
      <c r="A25" s="30" t="s">
        <v>24</v>
      </c>
      <c r="B25" s="31" t="s">
        <v>3</v>
      </c>
      <c r="C25" s="20">
        <v>10875.943913043478</v>
      </c>
      <c r="D25" s="20">
        <v>9242</v>
      </c>
      <c r="E25" s="21">
        <v>6425.9699512381767</v>
      </c>
      <c r="F25" s="22" t="s">
        <v>237</v>
      </c>
      <c r="G25" s="23">
        <v>-40.915749450201425</v>
      </c>
      <c r="H25" s="24">
        <v>-30.469920458362083</v>
      </c>
    </row>
    <row r="26" spans="1:8" ht="13.5" thickBot="1" x14ac:dyDescent="0.25">
      <c r="A26" s="41"/>
      <c r="B26" s="42" t="s">
        <v>238</v>
      </c>
      <c r="C26" s="43">
        <v>8030.2246739130433</v>
      </c>
      <c r="D26" s="43">
        <v>2526.2359782608696</v>
      </c>
      <c r="E26" s="43">
        <v>2223.2137318840578</v>
      </c>
      <c r="F26" s="44"/>
      <c r="G26" s="45">
        <v>-72.314426779285753</v>
      </c>
      <c r="H26" s="46">
        <v>-11.995009531351101</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232</v>
      </c>
      <c r="D34" s="15" t="s">
        <v>233</v>
      </c>
      <c r="E34" s="15" t="s">
        <v>234</v>
      </c>
      <c r="F34" s="16"/>
      <c r="G34" s="17" t="s">
        <v>235</v>
      </c>
      <c r="H34" s="18" t="s">
        <v>236</v>
      </c>
    </row>
    <row r="35" spans="1:8" ht="12.75" customHeight="1" x14ac:dyDescent="0.2">
      <c r="A35" s="205" t="s">
        <v>42</v>
      </c>
      <c r="B35" s="19" t="s">
        <v>3</v>
      </c>
      <c r="C35" s="80">
        <v>1738.0038904658559</v>
      </c>
      <c r="D35" s="80">
        <v>1739.1286627570805</v>
      </c>
      <c r="E35" s="83">
        <v>2101.0378633865976</v>
      </c>
      <c r="F35" s="22" t="s">
        <v>237</v>
      </c>
      <c r="G35" s="23">
        <v>20.887983905688131</v>
      </c>
      <c r="H35" s="24">
        <v>20.809800239608151</v>
      </c>
    </row>
    <row r="36" spans="1:8" ht="12.75" customHeight="1" x14ac:dyDescent="0.2">
      <c r="A36" s="206"/>
      <c r="B36" s="25" t="s">
        <v>238</v>
      </c>
      <c r="C36" s="82">
        <v>344.29946626630203</v>
      </c>
      <c r="D36" s="82">
        <v>373.54831963300336</v>
      </c>
      <c r="E36" s="82">
        <v>438.95562754655737</v>
      </c>
      <c r="F36" s="27"/>
      <c r="G36" s="28">
        <v>27.492392685570579</v>
      </c>
      <c r="H36" s="29">
        <v>17.509731532941757</v>
      </c>
    </row>
    <row r="37" spans="1:8" x14ac:dyDescent="0.2">
      <c r="A37" s="30" t="s">
        <v>18</v>
      </c>
      <c r="B37" s="31" t="s">
        <v>3</v>
      </c>
      <c r="C37" s="80">
        <v>496.66997622316148</v>
      </c>
      <c r="D37" s="80">
        <v>445.74235518505714</v>
      </c>
      <c r="E37" s="83">
        <v>580.6547330308756</v>
      </c>
      <c r="F37" s="22" t="s">
        <v>237</v>
      </c>
      <c r="G37" s="32">
        <v>16.909569901197031</v>
      </c>
      <c r="H37" s="33">
        <v>30.266896622334087</v>
      </c>
    </row>
    <row r="38" spans="1:8" x14ac:dyDescent="0.2">
      <c r="A38" s="34"/>
      <c r="B38" s="25" t="s">
        <v>238</v>
      </c>
      <c r="C38" s="82">
        <v>98.129501649131058</v>
      </c>
      <c r="D38" s="82">
        <v>106.87366621641038</v>
      </c>
      <c r="E38" s="82">
        <v>129.96964512813372</v>
      </c>
      <c r="F38" s="27"/>
      <c r="G38" s="35">
        <v>32.447065300351113</v>
      </c>
      <c r="H38" s="29">
        <v>21.610542362190401</v>
      </c>
    </row>
    <row r="39" spans="1:8" x14ac:dyDescent="0.2">
      <c r="A39" s="30" t="s">
        <v>19</v>
      </c>
      <c r="B39" s="31" t="s">
        <v>3</v>
      </c>
      <c r="C39" s="80">
        <v>225.58190716607879</v>
      </c>
      <c r="D39" s="80">
        <v>132.70640476573286</v>
      </c>
      <c r="E39" s="83">
        <v>216.98912774338183</v>
      </c>
      <c r="F39" s="22" t="s">
        <v>237</v>
      </c>
      <c r="G39" s="37">
        <v>-3.8091616170133449</v>
      </c>
      <c r="H39" s="33">
        <v>63.510667119973306</v>
      </c>
    </row>
    <row r="40" spans="1:8" x14ac:dyDescent="0.2">
      <c r="A40" s="34"/>
      <c r="B40" s="25" t="s">
        <v>238</v>
      </c>
      <c r="C40" s="82">
        <v>28.721078275948695</v>
      </c>
      <c r="D40" s="82">
        <v>25.619950460507432</v>
      </c>
      <c r="E40" s="82">
        <v>35.74025480093605</v>
      </c>
      <c r="F40" s="27"/>
      <c r="G40" s="28">
        <v>24.43911213063781</v>
      </c>
      <c r="H40" s="29">
        <v>39.501654603231316</v>
      </c>
    </row>
    <row r="41" spans="1:8" x14ac:dyDescent="0.2">
      <c r="A41" s="30" t="s">
        <v>20</v>
      </c>
      <c r="B41" s="31" t="s">
        <v>3</v>
      </c>
      <c r="C41" s="80">
        <v>266.0323258711706</v>
      </c>
      <c r="D41" s="80">
        <v>283.56403810824088</v>
      </c>
      <c r="E41" s="83">
        <v>263.40041433299064</v>
      </c>
      <c r="F41" s="22" t="s">
        <v>237</v>
      </c>
      <c r="G41" s="23">
        <v>-0.98932019992732023</v>
      </c>
      <c r="H41" s="24">
        <v>-7.1107831267212589</v>
      </c>
    </row>
    <row r="42" spans="1:8" x14ac:dyDescent="0.2">
      <c r="A42" s="34"/>
      <c r="B42" s="25" t="s">
        <v>238</v>
      </c>
      <c r="C42" s="82">
        <v>47.453038908283283</v>
      </c>
      <c r="D42" s="82">
        <v>57.247526182624547</v>
      </c>
      <c r="E42" s="82">
        <v>50.938599117950773</v>
      </c>
      <c r="F42" s="27"/>
      <c r="G42" s="38">
        <v>7.3452834420243249</v>
      </c>
      <c r="H42" s="24">
        <v>-11.020436139978784</v>
      </c>
    </row>
    <row r="43" spans="1:8" x14ac:dyDescent="0.2">
      <c r="A43" s="30" t="s">
        <v>21</v>
      </c>
      <c r="B43" s="31" t="s">
        <v>3</v>
      </c>
      <c r="C43" s="80">
        <v>9.1229695792220831</v>
      </c>
      <c r="D43" s="80">
        <v>12.890875694108434</v>
      </c>
      <c r="E43" s="83">
        <v>20.091870850285371</v>
      </c>
      <c r="F43" s="22" t="s">
        <v>237</v>
      </c>
      <c r="G43" s="37">
        <v>120.23389068451337</v>
      </c>
      <c r="H43" s="33">
        <v>55.861179077756816</v>
      </c>
    </row>
    <row r="44" spans="1:8" x14ac:dyDescent="0.2">
      <c r="A44" s="34"/>
      <c r="B44" s="25" t="s">
        <v>238</v>
      </c>
      <c r="C44" s="82">
        <v>1.5070275796233941</v>
      </c>
      <c r="D44" s="82">
        <v>2.3350840369990205</v>
      </c>
      <c r="E44" s="82">
        <v>3.5259915235981687</v>
      </c>
      <c r="F44" s="27"/>
      <c r="G44" s="28">
        <v>133.969939984729</v>
      </c>
      <c r="H44" s="29">
        <v>51.000626432685777</v>
      </c>
    </row>
    <row r="45" spans="1:8" x14ac:dyDescent="0.2">
      <c r="A45" s="30" t="s">
        <v>22</v>
      </c>
      <c r="B45" s="31" t="s">
        <v>3</v>
      </c>
      <c r="C45" s="80">
        <v>29.893299271651252</v>
      </c>
      <c r="D45" s="80">
        <v>27.984178563933117</v>
      </c>
      <c r="E45" s="83">
        <v>28.512961791135552</v>
      </c>
      <c r="F45" s="22" t="s">
        <v>237</v>
      </c>
      <c r="G45" s="37">
        <v>-4.6175481266623422</v>
      </c>
      <c r="H45" s="33">
        <v>1.8895792349036498</v>
      </c>
    </row>
    <row r="46" spans="1:8" x14ac:dyDescent="0.2">
      <c r="A46" s="34"/>
      <c r="B46" s="25" t="s">
        <v>238</v>
      </c>
      <c r="C46" s="82">
        <v>5.3503491191873414</v>
      </c>
      <c r="D46" s="82">
        <v>5.7043357254563087</v>
      </c>
      <c r="E46" s="82">
        <v>5.5549366564147888</v>
      </c>
      <c r="F46" s="27"/>
      <c r="G46" s="28">
        <v>3.8238165897204368</v>
      </c>
      <c r="H46" s="29">
        <v>-2.6190441136696734</v>
      </c>
    </row>
    <row r="47" spans="1:8" x14ac:dyDescent="0.2">
      <c r="A47" s="30" t="s">
        <v>189</v>
      </c>
      <c r="B47" s="31" t="s">
        <v>3</v>
      </c>
      <c r="C47" s="80">
        <v>475.55157261504684</v>
      </c>
      <c r="D47" s="80">
        <v>597.04541345724647</v>
      </c>
      <c r="E47" s="83">
        <v>800.0290502786662</v>
      </c>
      <c r="F47" s="22" t="s">
        <v>237</v>
      </c>
      <c r="G47" s="23">
        <v>68.231816767911312</v>
      </c>
      <c r="H47" s="24">
        <v>33.998022972159561</v>
      </c>
    </row>
    <row r="48" spans="1:8" x14ac:dyDescent="0.2">
      <c r="A48" s="30"/>
      <c r="B48" s="25" t="s">
        <v>238</v>
      </c>
      <c r="C48" s="82">
        <v>90.403852569156328</v>
      </c>
      <c r="D48" s="82">
        <v>120.75133615624389</v>
      </c>
      <c r="E48" s="82">
        <v>158.43054998249056</v>
      </c>
      <c r="F48" s="27"/>
      <c r="G48" s="38">
        <v>75.247564655826778</v>
      </c>
      <c r="H48" s="24">
        <v>31.203972581713202</v>
      </c>
    </row>
    <row r="49" spans="1:8" x14ac:dyDescent="0.2">
      <c r="A49" s="39" t="s">
        <v>12</v>
      </c>
      <c r="B49" s="31" t="s">
        <v>3</v>
      </c>
      <c r="C49" s="80">
        <v>25.186969873632858</v>
      </c>
      <c r="D49" s="80">
        <v>19.59035929311144</v>
      </c>
      <c r="E49" s="83">
        <v>34.714090400844299</v>
      </c>
      <c r="F49" s="22" t="s">
        <v>237</v>
      </c>
      <c r="G49" s="37">
        <v>37.825592260643361</v>
      </c>
      <c r="H49" s="33">
        <v>77.199865921044221</v>
      </c>
    </row>
    <row r="50" spans="1:8" x14ac:dyDescent="0.2">
      <c r="A50" s="34"/>
      <c r="B50" s="25" t="s">
        <v>238</v>
      </c>
      <c r="C50" s="82">
        <v>2.5604851890283982</v>
      </c>
      <c r="D50" s="82">
        <v>2.084875247052925</v>
      </c>
      <c r="E50" s="82">
        <v>3.6375693569683012</v>
      </c>
      <c r="F50" s="27"/>
      <c r="G50" s="28">
        <v>42.06562773942909</v>
      </c>
      <c r="H50" s="29">
        <v>74.474197538206994</v>
      </c>
    </row>
    <row r="51" spans="1:8" x14ac:dyDescent="0.2">
      <c r="A51" s="39" t="s">
        <v>23</v>
      </c>
      <c r="B51" s="31" t="s">
        <v>3</v>
      </c>
      <c r="C51" s="80">
        <v>107.9049490050141</v>
      </c>
      <c r="D51" s="80">
        <v>118.70036905708616</v>
      </c>
      <c r="E51" s="83">
        <v>137.52118257319415</v>
      </c>
      <c r="F51" s="22" t="s">
        <v>237</v>
      </c>
      <c r="G51" s="23">
        <v>27.446594286239673</v>
      </c>
      <c r="H51" s="24">
        <v>15.855732939681559</v>
      </c>
    </row>
    <row r="52" spans="1:8" x14ac:dyDescent="0.2">
      <c r="A52" s="34"/>
      <c r="B52" s="25" t="s">
        <v>238</v>
      </c>
      <c r="C52" s="82">
        <v>24.123991192685349</v>
      </c>
      <c r="D52" s="82">
        <v>22.149826408206998</v>
      </c>
      <c r="E52" s="82">
        <v>27.158631490038204</v>
      </c>
      <c r="F52" s="27"/>
      <c r="G52" s="38">
        <v>12.579345901407009</v>
      </c>
      <c r="H52" s="24">
        <v>22.613292716259537</v>
      </c>
    </row>
    <row r="53" spans="1:8" x14ac:dyDescent="0.2">
      <c r="A53" s="30" t="s">
        <v>24</v>
      </c>
      <c r="B53" s="31" t="s">
        <v>3</v>
      </c>
      <c r="C53" s="80">
        <v>102.05992086087726</v>
      </c>
      <c r="D53" s="80">
        <v>100.90466863256418</v>
      </c>
      <c r="E53" s="83">
        <v>70.177755000884446</v>
      </c>
      <c r="F53" s="22" t="s">
        <v>237</v>
      </c>
      <c r="G53" s="37">
        <v>-31.238673899672037</v>
      </c>
      <c r="H53" s="33">
        <v>-30.451429104404667</v>
      </c>
    </row>
    <row r="54" spans="1:8" ht="13.5" thickBot="1" x14ac:dyDescent="0.25">
      <c r="A54" s="41"/>
      <c r="B54" s="42" t="s">
        <v>238</v>
      </c>
      <c r="C54" s="86">
        <v>46.050141783258212</v>
      </c>
      <c r="D54" s="86">
        <v>30.78171919950179</v>
      </c>
      <c r="E54" s="86">
        <v>23.999449490026734</v>
      </c>
      <c r="F54" s="44"/>
      <c r="G54" s="45">
        <v>-47.884092077319366</v>
      </c>
      <c r="H54" s="46">
        <v>-22.033433758257488</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H61" s="200">
        <v>14</v>
      </c>
    </row>
    <row r="62" spans="1:8" ht="12.75" customHeight="1" x14ac:dyDescent="0.2">
      <c r="A62" s="54" t="s">
        <v>240</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3" t="s">
        <v>1</v>
      </c>
      <c r="H5" s="204"/>
    </row>
    <row r="6" spans="1:8" x14ac:dyDescent="0.2">
      <c r="A6" s="12"/>
      <c r="B6" s="13"/>
      <c r="C6" s="14" t="s">
        <v>232</v>
      </c>
      <c r="D6" s="15" t="s">
        <v>233</v>
      </c>
      <c r="E6" s="15" t="s">
        <v>234</v>
      </c>
      <c r="F6" s="16"/>
      <c r="G6" s="17" t="s">
        <v>235</v>
      </c>
      <c r="H6" s="18" t="s">
        <v>236</v>
      </c>
    </row>
    <row r="7" spans="1:8" x14ac:dyDescent="0.2">
      <c r="A7" s="205" t="s">
        <v>44</v>
      </c>
      <c r="B7" s="19" t="s">
        <v>3</v>
      </c>
      <c r="C7" s="20">
        <v>131285.51443171315</v>
      </c>
      <c r="D7" s="20">
        <v>140079.52566316118</v>
      </c>
      <c r="E7" s="21">
        <v>184779.05977237958</v>
      </c>
      <c r="F7" s="22" t="s">
        <v>237</v>
      </c>
      <c r="G7" s="23">
        <v>40.745961633482864</v>
      </c>
      <c r="H7" s="24">
        <v>31.910112414789324</v>
      </c>
    </row>
    <row r="8" spans="1:8" x14ac:dyDescent="0.2">
      <c r="A8" s="206"/>
      <c r="B8" s="25" t="s">
        <v>238</v>
      </c>
      <c r="C8" s="26">
        <v>32150.909694972008</v>
      </c>
      <c r="D8" s="26">
        <v>33779.378607928287</v>
      </c>
      <c r="E8" s="26">
        <v>44786.944784527106</v>
      </c>
      <c r="F8" s="27"/>
      <c r="G8" s="28">
        <v>39.302263013513482</v>
      </c>
      <c r="H8" s="29">
        <v>32.586644959819523</v>
      </c>
    </row>
    <row r="9" spans="1:8" x14ac:dyDescent="0.2">
      <c r="A9" s="30" t="s">
        <v>18</v>
      </c>
      <c r="B9" s="31" t="s">
        <v>3</v>
      </c>
      <c r="C9" s="20">
        <v>14911.881165217392</v>
      </c>
      <c r="D9" s="20">
        <v>12765.16556521739</v>
      </c>
      <c r="E9" s="21">
        <v>15902.58464135197</v>
      </c>
      <c r="F9" s="22" t="s">
        <v>237</v>
      </c>
      <c r="G9" s="32">
        <v>6.6437189591172228</v>
      </c>
      <c r="H9" s="33">
        <v>24.577974019259415</v>
      </c>
    </row>
    <row r="10" spans="1:8" x14ac:dyDescent="0.2">
      <c r="A10" s="34"/>
      <c r="B10" s="25" t="s">
        <v>238</v>
      </c>
      <c r="C10" s="26">
        <v>2831.9024913043477</v>
      </c>
      <c r="D10" s="26">
        <v>3297.4702913043479</v>
      </c>
      <c r="E10" s="26">
        <v>3667.5490565217387</v>
      </c>
      <c r="F10" s="27"/>
      <c r="G10" s="35">
        <v>29.508309971241289</v>
      </c>
      <c r="H10" s="29">
        <v>11.223111431612097</v>
      </c>
    </row>
    <row r="11" spans="1:8" x14ac:dyDescent="0.2">
      <c r="A11" s="30" t="s">
        <v>19</v>
      </c>
      <c r="B11" s="31" t="s">
        <v>3</v>
      </c>
      <c r="C11" s="20">
        <v>56415.9372173913</v>
      </c>
      <c r="D11" s="20">
        <v>55376.885217391304</v>
      </c>
      <c r="E11" s="21">
        <v>83652.360749842337</v>
      </c>
      <c r="F11" s="22" t="s">
        <v>237</v>
      </c>
      <c r="G11" s="37">
        <v>48.277888972222684</v>
      </c>
      <c r="H11" s="33">
        <v>51.060068513154704</v>
      </c>
    </row>
    <row r="12" spans="1:8" x14ac:dyDescent="0.2">
      <c r="A12" s="34"/>
      <c r="B12" s="25" t="s">
        <v>238</v>
      </c>
      <c r="C12" s="26">
        <v>14518.008304347826</v>
      </c>
      <c r="D12" s="26">
        <v>13990.234304347827</v>
      </c>
      <c r="E12" s="26">
        <v>21263.16352173913</v>
      </c>
      <c r="F12" s="27"/>
      <c r="G12" s="28">
        <v>46.460609995458384</v>
      </c>
      <c r="H12" s="29">
        <v>51.985757058629503</v>
      </c>
    </row>
    <row r="13" spans="1:8" x14ac:dyDescent="0.2">
      <c r="A13" s="30" t="s">
        <v>20</v>
      </c>
      <c r="B13" s="31" t="s">
        <v>3</v>
      </c>
      <c r="C13" s="20">
        <v>3652.7796273291924</v>
      </c>
      <c r="D13" s="20">
        <v>3448.0881987577641</v>
      </c>
      <c r="E13" s="21">
        <v>2504.5956689922623</v>
      </c>
      <c r="F13" s="22" t="s">
        <v>237</v>
      </c>
      <c r="G13" s="23">
        <v>-31.433157088002304</v>
      </c>
      <c r="H13" s="24">
        <v>-27.362772509862481</v>
      </c>
    </row>
    <row r="14" spans="1:8" x14ac:dyDescent="0.2">
      <c r="A14" s="34"/>
      <c r="B14" s="25" t="s">
        <v>238</v>
      </c>
      <c r="C14" s="26">
        <v>682.95633540372671</v>
      </c>
      <c r="D14" s="26">
        <v>793.4449068322981</v>
      </c>
      <c r="E14" s="26">
        <v>535.17310559006205</v>
      </c>
      <c r="F14" s="27"/>
      <c r="G14" s="38">
        <v>-21.63875231149342</v>
      </c>
      <c r="H14" s="24">
        <v>-32.550691171910714</v>
      </c>
    </row>
    <row r="15" spans="1:8" x14ac:dyDescent="0.2">
      <c r="A15" s="30" t="s">
        <v>21</v>
      </c>
      <c r="B15" s="31" t="s">
        <v>3</v>
      </c>
      <c r="C15" s="20">
        <v>3363.6857246376812</v>
      </c>
      <c r="D15" s="20">
        <v>4300.3173913043483</v>
      </c>
      <c r="E15" s="21">
        <v>6186.8911048547288</v>
      </c>
      <c r="F15" s="22" t="s">
        <v>237</v>
      </c>
      <c r="G15" s="37">
        <v>83.93190123376192</v>
      </c>
      <c r="H15" s="33">
        <v>43.87056912043775</v>
      </c>
    </row>
    <row r="16" spans="1:8" x14ac:dyDescent="0.2">
      <c r="A16" s="34"/>
      <c r="B16" s="25" t="s">
        <v>238</v>
      </c>
      <c r="C16" s="26">
        <v>691.1955978260869</v>
      </c>
      <c r="D16" s="26">
        <v>826.92143115942031</v>
      </c>
      <c r="E16" s="26">
        <v>1215.7171557971014</v>
      </c>
      <c r="F16" s="27"/>
      <c r="G16" s="28">
        <v>75.886125377637399</v>
      </c>
      <c r="H16" s="29">
        <v>47.017250972991889</v>
      </c>
    </row>
    <row r="17" spans="1:8" x14ac:dyDescent="0.2">
      <c r="A17" s="30" t="s">
        <v>22</v>
      </c>
      <c r="B17" s="31" t="s">
        <v>3</v>
      </c>
      <c r="C17" s="20">
        <v>492.68572463768118</v>
      </c>
      <c r="D17" s="20">
        <v>420.31739130434784</v>
      </c>
      <c r="E17" s="21">
        <v>438.57590469392812</v>
      </c>
      <c r="F17" s="22" t="s">
        <v>237</v>
      </c>
      <c r="G17" s="37">
        <v>-10.982623858961034</v>
      </c>
      <c r="H17" s="33">
        <v>4.3439823731584539</v>
      </c>
    </row>
    <row r="18" spans="1:8" x14ac:dyDescent="0.2">
      <c r="A18" s="34"/>
      <c r="B18" s="25" t="s">
        <v>238</v>
      </c>
      <c r="C18" s="26">
        <v>80.195597826086953</v>
      </c>
      <c r="D18" s="26">
        <v>94.921431159420294</v>
      </c>
      <c r="E18" s="26">
        <v>87.717155797101455</v>
      </c>
      <c r="F18" s="27"/>
      <c r="G18" s="28">
        <v>9.3790160244529091</v>
      </c>
      <c r="H18" s="29">
        <v>-7.5897247590159935</v>
      </c>
    </row>
    <row r="19" spans="1:8" x14ac:dyDescent="0.2">
      <c r="A19" s="30" t="s">
        <v>189</v>
      </c>
      <c r="B19" s="31" t="s">
        <v>3</v>
      </c>
      <c r="C19" s="20">
        <v>35585.449068322981</v>
      </c>
      <c r="D19" s="20">
        <v>40188.720496894413</v>
      </c>
      <c r="E19" s="21">
        <v>46607.515024538829</v>
      </c>
      <c r="F19" s="22" t="s">
        <v>237</v>
      </c>
      <c r="G19" s="23">
        <v>30.973519359145399</v>
      </c>
      <c r="H19" s="24">
        <v>15.971631961113133</v>
      </c>
    </row>
    <row r="20" spans="1:8" x14ac:dyDescent="0.2">
      <c r="A20" s="30"/>
      <c r="B20" s="25" t="s">
        <v>238</v>
      </c>
      <c r="C20" s="26">
        <v>9120.3908385093164</v>
      </c>
      <c r="D20" s="26">
        <v>9255.6122670807454</v>
      </c>
      <c r="E20" s="26">
        <v>11109.432763975154</v>
      </c>
      <c r="F20" s="27"/>
      <c r="G20" s="38">
        <v>21.808735619831594</v>
      </c>
      <c r="H20" s="24">
        <v>20.029150351164276</v>
      </c>
    </row>
    <row r="21" spans="1:8" x14ac:dyDescent="0.2">
      <c r="A21" s="39" t="s">
        <v>12</v>
      </c>
      <c r="B21" s="31" t="s">
        <v>3</v>
      </c>
      <c r="C21" s="20">
        <v>448.41143478260869</v>
      </c>
      <c r="D21" s="20">
        <v>453.9904347826087</v>
      </c>
      <c r="E21" s="21">
        <v>397.83187807577508</v>
      </c>
      <c r="F21" s="22" t="s">
        <v>237</v>
      </c>
      <c r="G21" s="37">
        <v>-11.27972053865102</v>
      </c>
      <c r="H21" s="33">
        <v>-12.369986767171625</v>
      </c>
    </row>
    <row r="22" spans="1:8" x14ac:dyDescent="0.2">
      <c r="A22" s="34"/>
      <c r="B22" s="25" t="s">
        <v>238</v>
      </c>
      <c r="C22" s="26">
        <v>97.917358695652169</v>
      </c>
      <c r="D22" s="26">
        <v>105.35285869565217</v>
      </c>
      <c r="E22" s="26">
        <v>90.430293478260865</v>
      </c>
      <c r="F22" s="27"/>
      <c r="G22" s="28">
        <v>-7.6463104368068997</v>
      </c>
      <c r="H22" s="29">
        <v>-14.164366683679887</v>
      </c>
    </row>
    <row r="23" spans="1:8" x14ac:dyDescent="0.2">
      <c r="A23" s="39" t="s">
        <v>23</v>
      </c>
      <c r="B23" s="31" t="s">
        <v>3</v>
      </c>
      <c r="C23" s="20">
        <v>6141.6857246376812</v>
      </c>
      <c r="D23" s="20">
        <v>6361.3173913043483</v>
      </c>
      <c r="E23" s="21">
        <v>6635.9397185004827</v>
      </c>
      <c r="F23" s="22" t="s">
        <v>237</v>
      </c>
      <c r="G23" s="23">
        <v>8.0475298806006492</v>
      </c>
      <c r="H23" s="24">
        <v>4.3170668951612186</v>
      </c>
    </row>
    <row r="24" spans="1:8" x14ac:dyDescent="0.2">
      <c r="A24" s="34"/>
      <c r="B24" s="25" t="s">
        <v>238</v>
      </c>
      <c r="C24" s="26">
        <v>1515.1955978260869</v>
      </c>
      <c r="D24" s="26">
        <v>1607.9214311594203</v>
      </c>
      <c r="E24" s="26">
        <v>1663.7171557971014</v>
      </c>
      <c r="F24" s="27"/>
      <c r="G24" s="28">
        <v>9.8021376371542033</v>
      </c>
      <c r="H24" s="29">
        <v>3.4700529240069073</v>
      </c>
    </row>
    <row r="25" spans="1:8" x14ac:dyDescent="0.2">
      <c r="A25" s="30" t="s">
        <v>24</v>
      </c>
      <c r="B25" s="31" t="s">
        <v>3</v>
      </c>
      <c r="C25" s="20">
        <v>17105.371449275364</v>
      </c>
      <c r="D25" s="20">
        <v>24989.634782608697</v>
      </c>
      <c r="E25" s="21">
        <v>31036.464015027075</v>
      </c>
      <c r="F25" s="22" t="s">
        <v>237</v>
      </c>
      <c r="G25" s="23">
        <v>81.442794779775909</v>
      </c>
      <c r="H25" s="24">
        <v>24.197349361130364</v>
      </c>
    </row>
    <row r="26" spans="1:8" ht="13.5" thickBot="1" x14ac:dyDescent="0.25">
      <c r="A26" s="41"/>
      <c r="B26" s="42" t="s">
        <v>238</v>
      </c>
      <c r="C26" s="43">
        <v>4016.3911956521738</v>
      </c>
      <c r="D26" s="43">
        <v>6637.8428623188402</v>
      </c>
      <c r="E26" s="43">
        <v>7898.4343115942029</v>
      </c>
      <c r="F26" s="44"/>
      <c r="G26" s="45">
        <v>96.655005123614984</v>
      </c>
      <c r="H26" s="46">
        <v>18.990980585445683</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232</v>
      </c>
      <c r="D34" s="15" t="s">
        <v>233</v>
      </c>
      <c r="E34" s="15" t="s">
        <v>234</v>
      </c>
      <c r="F34" s="16"/>
      <c r="G34" s="17" t="s">
        <v>235</v>
      </c>
      <c r="H34" s="18" t="s">
        <v>236</v>
      </c>
    </row>
    <row r="35" spans="1:8" ht="12.75" customHeight="1" x14ac:dyDescent="0.2">
      <c r="A35" s="205" t="s">
        <v>44</v>
      </c>
      <c r="B35" s="19" t="s">
        <v>3</v>
      </c>
      <c r="C35" s="80">
        <v>6018.8124026764299</v>
      </c>
      <c r="D35" s="80">
        <v>5870.1940090888702</v>
      </c>
      <c r="E35" s="83">
        <v>8315.9050960173045</v>
      </c>
      <c r="F35" s="22" t="s">
        <v>237</v>
      </c>
      <c r="G35" s="23">
        <v>38.165214990243072</v>
      </c>
      <c r="H35" s="24">
        <v>41.663207095740262</v>
      </c>
    </row>
    <row r="36" spans="1:8" ht="12.75" customHeight="1" x14ac:dyDescent="0.2">
      <c r="A36" s="206"/>
      <c r="B36" s="25" t="s">
        <v>238</v>
      </c>
      <c r="C36" s="82">
        <v>1403.7836117383802</v>
      </c>
      <c r="D36" s="82">
        <v>1602.6128019544672</v>
      </c>
      <c r="E36" s="82">
        <v>2148.1939960511395</v>
      </c>
      <c r="F36" s="27"/>
      <c r="G36" s="28">
        <v>53.028855593414164</v>
      </c>
      <c r="H36" s="29">
        <v>34.043231991614476</v>
      </c>
    </row>
    <row r="37" spans="1:8" x14ac:dyDescent="0.2">
      <c r="A37" s="30" t="s">
        <v>18</v>
      </c>
      <c r="B37" s="31" t="s">
        <v>3</v>
      </c>
      <c r="C37" s="80">
        <v>1995.723979671219</v>
      </c>
      <c r="D37" s="80">
        <v>1779.766242912764</v>
      </c>
      <c r="E37" s="83">
        <v>2498.870764111196</v>
      </c>
      <c r="F37" s="22" t="s">
        <v>237</v>
      </c>
      <c r="G37" s="32">
        <v>25.211241111752685</v>
      </c>
      <c r="H37" s="33">
        <v>40.404436484959177</v>
      </c>
    </row>
    <row r="38" spans="1:8" x14ac:dyDescent="0.2">
      <c r="A38" s="34"/>
      <c r="B38" s="25" t="s">
        <v>238</v>
      </c>
      <c r="C38" s="82">
        <v>443.82510941917701</v>
      </c>
      <c r="D38" s="82">
        <v>526.12999418555842</v>
      </c>
      <c r="E38" s="82">
        <v>665.64693037508403</v>
      </c>
      <c r="F38" s="27"/>
      <c r="G38" s="35">
        <v>49.979556417211199</v>
      </c>
      <c r="H38" s="29">
        <v>26.517578874303837</v>
      </c>
    </row>
    <row r="39" spans="1:8" x14ac:dyDescent="0.2">
      <c r="A39" s="30" t="s">
        <v>19</v>
      </c>
      <c r="B39" s="31" t="s">
        <v>3</v>
      </c>
      <c r="C39" s="80">
        <v>2750.8206373646663</v>
      </c>
      <c r="D39" s="80">
        <v>2595.9403010461156</v>
      </c>
      <c r="E39" s="83">
        <v>4035.9554727572327</v>
      </c>
      <c r="F39" s="22" t="s">
        <v>237</v>
      </c>
      <c r="G39" s="37">
        <v>46.718234476521445</v>
      </c>
      <c r="H39" s="33">
        <v>55.471813859926499</v>
      </c>
    </row>
    <row r="40" spans="1:8" x14ac:dyDescent="0.2">
      <c r="A40" s="34"/>
      <c r="B40" s="25" t="s">
        <v>238</v>
      </c>
      <c r="C40" s="82">
        <v>636.36605058217344</v>
      </c>
      <c r="D40" s="82">
        <v>669.50813010068589</v>
      </c>
      <c r="E40" s="82">
        <v>1002.5167610637537</v>
      </c>
      <c r="F40" s="27"/>
      <c r="G40" s="28">
        <v>57.537750504856575</v>
      </c>
      <c r="H40" s="29">
        <v>49.739296057986223</v>
      </c>
    </row>
    <row r="41" spans="1:8" x14ac:dyDescent="0.2">
      <c r="A41" s="30" t="s">
        <v>20</v>
      </c>
      <c r="B41" s="31" t="s">
        <v>3</v>
      </c>
      <c r="C41" s="80">
        <v>65.364362678259369</v>
      </c>
      <c r="D41" s="80">
        <v>56.436037544278314</v>
      </c>
      <c r="E41" s="83">
        <v>46.108877276965465</v>
      </c>
      <c r="F41" s="22" t="s">
        <v>237</v>
      </c>
      <c r="G41" s="23">
        <v>-29.458690656978447</v>
      </c>
      <c r="H41" s="24">
        <v>-18.298875535353474</v>
      </c>
    </row>
    <row r="42" spans="1:8" x14ac:dyDescent="0.2">
      <c r="A42" s="34"/>
      <c r="B42" s="25" t="s">
        <v>238</v>
      </c>
      <c r="C42" s="82">
        <v>14.136097871582514</v>
      </c>
      <c r="D42" s="82">
        <v>18.254085827514483</v>
      </c>
      <c r="E42" s="82">
        <v>12.799347043955471</v>
      </c>
      <c r="F42" s="27"/>
      <c r="G42" s="38">
        <v>-9.4562929584286621</v>
      </c>
      <c r="H42" s="24">
        <v>-29.882289560275083</v>
      </c>
    </row>
    <row r="43" spans="1:8" x14ac:dyDescent="0.2">
      <c r="A43" s="30" t="s">
        <v>21</v>
      </c>
      <c r="B43" s="31" t="s">
        <v>3</v>
      </c>
      <c r="C43" s="80">
        <v>34.491750088898641</v>
      </c>
      <c r="D43" s="80">
        <v>43.163339153619717</v>
      </c>
      <c r="E43" s="83">
        <v>58.664700259547992</v>
      </c>
      <c r="F43" s="22" t="s">
        <v>237</v>
      </c>
      <c r="G43" s="37">
        <v>70.083281098657693</v>
      </c>
      <c r="H43" s="33">
        <v>35.913257430706267</v>
      </c>
    </row>
    <row r="44" spans="1:8" x14ac:dyDescent="0.2">
      <c r="A44" s="34"/>
      <c r="B44" s="25" t="s">
        <v>238</v>
      </c>
      <c r="C44" s="82">
        <v>6.9035713092532012</v>
      </c>
      <c r="D44" s="82">
        <v>9.3869243932246871</v>
      </c>
      <c r="E44" s="82">
        <v>12.400325484604764</v>
      </c>
      <c r="F44" s="27"/>
      <c r="G44" s="28">
        <v>79.621893207418424</v>
      </c>
      <c r="H44" s="29">
        <v>32.102113164510996</v>
      </c>
    </row>
    <row r="45" spans="1:8" x14ac:dyDescent="0.2">
      <c r="A45" s="30" t="s">
        <v>22</v>
      </c>
      <c r="B45" s="31" t="s">
        <v>3</v>
      </c>
      <c r="C45" s="80">
        <v>3.6111542972530914</v>
      </c>
      <c r="D45" s="80">
        <v>3.1623911489308409</v>
      </c>
      <c r="E45" s="83">
        <v>3.6343051669700772</v>
      </c>
      <c r="F45" s="22" t="s">
        <v>237</v>
      </c>
      <c r="G45" s="37">
        <v>0.64109334055861211</v>
      </c>
      <c r="H45" s="33">
        <v>14.922696017498779</v>
      </c>
    </row>
    <row r="46" spans="1:8" x14ac:dyDescent="0.2">
      <c r="A46" s="34"/>
      <c r="B46" s="25" t="s">
        <v>238</v>
      </c>
      <c r="C46" s="82">
        <v>0.74857705803620245</v>
      </c>
      <c r="D46" s="82">
        <v>0.91835862775342403</v>
      </c>
      <c r="E46" s="82">
        <v>0.93099183156131471</v>
      </c>
      <c r="F46" s="27"/>
      <c r="G46" s="28">
        <v>24.368202520613494</v>
      </c>
      <c r="H46" s="29">
        <v>1.375628586274118</v>
      </c>
    </row>
    <row r="47" spans="1:8" x14ac:dyDescent="0.2">
      <c r="A47" s="30" t="s">
        <v>189</v>
      </c>
      <c r="B47" s="31" t="s">
        <v>3</v>
      </c>
      <c r="C47" s="80">
        <v>516.77609510899015</v>
      </c>
      <c r="D47" s="80">
        <v>565.94371490292428</v>
      </c>
      <c r="E47" s="83">
        <v>647.39854125916531</v>
      </c>
      <c r="F47" s="22" t="s">
        <v>237</v>
      </c>
      <c r="G47" s="23">
        <v>25.276410303504136</v>
      </c>
      <c r="H47" s="24">
        <v>14.392743343781618</v>
      </c>
    </row>
    <row r="48" spans="1:8" x14ac:dyDescent="0.2">
      <c r="A48" s="30"/>
      <c r="B48" s="25" t="s">
        <v>238</v>
      </c>
      <c r="C48" s="82">
        <v>146.30104196695498</v>
      </c>
      <c r="D48" s="82">
        <v>150.98386084003445</v>
      </c>
      <c r="E48" s="82">
        <v>176.09860254731979</v>
      </c>
      <c r="F48" s="27"/>
      <c r="G48" s="38">
        <v>20.367292112037845</v>
      </c>
      <c r="H48" s="24">
        <v>16.634057155217462</v>
      </c>
    </row>
    <row r="49" spans="1:8" x14ac:dyDescent="0.2">
      <c r="A49" s="39" t="s">
        <v>12</v>
      </c>
      <c r="B49" s="31" t="s">
        <v>3</v>
      </c>
      <c r="C49" s="80">
        <v>9.1074185128509839</v>
      </c>
      <c r="D49" s="80">
        <v>4.9406530641308999</v>
      </c>
      <c r="E49" s="83">
        <v>5.8627528549007977</v>
      </c>
      <c r="F49" s="22" t="s">
        <v>237</v>
      </c>
      <c r="G49" s="37">
        <v>-35.62662299280322</v>
      </c>
      <c r="H49" s="33">
        <v>18.663520364632262</v>
      </c>
    </row>
    <row r="50" spans="1:8" x14ac:dyDescent="0.2">
      <c r="A50" s="34"/>
      <c r="B50" s="25" t="s">
        <v>238</v>
      </c>
      <c r="C50" s="82">
        <v>1.491924216836632</v>
      </c>
      <c r="D50" s="82">
        <v>1.3613395648093167</v>
      </c>
      <c r="E50" s="82">
        <v>1.3161913809930021</v>
      </c>
      <c r="F50" s="27"/>
      <c r="G50" s="28">
        <v>-11.778938491677621</v>
      </c>
      <c r="H50" s="29">
        <v>-3.3164527780868838</v>
      </c>
    </row>
    <row r="51" spans="1:8" x14ac:dyDescent="0.2">
      <c r="A51" s="39" t="s">
        <v>23</v>
      </c>
      <c r="B51" s="31" t="s">
        <v>3</v>
      </c>
      <c r="C51" s="80">
        <v>160.26388859581527</v>
      </c>
      <c r="D51" s="80">
        <v>175.22798370011841</v>
      </c>
      <c r="E51" s="83">
        <v>215.5475552784215</v>
      </c>
      <c r="F51" s="22" t="s">
        <v>237</v>
      </c>
      <c r="G51" s="23">
        <v>34.495398287777334</v>
      </c>
      <c r="H51" s="24">
        <v>23.009778876018558</v>
      </c>
    </row>
    <row r="52" spans="1:8" x14ac:dyDescent="0.2">
      <c r="A52" s="34"/>
      <c r="B52" s="25" t="s">
        <v>238</v>
      </c>
      <c r="C52" s="82">
        <v>36.327409247850767</v>
      </c>
      <c r="D52" s="82">
        <v>35.79830949732073</v>
      </c>
      <c r="E52" s="82">
        <v>45.533767906760673</v>
      </c>
      <c r="F52" s="27"/>
      <c r="G52" s="28">
        <v>25.342733901274769</v>
      </c>
      <c r="H52" s="29">
        <v>27.195302085894795</v>
      </c>
    </row>
    <row r="53" spans="1:8" x14ac:dyDescent="0.2">
      <c r="A53" s="30" t="s">
        <v>24</v>
      </c>
      <c r="B53" s="31" t="s">
        <v>3</v>
      </c>
      <c r="C53" s="80">
        <v>482.65311635847706</v>
      </c>
      <c r="D53" s="80">
        <v>645.61334561598755</v>
      </c>
      <c r="E53" s="83">
        <v>838.15931935091839</v>
      </c>
      <c r="F53" s="22" t="s">
        <v>237</v>
      </c>
      <c r="G53" s="23">
        <v>73.656667893220259</v>
      </c>
      <c r="H53" s="24">
        <v>29.823728868432909</v>
      </c>
    </row>
    <row r="54" spans="1:8" ht="13.5" thickBot="1" x14ac:dyDescent="0.25">
      <c r="A54" s="41"/>
      <c r="B54" s="42" t="s">
        <v>238</v>
      </c>
      <c r="C54" s="86">
        <v>117.68383006651557</v>
      </c>
      <c r="D54" s="86">
        <v>190.27179891756563</v>
      </c>
      <c r="E54" s="86">
        <v>230.9510784171066</v>
      </c>
      <c r="F54" s="44"/>
      <c r="G54" s="45">
        <v>96.24707853795357</v>
      </c>
      <c r="H54" s="46">
        <v>21.379563199045108</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8">
        <v>15</v>
      </c>
    </row>
    <row r="62" spans="1:8" ht="12.75" customHeight="1" x14ac:dyDescent="0.2">
      <c r="A62" s="54" t="s">
        <v>240</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3" t="s">
        <v>1</v>
      </c>
      <c r="H5" s="204"/>
    </row>
    <row r="6" spans="1:8" x14ac:dyDescent="0.2">
      <c r="A6" s="12"/>
      <c r="B6" s="13"/>
      <c r="C6" s="14" t="s">
        <v>232</v>
      </c>
      <c r="D6" s="15" t="s">
        <v>233</v>
      </c>
      <c r="E6" s="15" t="s">
        <v>234</v>
      </c>
      <c r="F6" s="16"/>
      <c r="G6" s="17" t="s">
        <v>235</v>
      </c>
      <c r="H6" s="18" t="s">
        <v>236</v>
      </c>
    </row>
    <row r="7" spans="1:8" ht="12.75" customHeight="1" x14ac:dyDescent="0.2">
      <c r="A7" s="205" t="s">
        <v>45</v>
      </c>
      <c r="B7" s="19" t="s">
        <v>3</v>
      </c>
      <c r="C7" s="20">
        <v>16571.543347459847</v>
      </c>
      <c r="D7" s="20">
        <v>19730</v>
      </c>
      <c r="E7" s="21">
        <v>31993.29042941947</v>
      </c>
      <c r="F7" s="22" t="s">
        <v>237</v>
      </c>
      <c r="G7" s="23">
        <v>93.061622316086385</v>
      </c>
      <c r="H7" s="24">
        <v>62.155552100453463</v>
      </c>
    </row>
    <row r="8" spans="1:8" ht="12.75" customHeight="1" x14ac:dyDescent="0.2">
      <c r="A8" s="206"/>
      <c r="B8" s="25" t="s">
        <v>238</v>
      </c>
      <c r="C8" s="26">
        <v>3154.2796002720661</v>
      </c>
      <c r="D8" s="26">
        <v>3848.8858368649612</v>
      </c>
      <c r="E8" s="26">
        <v>6189.8587348924812</v>
      </c>
      <c r="F8" s="27"/>
      <c r="G8" s="28">
        <v>96.236843885322912</v>
      </c>
      <c r="H8" s="29">
        <v>60.822092346971658</v>
      </c>
    </row>
    <row r="9" spans="1:8" x14ac:dyDescent="0.2">
      <c r="A9" s="30" t="s">
        <v>18</v>
      </c>
      <c r="B9" s="31" t="s">
        <v>3</v>
      </c>
      <c r="C9" s="20">
        <v>2580.9849043478262</v>
      </c>
      <c r="D9" s="20">
        <v>2349</v>
      </c>
      <c r="E9" s="21">
        <v>3565.8527195822021</v>
      </c>
      <c r="F9" s="22" t="s">
        <v>237</v>
      </c>
      <c r="G9" s="32">
        <v>38.158604243492704</v>
      </c>
      <c r="H9" s="33">
        <v>51.803010625040542</v>
      </c>
    </row>
    <row r="10" spans="1:8" x14ac:dyDescent="0.2">
      <c r="A10" s="34"/>
      <c r="B10" s="25" t="s">
        <v>238</v>
      </c>
      <c r="C10" s="26">
        <v>318.10206956521739</v>
      </c>
      <c r="D10" s="26">
        <v>473.24622608695654</v>
      </c>
      <c r="E10" s="26">
        <v>592.96212173913045</v>
      </c>
      <c r="F10" s="27"/>
      <c r="G10" s="35">
        <v>86.406244558418734</v>
      </c>
      <c r="H10" s="29">
        <v>25.296745975566793</v>
      </c>
    </row>
    <row r="11" spans="1:8" x14ac:dyDescent="0.2">
      <c r="A11" s="30" t="s">
        <v>19</v>
      </c>
      <c r="B11" s="31" t="s">
        <v>3</v>
      </c>
      <c r="C11" s="20">
        <v>4867.6163478260869</v>
      </c>
      <c r="D11" s="20">
        <v>5293</v>
      </c>
      <c r="E11" s="21">
        <v>13753.997224901643</v>
      </c>
      <c r="F11" s="22" t="s">
        <v>237</v>
      </c>
      <c r="G11" s="37">
        <v>182.5612423428621</v>
      </c>
      <c r="H11" s="33">
        <v>159.85258312680224</v>
      </c>
    </row>
    <row r="12" spans="1:8" x14ac:dyDescent="0.2">
      <c r="A12" s="34"/>
      <c r="B12" s="25" t="s">
        <v>238</v>
      </c>
      <c r="C12" s="26">
        <v>1100.6735652173913</v>
      </c>
      <c r="D12" s="26">
        <v>1151.1540869565217</v>
      </c>
      <c r="E12" s="26">
        <v>3029.8737391304348</v>
      </c>
      <c r="F12" s="27"/>
      <c r="G12" s="28">
        <v>175.27450779941387</v>
      </c>
      <c r="H12" s="29">
        <v>163.20314312925433</v>
      </c>
    </row>
    <row r="13" spans="1:8" x14ac:dyDescent="0.2">
      <c r="A13" s="30" t="s">
        <v>20</v>
      </c>
      <c r="B13" s="31" t="s">
        <v>3</v>
      </c>
      <c r="C13" s="20">
        <v>1141.9125465838511</v>
      </c>
      <c r="D13" s="20">
        <v>1022</v>
      </c>
      <c r="E13" s="21">
        <v>734.6990117880315</v>
      </c>
      <c r="F13" s="22" t="s">
        <v>237</v>
      </c>
      <c r="G13" s="23">
        <v>-35.660658604202283</v>
      </c>
      <c r="H13" s="24">
        <v>-28.111642682188702</v>
      </c>
    </row>
    <row r="14" spans="1:8" x14ac:dyDescent="0.2">
      <c r="A14" s="34"/>
      <c r="B14" s="25" t="s">
        <v>238</v>
      </c>
      <c r="C14" s="26">
        <v>255.74931677018634</v>
      </c>
      <c r="D14" s="26">
        <v>209.97813664596273</v>
      </c>
      <c r="E14" s="26">
        <v>155.22559006211179</v>
      </c>
      <c r="F14" s="27"/>
      <c r="G14" s="38">
        <v>-39.305569992354705</v>
      </c>
      <c r="H14" s="24">
        <v>-26.075355967258346</v>
      </c>
    </row>
    <row r="15" spans="1:8" x14ac:dyDescent="0.2">
      <c r="A15" s="30" t="s">
        <v>21</v>
      </c>
      <c r="B15" s="31" t="s">
        <v>3</v>
      </c>
      <c r="C15" s="20">
        <v>405.30782608695654</v>
      </c>
      <c r="D15" s="20">
        <v>558</v>
      </c>
      <c r="E15" s="21">
        <v>1011.7559402951834</v>
      </c>
      <c r="F15" s="22" t="s">
        <v>237</v>
      </c>
      <c r="G15" s="37">
        <v>149.62654929789508</v>
      </c>
      <c r="H15" s="33">
        <v>81.318268870104561</v>
      </c>
    </row>
    <row r="16" spans="1:8" x14ac:dyDescent="0.2">
      <c r="A16" s="34"/>
      <c r="B16" s="25" t="s">
        <v>238</v>
      </c>
      <c r="C16" s="26">
        <v>62.510217391304352</v>
      </c>
      <c r="D16" s="26">
        <v>65.576956521739135</v>
      </c>
      <c r="E16" s="26">
        <v>129.14913043478259</v>
      </c>
      <c r="F16" s="27"/>
      <c r="G16" s="28">
        <v>106.6048332968175</v>
      </c>
      <c r="H16" s="29">
        <v>96.942855059107416</v>
      </c>
    </row>
    <row r="17" spans="1:8" x14ac:dyDescent="0.2">
      <c r="A17" s="30" t="s">
        <v>22</v>
      </c>
      <c r="B17" s="31" t="s">
        <v>3</v>
      </c>
      <c r="C17" s="20">
        <v>382.30782608695654</v>
      </c>
      <c r="D17" s="20">
        <v>374</v>
      </c>
      <c r="E17" s="21">
        <v>299.68916626053647</v>
      </c>
      <c r="F17" s="22" t="s">
        <v>237</v>
      </c>
      <c r="G17" s="37">
        <v>-21.610507080655026</v>
      </c>
      <c r="H17" s="33">
        <v>-19.869206882209497</v>
      </c>
    </row>
    <row r="18" spans="1:8" x14ac:dyDescent="0.2">
      <c r="A18" s="34"/>
      <c r="B18" s="25" t="s">
        <v>238</v>
      </c>
      <c r="C18" s="26">
        <v>74.510217391304352</v>
      </c>
      <c r="D18" s="26">
        <v>90.576956521739135</v>
      </c>
      <c r="E18" s="26">
        <v>67.149130434782606</v>
      </c>
      <c r="F18" s="27"/>
      <c r="G18" s="28">
        <v>-9.8792987247153263</v>
      </c>
      <c r="H18" s="29">
        <v>-25.865106299231499</v>
      </c>
    </row>
    <row r="19" spans="1:8" x14ac:dyDescent="0.2">
      <c r="A19" s="30" t="s">
        <v>189</v>
      </c>
      <c r="B19" s="31" t="s">
        <v>3</v>
      </c>
      <c r="C19" s="20">
        <v>4367.781366459627</v>
      </c>
      <c r="D19" s="20">
        <v>6206</v>
      </c>
      <c r="E19" s="21">
        <v>8443.7759766424442</v>
      </c>
      <c r="F19" s="22" t="s">
        <v>237</v>
      </c>
      <c r="G19" s="23">
        <v>93.3195658895051</v>
      </c>
      <c r="H19" s="24">
        <v>36.05826581763526</v>
      </c>
    </row>
    <row r="20" spans="1:8" x14ac:dyDescent="0.2">
      <c r="A20" s="30"/>
      <c r="B20" s="25" t="s">
        <v>238</v>
      </c>
      <c r="C20" s="26">
        <v>774.37329192546588</v>
      </c>
      <c r="D20" s="26">
        <v>986.94534161490685</v>
      </c>
      <c r="E20" s="26">
        <v>1390.5639751552794</v>
      </c>
      <c r="F20" s="27"/>
      <c r="G20" s="38">
        <v>79.572822262201981</v>
      </c>
      <c r="H20" s="24">
        <v>40.895743312384894</v>
      </c>
    </row>
    <row r="21" spans="1:8" x14ac:dyDescent="0.2">
      <c r="A21" s="39" t="s">
        <v>12</v>
      </c>
      <c r="B21" s="31" t="s">
        <v>3</v>
      </c>
      <c r="C21" s="20">
        <v>47.38469565217391</v>
      </c>
      <c r="D21" s="20">
        <v>62</v>
      </c>
      <c r="E21" s="21">
        <v>78.947917123737511</v>
      </c>
      <c r="F21" s="22" t="s">
        <v>237</v>
      </c>
      <c r="G21" s="37">
        <v>66.610581828471737</v>
      </c>
      <c r="H21" s="33">
        <v>27.335350199576624</v>
      </c>
    </row>
    <row r="22" spans="1:8" x14ac:dyDescent="0.2">
      <c r="A22" s="34"/>
      <c r="B22" s="25" t="s">
        <v>238</v>
      </c>
      <c r="C22" s="26">
        <v>6.3061304347826086</v>
      </c>
      <c r="D22" s="26">
        <v>12.346173913043478</v>
      </c>
      <c r="E22" s="26">
        <v>13.489478260869566</v>
      </c>
      <c r="F22" s="27"/>
      <c r="G22" s="28">
        <v>113.91054943085061</v>
      </c>
      <c r="H22" s="29">
        <v>9.2603939963798183</v>
      </c>
    </row>
    <row r="23" spans="1:8" x14ac:dyDescent="0.2">
      <c r="A23" s="39" t="s">
        <v>23</v>
      </c>
      <c r="B23" s="31" t="s">
        <v>3</v>
      </c>
      <c r="C23" s="20">
        <v>1685.3078260869565</v>
      </c>
      <c r="D23" s="20">
        <v>1699</v>
      </c>
      <c r="E23" s="21">
        <v>1510.5526551709315</v>
      </c>
      <c r="F23" s="22" t="s">
        <v>237</v>
      </c>
      <c r="G23" s="23">
        <v>-10.369332427642107</v>
      </c>
      <c r="H23" s="24">
        <v>-11.091662438438405</v>
      </c>
    </row>
    <row r="24" spans="1:8" x14ac:dyDescent="0.2">
      <c r="A24" s="34"/>
      <c r="B24" s="25" t="s">
        <v>238</v>
      </c>
      <c r="C24" s="26">
        <v>419.51021739130437</v>
      </c>
      <c r="D24" s="26">
        <v>360.57695652173913</v>
      </c>
      <c r="E24" s="26">
        <v>337.14913043478259</v>
      </c>
      <c r="F24" s="27"/>
      <c r="G24" s="28">
        <v>-19.632677236964241</v>
      </c>
      <c r="H24" s="29">
        <v>-6.4973164987996341</v>
      </c>
    </row>
    <row r="25" spans="1:8" x14ac:dyDescent="0.2">
      <c r="A25" s="30" t="s">
        <v>24</v>
      </c>
      <c r="B25" s="31" t="s">
        <v>3</v>
      </c>
      <c r="C25" s="20">
        <v>1670.6156521739131</v>
      </c>
      <c r="D25" s="20">
        <v>3046</v>
      </c>
      <c r="E25" s="21">
        <v>3358.9203130262445</v>
      </c>
      <c r="F25" s="22" t="s">
        <v>237</v>
      </c>
      <c r="G25" s="23">
        <v>101.05883173400181</v>
      </c>
      <c r="H25" s="24">
        <v>10.273155384971915</v>
      </c>
    </row>
    <row r="26" spans="1:8" ht="13.5" thickBot="1" x14ac:dyDescent="0.25">
      <c r="A26" s="41"/>
      <c r="B26" s="42" t="s">
        <v>238</v>
      </c>
      <c r="C26" s="43">
        <v>388.02043478260873</v>
      </c>
      <c r="D26" s="43">
        <v>694.15391304347827</v>
      </c>
      <c r="E26" s="43">
        <v>770.29826086956518</v>
      </c>
      <c r="F26" s="44"/>
      <c r="G26" s="45">
        <v>98.520024158297332</v>
      </c>
      <c r="H26" s="46">
        <v>10.96937529203521</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232</v>
      </c>
      <c r="D34" s="15" t="s">
        <v>233</v>
      </c>
      <c r="E34" s="15" t="s">
        <v>234</v>
      </c>
      <c r="F34" s="16"/>
      <c r="G34" s="17" t="s">
        <v>235</v>
      </c>
      <c r="H34" s="18" t="s">
        <v>236</v>
      </c>
    </row>
    <row r="35" spans="1:8" ht="12.75" customHeight="1" x14ac:dyDescent="0.2">
      <c r="A35" s="205" t="s">
        <v>45</v>
      </c>
      <c r="B35" s="19" t="s">
        <v>3</v>
      </c>
      <c r="C35" s="80">
        <v>854.86210765784267</v>
      </c>
      <c r="D35" s="80">
        <v>879.94470515445778</v>
      </c>
      <c r="E35" s="83">
        <v>1487.4917313657481</v>
      </c>
      <c r="F35" s="22" t="s">
        <v>237</v>
      </c>
      <c r="G35" s="23">
        <v>74.003703993991337</v>
      </c>
      <c r="H35" s="24">
        <v>69.043773165797603</v>
      </c>
    </row>
    <row r="36" spans="1:8" ht="12.75" customHeight="1" x14ac:dyDescent="0.2">
      <c r="A36" s="206"/>
      <c r="B36" s="25" t="s">
        <v>238</v>
      </c>
      <c r="C36" s="82">
        <v>191.90666409115363</v>
      </c>
      <c r="D36" s="82">
        <v>188.01162458784114</v>
      </c>
      <c r="E36" s="82">
        <v>323.01415185402277</v>
      </c>
      <c r="F36" s="27"/>
      <c r="G36" s="28">
        <v>68.318361107352956</v>
      </c>
      <c r="H36" s="29">
        <v>71.805414990766678</v>
      </c>
    </row>
    <row r="37" spans="1:8" x14ac:dyDescent="0.2">
      <c r="A37" s="30" t="s">
        <v>18</v>
      </c>
      <c r="B37" s="31" t="s">
        <v>3</v>
      </c>
      <c r="C37" s="80">
        <v>369.27527649632407</v>
      </c>
      <c r="D37" s="80">
        <v>307.31515572809354</v>
      </c>
      <c r="E37" s="83">
        <v>400.52256423689272</v>
      </c>
      <c r="F37" s="22" t="s">
        <v>237</v>
      </c>
      <c r="G37" s="32">
        <v>8.4617871082630387</v>
      </c>
      <c r="H37" s="33">
        <v>30.329584067525559</v>
      </c>
    </row>
    <row r="38" spans="1:8" x14ac:dyDescent="0.2">
      <c r="A38" s="34"/>
      <c r="B38" s="25" t="s">
        <v>238</v>
      </c>
      <c r="C38" s="82">
        <v>79.615881653202592</v>
      </c>
      <c r="D38" s="82">
        <v>68.450265703629029</v>
      </c>
      <c r="E38" s="82">
        <v>88.237440975303045</v>
      </c>
      <c r="F38" s="27"/>
      <c r="G38" s="35">
        <v>10.828944103960254</v>
      </c>
      <c r="H38" s="29">
        <v>28.90737540354786</v>
      </c>
    </row>
    <row r="39" spans="1:8" x14ac:dyDescent="0.2">
      <c r="A39" s="30" t="s">
        <v>19</v>
      </c>
      <c r="B39" s="31" t="s">
        <v>3</v>
      </c>
      <c r="C39" s="80">
        <v>251.67091707511869</v>
      </c>
      <c r="D39" s="80">
        <v>251.5509322107302</v>
      </c>
      <c r="E39" s="83">
        <v>646.43008596389518</v>
      </c>
      <c r="F39" s="22" t="s">
        <v>237</v>
      </c>
      <c r="G39" s="37">
        <v>156.85529876737758</v>
      </c>
      <c r="H39" s="33">
        <v>156.97781371065059</v>
      </c>
    </row>
    <row r="40" spans="1:8" x14ac:dyDescent="0.2">
      <c r="A40" s="34"/>
      <c r="B40" s="25" t="s">
        <v>238</v>
      </c>
      <c r="C40" s="82">
        <v>61.413205027476025</v>
      </c>
      <c r="D40" s="82">
        <v>57.624640075962105</v>
      </c>
      <c r="E40" s="82">
        <v>151.1685035968332</v>
      </c>
      <c r="F40" s="27"/>
      <c r="G40" s="28">
        <v>146.14983622691736</v>
      </c>
      <c r="H40" s="29">
        <v>162.33309812878565</v>
      </c>
    </row>
    <row r="41" spans="1:8" x14ac:dyDescent="0.2">
      <c r="A41" s="30" t="s">
        <v>20</v>
      </c>
      <c r="B41" s="31" t="s">
        <v>3</v>
      </c>
      <c r="C41" s="80">
        <v>36.015530267074269</v>
      </c>
      <c r="D41" s="80">
        <v>31.901874908978677</v>
      </c>
      <c r="E41" s="83">
        <v>30.898471231786367</v>
      </c>
      <c r="F41" s="22" t="s">
        <v>237</v>
      </c>
      <c r="G41" s="23">
        <v>-14.207923630006817</v>
      </c>
      <c r="H41" s="24">
        <v>-3.1452812101332199</v>
      </c>
    </row>
    <row r="42" spans="1:8" x14ac:dyDescent="0.2">
      <c r="A42" s="34"/>
      <c r="B42" s="25" t="s">
        <v>238</v>
      </c>
      <c r="C42" s="82">
        <v>9.4405134113036269</v>
      </c>
      <c r="D42" s="82">
        <v>7.4700137684978243</v>
      </c>
      <c r="E42" s="82">
        <v>7.5018666208325833</v>
      </c>
      <c r="F42" s="27"/>
      <c r="G42" s="38">
        <v>-20.535395756652377</v>
      </c>
      <c r="H42" s="24">
        <v>0.42640955320707974</v>
      </c>
    </row>
    <row r="43" spans="1:8" x14ac:dyDescent="0.2">
      <c r="A43" s="30" t="s">
        <v>21</v>
      </c>
      <c r="B43" s="31" t="s">
        <v>3</v>
      </c>
      <c r="C43" s="80">
        <v>7.0481779669671774</v>
      </c>
      <c r="D43" s="80">
        <v>10.766231630682435</v>
      </c>
      <c r="E43" s="83">
        <v>16.673744655780254</v>
      </c>
      <c r="F43" s="22" t="s">
        <v>237</v>
      </c>
      <c r="G43" s="37">
        <v>136.56815610964128</v>
      </c>
      <c r="H43" s="33">
        <v>54.870759126732281</v>
      </c>
    </row>
    <row r="44" spans="1:8" x14ac:dyDescent="0.2">
      <c r="A44" s="34"/>
      <c r="B44" s="25" t="s">
        <v>238</v>
      </c>
      <c r="C44" s="82">
        <v>1.0343896583305041</v>
      </c>
      <c r="D44" s="82">
        <v>1.7569941755251912</v>
      </c>
      <c r="E44" s="82">
        <v>2.623151525154015</v>
      </c>
      <c r="F44" s="27"/>
      <c r="G44" s="28">
        <v>153.59413679635571</v>
      </c>
      <c r="H44" s="29">
        <v>49.297679052915299</v>
      </c>
    </row>
    <row r="45" spans="1:8" x14ac:dyDescent="0.2">
      <c r="A45" s="30" t="s">
        <v>22</v>
      </c>
      <c r="B45" s="31" t="s">
        <v>3</v>
      </c>
      <c r="C45" s="80">
        <v>2.0929110289082646</v>
      </c>
      <c r="D45" s="80">
        <v>2.2689798245442843</v>
      </c>
      <c r="E45" s="83">
        <v>2.2408649207299467</v>
      </c>
      <c r="F45" s="22" t="s">
        <v>237</v>
      </c>
      <c r="G45" s="37">
        <v>7.0692872166123522</v>
      </c>
      <c r="H45" s="33">
        <v>-1.2390988897393385</v>
      </c>
    </row>
    <row r="46" spans="1:8" x14ac:dyDescent="0.2">
      <c r="A46" s="34"/>
      <c r="B46" s="25" t="s">
        <v>238</v>
      </c>
      <c r="C46" s="82">
        <v>0.37739840016788218</v>
      </c>
      <c r="D46" s="82">
        <v>0.56676190326793208</v>
      </c>
      <c r="E46" s="82">
        <v>0.4960429055754178</v>
      </c>
      <c r="F46" s="27"/>
      <c r="G46" s="28">
        <v>31.437469092279599</v>
      </c>
      <c r="H46" s="29">
        <v>-12.47772605828844</v>
      </c>
    </row>
    <row r="47" spans="1:8" x14ac:dyDescent="0.2">
      <c r="A47" s="30" t="s">
        <v>189</v>
      </c>
      <c r="B47" s="31" t="s">
        <v>3</v>
      </c>
      <c r="C47" s="80">
        <v>98.114514318619783</v>
      </c>
      <c r="D47" s="80">
        <v>141.95657027599361</v>
      </c>
      <c r="E47" s="83">
        <v>186.92176310924154</v>
      </c>
      <c r="F47" s="22" t="s">
        <v>237</v>
      </c>
      <c r="G47" s="23">
        <v>90.51387494232165</v>
      </c>
      <c r="H47" s="24">
        <v>31.675316433629007</v>
      </c>
    </row>
    <row r="48" spans="1:8" x14ac:dyDescent="0.2">
      <c r="A48" s="30"/>
      <c r="B48" s="25" t="s">
        <v>238</v>
      </c>
      <c r="C48" s="82">
        <v>20.377258351765352</v>
      </c>
      <c r="D48" s="82">
        <v>23.488864972203345</v>
      </c>
      <c r="E48" s="82">
        <v>33.177373025319504</v>
      </c>
      <c r="F48" s="27"/>
      <c r="G48" s="38">
        <v>62.815686254697908</v>
      </c>
      <c r="H48" s="24">
        <v>41.247238061871059</v>
      </c>
    </row>
    <row r="49" spans="1:8" x14ac:dyDescent="0.2">
      <c r="A49" s="39" t="s">
        <v>12</v>
      </c>
      <c r="B49" s="31" t="s">
        <v>3</v>
      </c>
      <c r="C49" s="80">
        <v>0.94551141068839095</v>
      </c>
      <c r="D49" s="80">
        <v>0.65521820632039296</v>
      </c>
      <c r="E49" s="83">
        <v>1.1503990902460395</v>
      </c>
      <c r="F49" s="22" t="s">
        <v>237</v>
      </c>
      <c r="G49" s="37">
        <v>21.669508928345735</v>
      </c>
      <c r="H49" s="33">
        <v>75.574957952787656</v>
      </c>
    </row>
    <row r="50" spans="1:8" x14ac:dyDescent="0.2">
      <c r="A50" s="34"/>
      <c r="B50" s="25" t="s">
        <v>238</v>
      </c>
      <c r="C50" s="82">
        <v>0.15707775024547954</v>
      </c>
      <c r="D50" s="82">
        <v>0.23917038278342892</v>
      </c>
      <c r="E50" s="82">
        <v>0.30014388003872294</v>
      </c>
      <c r="F50" s="27"/>
      <c r="G50" s="28">
        <v>91.079818478212928</v>
      </c>
      <c r="H50" s="29">
        <v>25.493749077830458</v>
      </c>
    </row>
    <row r="51" spans="1:8" x14ac:dyDescent="0.2">
      <c r="A51" s="39" t="s">
        <v>23</v>
      </c>
      <c r="B51" s="31" t="s">
        <v>3</v>
      </c>
      <c r="C51" s="80">
        <v>45.637182320147758</v>
      </c>
      <c r="D51" s="80">
        <v>50.875876129341307</v>
      </c>
      <c r="E51" s="83">
        <v>62.801063424573805</v>
      </c>
      <c r="F51" s="22" t="s">
        <v>237</v>
      </c>
      <c r="G51" s="23">
        <v>37.609423351381167</v>
      </c>
      <c r="H51" s="24">
        <v>23.439767926384576</v>
      </c>
    </row>
    <row r="52" spans="1:8" x14ac:dyDescent="0.2">
      <c r="A52" s="34"/>
      <c r="B52" s="25" t="s">
        <v>238</v>
      </c>
      <c r="C52" s="82">
        <v>9.2674766662347139</v>
      </c>
      <c r="D52" s="82">
        <v>9.7211809602446326</v>
      </c>
      <c r="E52" s="82">
        <v>12.240760743340939</v>
      </c>
      <c r="F52" s="27"/>
      <c r="G52" s="28">
        <v>32.08299501782551</v>
      </c>
      <c r="H52" s="29">
        <v>25.918453667309379</v>
      </c>
    </row>
    <row r="53" spans="1:8" x14ac:dyDescent="0.2">
      <c r="A53" s="30" t="s">
        <v>24</v>
      </c>
      <c r="B53" s="31" t="s">
        <v>3</v>
      </c>
      <c r="C53" s="80">
        <v>44.062086773994338</v>
      </c>
      <c r="D53" s="80">
        <v>82.653866239773521</v>
      </c>
      <c r="E53" s="83">
        <v>119.554425626921</v>
      </c>
      <c r="F53" s="22" t="s">
        <v>237</v>
      </c>
      <c r="G53" s="23">
        <v>171.33173750972372</v>
      </c>
      <c r="H53" s="24">
        <v>44.644686408378476</v>
      </c>
    </row>
    <row r="54" spans="1:8" ht="13.5" thickBot="1" x14ac:dyDescent="0.25">
      <c r="A54" s="41"/>
      <c r="B54" s="42" t="s">
        <v>238</v>
      </c>
      <c r="C54" s="86">
        <v>10.223463172427463</v>
      </c>
      <c r="D54" s="86">
        <v>18.693732645727643</v>
      </c>
      <c r="E54" s="86">
        <v>27.26886858162533</v>
      </c>
      <c r="F54" s="44"/>
      <c r="G54" s="45">
        <v>166.72829081214951</v>
      </c>
      <c r="H54" s="46">
        <v>45.871715929656744</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H61" s="200">
        <v>16</v>
      </c>
    </row>
    <row r="62" spans="1:8" ht="12.75" customHeight="1" x14ac:dyDescent="0.2">
      <c r="A62" s="54" t="s">
        <v>240</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3" t="s">
        <v>1</v>
      </c>
      <c r="H5" s="204"/>
    </row>
    <row r="6" spans="1:8" x14ac:dyDescent="0.2">
      <c r="A6" s="12"/>
      <c r="B6" s="13"/>
      <c r="C6" s="14" t="s">
        <v>232</v>
      </c>
      <c r="D6" s="15" t="s">
        <v>233</v>
      </c>
      <c r="E6" s="15" t="s">
        <v>234</v>
      </c>
      <c r="F6" s="16"/>
      <c r="G6" s="17" t="s">
        <v>235</v>
      </c>
      <c r="H6" s="18" t="s">
        <v>236</v>
      </c>
    </row>
    <row r="7" spans="1:8" x14ac:dyDescent="0.2">
      <c r="A7" s="205" t="s">
        <v>165</v>
      </c>
      <c r="B7" s="19" t="s">
        <v>3</v>
      </c>
      <c r="C7" s="20">
        <v>46862.684981684979</v>
      </c>
      <c r="D7" s="20">
        <v>45810.752901417422</v>
      </c>
      <c r="E7" s="79">
        <v>54464.34779227258</v>
      </c>
      <c r="F7" s="22" t="s">
        <v>237</v>
      </c>
      <c r="G7" s="23">
        <v>16.221142287426574</v>
      </c>
      <c r="H7" s="24">
        <v>18.889877032751002</v>
      </c>
    </row>
    <row r="8" spans="1:8" x14ac:dyDescent="0.2">
      <c r="A8" s="206"/>
      <c r="B8" s="25" t="s">
        <v>238</v>
      </c>
      <c r="C8" s="26">
        <v>12689.963847746456</v>
      </c>
      <c r="D8" s="26">
        <v>11707.421245421247</v>
      </c>
      <c r="E8" s="26">
        <v>14184.867654085047</v>
      </c>
      <c r="F8" s="27"/>
      <c r="G8" s="28">
        <v>11.780205399119907</v>
      </c>
      <c r="H8" s="29">
        <v>21.161333112812741</v>
      </c>
    </row>
    <row r="9" spans="1:8" x14ac:dyDescent="0.2">
      <c r="A9" s="30" t="s">
        <v>18</v>
      </c>
      <c r="B9" s="31" t="s">
        <v>3</v>
      </c>
      <c r="C9" s="20">
        <v>5139.9516666666668</v>
      </c>
      <c r="D9" s="20">
        <v>4788.3979602971012</v>
      </c>
      <c r="E9" s="36">
        <v>4961.1206325513594</v>
      </c>
      <c r="F9" s="22" t="s">
        <v>237</v>
      </c>
      <c r="G9" s="32">
        <v>-3.479235714900824</v>
      </c>
      <c r="H9" s="33">
        <v>3.6071077150726438</v>
      </c>
    </row>
    <row r="10" spans="1:8" x14ac:dyDescent="0.2">
      <c r="A10" s="34"/>
      <c r="B10" s="25" t="s">
        <v>238</v>
      </c>
      <c r="C10" s="26">
        <v>1178.8745289855074</v>
      </c>
      <c r="D10" s="26">
        <v>1235.2379166666667</v>
      </c>
      <c r="E10" s="26">
        <v>1228.7050543478263</v>
      </c>
      <c r="F10" s="27"/>
      <c r="G10" s="35">
        <v>4.2269575037134075</v>
      </c>
      <c r="H10" s="29">
        <v>-0.52887482084986459</v>
      </c>
    </row>
    <row r="11" spans="1:8" x14ac:dyDescent="0.2">
      <c r="A11" s="30" t="s">
        <v>19</v>
      </c>
      <c r="B11" s="31" t="s">
        <v>3</v>
      </c>
      <c r="C11" s="20">
        <v>20375.569090909092</v>
      </c>
      <c r="D11" s="20">
        <v>20821.120597335968</v>
      </c>
      <c r="E11" s="36">
        <v>29748.213608313126</v>
      </c>
      <c r="F11" s="22" t="s">
        <v>237</v>
      </c>
      <c r="G11" s="37">
        <v>45.999424485207641</v>
      </c>
      <c r="H11" s="33">
        <v>42.875180369107369</v>
      </c>
    </row>
    <row r="12" spans="1:8" x14ac:dyDescent="0.2">
      <c r="A12" s="34"/>
      <c r="B12" s="25" t="s">
        <v>238</v>
      </c>
      <c r="C12" s="26">
        <v>5425.9530039525689</v>
      </c>
      <c r="D12" s="26">
        <v>5237.1422727272729</v>
      </c>
      <c r="E12" s="26">
        <v>7623.4892687747033</v>
      </c>
      <c r="F12" s="27"/>
      <c r="G12" s="28">
        <v>40.500466244756012</v>
      </c>
      <c r="H12" s="29">
        <v>45.565823339848407</v>
      </c>
    </row>
    <row r="13" spans="1:8" x14ac:dyDescent="0.2">
      <c r="A13" s="30" t="s">
        <v>20</v>
      </c>
      <c r="B13" s="31" t="s">
        <v>3</v>
      </c>
      <c r="C13" s="20">
        <v>2841.5709999999999</v>
      </c>
      <c r="D13" s="20">
        <v>2858.2387761782607</v>
      </c>
      <c r="E13" s="36">
        <v>1997.4164645081059</v>
      </c>
      <c r="F13" s="22" t="s">
        <v>237</v>
      </c>
      <c r="G13" s="23">
        <v>-29.707318081860137</v>
      </c>
      <c r="H13" s="24">
        <v>-30.117228792940693</v>
      </c>
    </row>
    <row r="14" spans="1:8" x14ac:dyDescent="0.2">
      <c r="A14" s="34"/>
      <c r="B14" s="25" t="s">
        <v>238</v>
      </c>
      <c r="C14" s="26">
        <v>727.92471739130428</v>
      </c>
      <c r="D14" s="26">
        <v>825.14274999999998</v>
      </c>
      <c r="E14" s="26">
        <v>553.22303260869569</v>
      </c>
      <c r="F14" s="27"/>
      <c r="G14" s="38">
        <v>-23.999966014163476</v>
      </c>
      <c r="H14" s="24">
        <v>-32.954263658173616</v>
      </c>
    </row>
    <row r="15" spans="1:8" x14ac:dyDescent="0.2">
      <c r="A15" s="30" t="s">
        <v>21</v>
      </c>
      <c r="B15" s="31" t="s">
        <v>3</v>
      </c>
      <c r="C15" s="20">
        <v>1158.5709999999999</v>
      </c>
      <c r="D15" s="20">
        <v>1237.2387761782609</v>
      </c>
      <c r="E15" s="36">
        <v>1353.0730932964425</v>
      </c>
      <c r="F15" s="22" t="s">
        <v>237</v>
      </c>
      <c r="G15" s="37">
        <v>16.788103042147839</v>
      </c>
      <c r="H15" s="33">
        <v>9.3623251508480223</v>
      </c>
    </row>
    <row r="16" spans="1:8" x14ac:dyDescent="0.2">
      <c r="A16" s="34"/>
      <c r="B16" s="25" t="s">
        <v>238</v>
      </c>
      <c r="C16" s="26">
        <v>273.92471739130434</v>
      </c>
      <c r="D16" s="26">
        <v>274.14274999999998</v>
      </c>
      <c r="E16" s="26">
        <v>306.22303260869569</v>
      </c>
      <c r="F16" s="27"/>
      <c r="G16" s="28">
        <v>11.790945893813912</v>
      </c>
      <c r="H16" s="29">
        <v>11.70203574914737</v>
      </c>
    </row>
    <row r="17" spans="1:8" x14ac:dyDescent="0.2">
      <c r="A17" s="30" t="s">
        <v>189</v>
      </c>
      <c r="B17" s="31" t="s">
        <v>3</v>
      </c>
      <c r="C17" s="20">
        <v>9831.9516666666659</v>
      </c>
      <c r="D17" s="20">
        <v>8556.3979602971012</v>
      </c>
      <c r="E17" s="36">
        <v>8876.5155522124096</v>
      </c>
      <c r="F17" s="22" t="s">
        <v>237</v>
      </c>
      <c r="G17" s="37">
        <v>-9.7176648832955266</v>
      </c>
      <c r="H17" s="33">
        <v>3.7412658153664609</v>
      </c>
    </row>
    <row r="18" spans="1:8" x14ac:dyDescent="0.2">
      <c r="A18" s="34"/>
      <c r="B18" s="25" t="s">
        <v>238</v>
      </c>
      <c r="C18" s="26">
        <v>3053.8745289855074</v>
      </c>
      <c r="D18" s="26">
        <v>2199.2379166666669</v>
      </c>
      <c r="E18" s="26">
        <v>2420.7050543478263</v>
      </c>
      <c r="F18" s="27"/>
      <c r="G18" s="28">
        <v>-20.733316599225802</v>
      </c>
      <c r="H18" s="29">
        <v>10.070176400779403</v>
      </c>
    </row>
    <row r="19" spans="1:8" x14ac:dyDescent="0.2">
      <c r="A19" s="39" t="s">
        <v>12</v>
      </c>
      <c r="B19" s="31" t="s">
        <v>3</v>
      </c>
      <c r="C19" s="20">
        <v>425.57100000000003</v>
      </c>
      <c r="D19" s="20">
        <v>306.23877617826088</v>
      </c>
      <c r="E19" s="36">
        <v>288.72696981727273</v>
      </c>
      <c r="F19" s="22" t="s">
        <v>237</v>
      </c>
      <c r="G19" s="37">
        <v>-32.155393620036904</v>
      </c>
      <c r="H19" s="33">
        <v>-5.7183504256151281</v>
      </c>
    </row>
    <row r="20" spans="1:8" x14ac:dyDescent="0.2">
      <c r="A20" s="34"/>
      <c r="B20" s="25" t="s">
        <v>238</v>
      </c>
      <c r="C20" s="26">
        <v>148.92471739130434</v>
      </c>
      <c r="D20" s="26">
        <v>77.142750000000007</v>
      </c>
      <c r="E20" s="26">
        <v>80.223032608695661</v>
      </c>
      <c r="F20" s="27"/>
      <c r="G20" s="28">
        <v>-46.1318214907824</v>
      </c>
      <c r="H20" s="29">
        <v>3.9929644829820745</v>
      </c>
    </row>
    <row r="21" spans="1:8" x14ac:dyDescent="0.2">
      <c r="A21" s="39" t="s">
        <v>23</v>
      </c>
      <c r="B21" s="31" t="s">
        <v>3</v>
      </c>
      <c r="C21" s="20">
        <v>720.38066666666668</v>
      </c>
      <c r="D21" s="20">
        <v>800.15918411884059</v>
      </c>
      <c r="E21" s="36">
        <v>800.63981403883713</v>
      </c>
      <c r="F21" s="22" t="s">
        <v>237</v>
      </c>
      <c r="G21" s="23">
        <v>11.141213400901535</v>
      </c>
      <c r="H21" s="24">
        <v>6.0066787901178031E-2</v>
      </c>
    </row>
    <row r="22" spans="1:8" x14ac:dyDescent="0.2">
      <c r="A22" s="34"/>
      <c r="B22" s="25" t="s">
        <v>238</v>
      </c>
      <c r="C22" s="26">
        <v>176.94981159420291</v>
      </c>
      <c r="D22" s="26">
        <v>183.09516666666667</v>
      </c>
      <c r="E22" s="26">
        <v>187.48202173913043</v>
      </c>
      <c r="F22" s="27"/>
      <c r="G22" s="38">
        <v>5.9520889285154652</v>
      </c>
      <c r="H22" s="24">
        <v>2.3959425867588635</v>
      </c>
    </row>
    <row r="23" spans="1:8" x14ac:dyDescent="0.2">
      <c r="A23" s="30" t="s">
        <v>24</v>
      </c>
      <c r="B23" s="31" t="s">
        <v>3</v>
      </c>
      <c r="C23" s="20">
        <v>7460.7713000000003</v>
      </c>
      <c r="D23" s="20">
        <v>7531.5716328534781</v>
      </c>
      <c r="E23" s="36">
        <v>8269.9127424585495</v>
      </c>
      <c r="F23" s="22" t="s">
        <v>237</v>
      </c>
      <c r="G23" s="37">
        <v>10.845278724178954</v>
      </c>
      <c r="H23" s="33">
        <v>9.8032807174581365</v>
      </c>
    </row>
    <row r="24" spans="1:8" ht="13.5" thickBot="1" x14ac:dyDescent="0.25">
      <c r="A24" s="41"/>
      <c r="B24" s="42" t="s">
        <v>238</v>
      </c>
      <c r="C24" s="43">
        <v>1958.8774152173914</v>
      </c>
      <c r="D24" s="43">
        <v>1896.9428250000001</v>
      </c>
      <c r="E24" s="43">
        <v>2111.5669097826085</v>
      </c>
      <c r="F24" s="44"/>
      <c r="G24" s="45">
        <v>7.7947447542689616</v>
      </c>
      <c r="H24" s="46">
        <v>11.314209471896362</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232</v>
      </c>
      <c r="D34" s="15" t="s">
        <v>233</v>
      </c>
      <c r="E34" s="15" t="s">
        <v>234</v>
      </c>
      <c r="F34" s="16"/>
      <c r="G34" s="17" t="s">
        <v>235</v>
      </c>
      <c r="H34" s="18" t="s">
        <v>236</v>
      </c>
    </row>
    <row r="35" spans="1:8" ht="12.75" customHeight="1" x14ac:dyDescent="0.2">
      <c r="A35" s="205" t="s">
        <v>165</v>
      </c>
      <c r="B35" s="19" t="s">
        <v>3</v>
      </c>
      <c r="C35" s="80">
        <v>5905.40679865111</v>
      </c>
      <c r="D35" s="80">
        <v>5870.5359812985043</v>
      </c>
      <c r="E35" s="81">
        <v>4877.27601862547</v>
      </c>
      <c r="F35" s="22" t="s">
        <v>237</v>
      </c>
      <c r="G35" s="23">
        <v>-17.409990794545791</v>
      </c>
      <c r="H35" s="24">
        <v>-16.91940848054108</v>
      </c>
    </row>
    <row r="36" spans="1:8" ht="12.75" customHeight="1" x14ac:dyDescent="0.2">
      <c r="A36" s="206"/>
      <c r="B36" s="25" t="s">
        <v>238</v>
      </c>
      <c r="C36" s="82">
        <v>1824.3973235769663</v>
      </c>
      <c r="D36" s="82">
        <v>1959.3996641893941</v>
      </c>
      <c r="E36" s="82">
        <v>1585.4037215067144</v>
      </c>
      <c r="F36" s="27"/>
      <c r="G36" s="28">
        <v>-13.0998658560666</v>
      </c>
      <c r="H36" s="29">
        <v>-19.087271959771527</v>
      </c>
    </row>
    <row r="37" spans="1:8" x14ac:dyDescent="0.2">
      <c r="A37" s="30" t="s">
        <v>18</v>
      </c>
      <c r="B37" s="31" t="s">
        <v>3</v>
      </c>
      <c r="C37" s="80">
        <v>2576.6457160675845</v>
      </c>
      <c r="D37" s="80">
        <v>2669.1624952873349</v>
      </c>
      <c r="E37" s="83">
        <v>1610.3174307878721</v>
      </c>
      <c r="F37" s="22" t="s">
        <v>237</v>
      </c>
      <c r="G37" s="32">
        <v>-37.503343174183044</v>
      </c>
      <c r="H37" s="33">
        <v>-39.66956175837764</v>
      </c>
    </row>
    <row r="38" spans="1:8" x14ac:dyDescent="0.2">
      <c r="A38" s="34"/>
      <c r="B38" s="25" t="s">
        <v>238</v>
      </c>
      <c r="C38" s="82">
        <v>774.50008106302323</v>
      </c>
      <c r="D38" s="82">
        <v>1066.357049438785</v>
      </c>
      <c r="E38" s="82">
        <v>579.73865103339756</v>
      </c>
      <c r="F38" s="27"/>
      <c r="G38" s="35">
        <v>-25.146728165904136</v>
      </c>
      <c r="H38" s="29">
        <v>-45.63372077499659</v>
      </c>
    </row>
    <row r="39" spans="1:8" x14ac:dyDescent="0.2">
      <c r="A39" s="30" t="s">
        <v>19</v>
      </c>
      <c r="B39" s="31" t="s">
        <v>3</v>
      </c>
      <c r="C39" s="80">
        <v>1645.1894379127916</v>
      </c>
      <c r="D39" s="80">
        <v>1638.2983003385852</v>
      </c>
      <c r="E39" s="83">
        <v>2450.9465262446456</v>
      </c>
      <c r="F39" s="22" t="s">
        <v>237</v>
      </c>
      <c r="G39" s="37">
        <v>48.976553688193917</v>
      </c>
      <c r="H39" s="33">
        <v>49.603190440844088</v>
      </c>
    </row>
    <row r="40" spans="1:8" x14ac:dyDescent="0.2">
      <c r="A40" s="34"/>
      <c r="B40" s="25" t="s">
        <v>238</v>
      </c>
      <c r="C40" s="82">
        <v>443.18526178475349</v>
      </c>
      <c r="D40" s="82">
        <v>414.47950358841058</v>
      </c>
      <c r="E40" s="82">
        <v>632.90946569222501</v>
      </c>
      <c r="F40" s="27"/>
      <c r="G40" s="28">
        <v>42.809231323133844</v>
      </c>
      <c r="H40" s="29">
        <v>52.699822358579496</v>
      </c>
    </row>
    <row r="41" spans="1:8" x14ac:dyDescent="0.2">
      <c r="A41" s="30" t="s">
        <v>20</v>
      </c>
      <c r="B41" s="31" t="s">
        <v>3</v>
      </c>
      <c r="C41" s="80">
        <v>143.94542710324433</v>
      </c>
      <c r="D41" s="80">
        <v>140.39008832816526</v>
      </c>
      <c r="E41" s="83">
        <v>96.655379994140162</v>
      </c>
      <c r="F41" s="22" t="s">
        <v>237</v>
      </c>
      <c r="G41" s="23">
        <v>-32.852760980858079</v>
      </c>
      <c r="H41" s="24">
        <v>-31.152276385633542</v>
      </c>
    </row>
    <row r="42" spans="1:8" x14ac:dyDescent="0.2">
      <c r="A42" s="34"/>
      <c r="B42" s="25" t="s">
        <v>238</v>
      </c>
      <c r="C42" s="82">
        <v>46.126937070392323</v>
      </c>
      <c r="D42" s="82">
        <v>55.036362260039873</v>
      </c>
      <c r="E42" s="82">
        <v>35.265568847048783</v>
      </c>
      <c r="F42" s="27"/>
      <c r="G42" s="38">
        <v>-23.546692915613448</v>
      </c>
      <c r="H42" s="24">
        <v>-35.923147172366853</v>
      </c>
    </row>
    <row r="43" spans="1:8" x14ac:dyDescent="0.2">
      <c r="A43" s="30" t="s">
        <v>21</v>
      </c>
      <c r="B43" s="31" t="s">
        <v>3</v>
      </c>
      <c r="C43" s="80">
        <v>30.028634972271497</v>
      </c>
      <c r="D43" s="80">
        <v>20.722429564660558</v>
      </c>
      <c r="E43" s="83">
        <v>27.31067131809483</v>
      </c>
      <c r="F43" s="22" t="s">
        <v>237</v>
      </c>
      <c r="G43" s="37">
        <v>-9.0512394475687614</v>
      </c>
      <c r="H43" s="33">
        <v>31.792805630618091</v>
      </c>
    </row>
    <row r="44" spans="1:8" x14ac:dyDescent="0.2">
      <c r="A44" s="34"/>
      <c r="B44" s="25" t="s">
        <v>238</v>
      </c>
      <c r="C44" s="82">
        <v>4.3474714477496015</v>
      </c>
      <c r="D44" s="82">
        <v>5.1006664197878653</v>
      </c>
      <c r="E44" s="82">
        <v>5.4503141100964125</v>
      </c>
      <c r="F44" s="27"/>
      <c r="G44" s="28">
        <v>25.367450381248148</v>
      </c>
      <c r="H44" s="29">
        <v>6.8549413259432157</v>
      </c>
    </row>
    <row r="45" spans="1:8" x14ac:dyDescent="0.2">
      <c r="A45" s="30" t="s">
        <v>189</v>
      </c>
      <c r="B45" s="31" t="s">
        <v>3</v>
      </c>
      <c r="C45" s="80">
        <v>778.23145115395801</v>
      </c>
      <c r="D45" s="80">
        <v>726.58150310037558</v>
      </c>
      <c r="E45" s="83">
        <v>611.48767236919014</v>
      </c>
      <c r="F45" s="22" t="s">
        <v>237</v>
      </c>
      <c r="G45" s="37">
        <v>-21.425988186100795</v>
      </c>
      <c r="H45" s="33">
        <v>-15.840457022381088</v>
      </c>
    </row>
    <row r="46" spans="1:8" x14ac:dyDescent="0.2">
      <c r="A46" s="34"/>
      <c r="B46" s="25" t="s">
        <v>238</v>
      </c>
      <c r="C46" s="82">
        <v>233.95438800311135</v>
      </c>
      <c r="D46" s="82">
        <v>204.6941752424911</v>
      </c>
      <c r="E46" s="82">
        <v>175.95730150711245</v>
      </c>
      <c r="F46" s="27"/>
      <c r="G46" s="28">
        <v>-24.789911824704731</v>
      </c>
      <c r="H46" s="29">
        <v>-14.03893085933467</v>
      </c>
    </row>
    <row r="47" spans="1:8" x14ac:dyDescent="0.2">
      <c r="A47" s="39" t="s">
        <v>12</v>
      </c>
      <c r="B47" s="31" t="s">
        <v>3</v>
      </c>
      <c r="C47" s="80">
        <v>14.599101522754497</v>
      </c>
      <c r="D47" s="80">
        <v>13.774586753330446</v>
      </c>
      <c r="E47" s="83">
        <v>15.943089199958806</v>
      </c>
      <c r="F47" s="22" t="s">
        <v>237</v>
      </c>
      <c r="G47" s="37">
        <v>9.2059615799611834</v>
      </c>
      <c r="H47" s="33">
        <v>15.742776792226138</v>
      </c>
    </row>
    <row r="48" spans="1:8" x14ac:dyDescent="0.2">
      <c r="A48" s="34"/>
      <c r="B48" s="25" t="s">
        <v>238</v>
      </c>
      <c r="C48" s="82">
        <v>4.3015485691843836</v>
      </c>
      <c r="D48" s="82">
        <v>3.2435030534443707</v>
      </c>
      <c r="E48" s="82">
        <v>4.0234702998814544</v>
      </c>
      <c r="F48" s="27"/>
      <c r="G48" s="28">
        <v>-6.4646083806896399</v>
      </c>
      <c r="H48" s="29">
        <v>24.047063732800055</v>
      </c>
    </row>
    <row r="49" spans="1:8" x14ac:dyDescent="0.2">
      <c r="A49" s="39" t="s">
        <v>23</v>
      </c>
      <c r="B49" s="31" t="s">
        <v>3</v>
      </c>
      <c r="C49" s="80">
        <v>29.99032404112473</v>
      </c>
      <c r="D49" s="80">
        <v>38.14258987904995</v>
      </c>
      <c r="E49" s="83">
        <v>44.014327860737218</v>
      </c>
      <c r="F49" s="22" t="s">
        <v>237</v>
      </c>
      <c r="G49" s="23">
        <v>46.761761561435065</v>
      </c>
      <c r="H49" s="24">
        <v>15.394177480623455</v>
      </c>
    </row>
    <row r="50" spans="1:8" x14ac:dyDescent="0.2">
      <c r="A50" s="34"/>
      <c r="B50" s="25" t="s">
        <v>238</v>
      </c>
      <c r="C50" s="82">
        <v>7.0679664638831134</v>
      </c>
      <c r="D50" s="82">
        <v>7.7307999960451195</v>
      </c>
      <c r="E50" s="82">
        <v>9.3575640323635625</v>
      </c>
      <c r="F50" s="27"/>
      <c r="G50" s="38">
        <v>32.394007246358001</v>
      </c>
      <c r="H50" s="24">
        <v>21.042635136734276</v>
      </c>
    </row>
    <row r="51" spans="1:8" x14ac:dyDescent="0.2">
      <c r="A51" s="30" t="s">
        <v>24</v>
      </c>
      <c r="B51" s="31" t="s">
        <v>3</v>
      </c>
      <c r="C51" s="80">
        <v>686.77670587738135</v>
      </c>
      <c r="D51" s="80">
        <v>623.4639880470022</v>
      </c>
      <c r="E51" s="83">
        <v>397.60145499654072</v>
      </c>
      <c r="F51" s="22" t="s">
        <v>237</v>
      </c>
      <c r="G51" s="37">
        <v>-42.106153048887862</v>
      </c>
      <c r="H51" s="33">
        <v>-36.227037548387472</v>
      </c>
    </row>
    <row r="52" spans="1:8" ht="13.5" thickBot="1" x14ac:dyDescent="0.25">
      <c r="A52" s="41"/>
      <c r="B52" s="42" t="s">
        <v>238</v>
      </c>
      <c r="C52" s="86">
        <v>310.91366917486891</v>
      </c>
      <c r="D52" s="86">
        <v>202.75760419039023</v>
      </c>
      <c r="E52" s="86">
        <v>142.70138598458951</v>
      </c>
      <c r="F52" s="44"/>
      <c r="G52" s="45">
        <v>-54.102569255541752</v>
      </c>
      <c r="H52" s="46">
        <v>-29.619711894705404</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8">
        <v>17</v>
      </c>
    </row>
    <row r="62" spans="1:8" ht="12.75" customHeight="1" x14ac:dyDescent="0.2">
      <c r="A62" s="54" t="s">
        <v>240</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3" t="s">
        <v>1</v>
      </c>
      <c r="H5" s="204"/>
    </row>
    <row r="6" spans="1:9" x14ac:dyDescent="0.2">
      <c r="A6" s="12"/>
      <c r="B6" s="13"/>
      <c r="C6" s="14" t="s">
        <v>232</v>
      </c>
      <c r="D6" s="15" t="s">
        <v>233</v>
      </c>
      <c r="E6" s="15" t="s">
        <v>234</v>
      </c>
      <c r="F6" s="16"/>
      <c r="G6" s="17" t="s">
        <v>235</v>
      </c>
      <c r="H6" s="18" t="s">
        <v>236</v>
      </c>
    </row>
    <row r="7" spans="1:9" x14ac:dyDescent="0.2">
      <c r="A7" s="205" t="s">
        <v>58</v>
      </c>
      <c r="B7" s="19" t="s">
        <v>3</v>
      </c>
      <c r="C7" s="20">
        <v>9550.4275265306114</v>
      </c>
      <c r="D7" s="20">
        <v>8509.7790693877541</v>
      </c>
      <c r="E7" s="79">
        <v>8358.6232689079952</v>
      </c>
      <c r="F7" s="22" t="s">
        <v>237</v>
      </c>
      <c r="G7" s="23">
        <v>-12.479067081676121</v>
      </c>
      <c r="H7" s="24">
        <v>-1.7762599856853143</v>
      </c>
    </row>
    <row r="8" spans="1:9" x14ac:dyDescent="0.2">
      <c r="A8" s="206"/>
      <c r="B8" s="25" t="s">
        <v>238</v>
      </c>
      <c r="C8" s="26">
        <v>2645.6721469387758</v>
      </c>
      <c r="D8" s="26">
        <v>2497.8568816326529</v>
      </c>
      <c r="E8" s="26">
        <v>2405.7066122448978</v>
      </c>
      <c r="F8" s="27"/>
      <c r="G8" s="28">
        <v>-9.0701160750977721</v>
      </c>
      <c r="H8" s="29">
        <v>-3.6891733095421984</v>
      </c>
    </row>
    <row r="9" spans="1:9" x14ac:dyDescent="0.2">
      <c r="A9" s="30" t="s">
        <v>9</v>
      </c>
      <c r="B9" s="31" t="s">
        <v>3</v>
      </c>
      <c r="C9" s="20">
        <v>9153.4100571428571</v>
      </c>
      <c r="D9" s="20">
        <v>8061.5764571428572</v>
      </c>
      <c r="E9" s="21">
        <v>7679.1665334773888</v>
      </c>
      <c r="F9" s="22" t="s">
        <v>237</v>
      </c>
      <c r="G9" s="32">
        <v>-16.105948651508768</v>
      </c>
      <c r="H9" s="33">
        <v>-4.7436121917151723</v>
      </c>
    </row>
    <row r="10" spans="1:9" x14ac:dyDescent="0.2">
      <c r="A10" s="34"/>
      <c r="B10" s="25" t="s">
        <v>238</v>
      </c>
      <c r="C10" s="26">
        <v>2556.4430857142856</v>
      </c>
      <c r="D10" s="26">
        <v>2408.6025142857143</v>
      </c>
      <c r="E10" s="26">
        <v>2242.1988571428574</v>
      </c>
      <c r="F10" s="27"/>
      <c r="G10" s="35">
        <v>-12.292244264206914</v>
      </c>
      <c r="H10" s="29">
        <v>-6.9087222219480537</v>
      </c>
    </row>
    <row r="11" spans="1:9" x14ac:dyDescent="0.2">
      <c r="A11" s="30" t="s">
        <v>46</v>
      </c>
      <c r="B11" s="31" t="s">
        <v>3</v>
      </c>
      <c r="C11" s="20">
        <v>399.01746938775511</v>
      </c>
      <c r="D11" s="20">
        <v>449.20261224489798</v>
      </c>
      <c r="E11" s="21">
        <v>792.33163117906827</v>
      </c>
      <c r="F11" s="22" t="s">
        <v>237</v>
      </c>
      <c r="G11" s="37">
        <v>98.57066218048223</v>
      </c>
      <c r="H11" s="33">
        <v>76.386247448423546</v>
      </c>
    </row>
    <row r="12" spans="1:9" ht="13.5" thickBot="1" x14ac:dyDescent="0.25">
      <c r="A12" s="56"/>
      <c r="B12" s="42" t="s">
        <v>238</v>
      </c>
      <c r="C12" s="43">
        <v>89.229061224489797</v>
      </c>
      <c r="D12" s="43">
        <v>89.254367346938778</v>
      </c>
      <c r="E12" s="43">
        <v>163.50775510204082</v>
      </c>
      <c r="F12" s="44"/>
      <c r="G12" s="57">
        <v>83.244957257450665</v>
      </c>
      <c r="H12" s="46">
        <v>83.19300216030129</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232</v>
      </c>
      <c r="D34" s="15" t="s">
        <v>233</v>
      </c>
      <c r="E34" s="15" t="s">
        <v>234</v>
      </c>
      <c r="F34" s="16"/>
      <c r="G34" s="17" t="s">
        <v>235</v>
      </c>
      <c r="H34" s="18" t="s">
        <v>236</v>
      </c>
    </row>
    <row r="35" spans="1:9" ht="12.75" customHeight="1" x14ac:dyDescent="0.2">
      <c r="A35" s="205" t="s">
        <v>58</v>
      </c>
      <c r="B35" s="19" t="s">
        <v>3</v>
      </c>
      <c r="C35" s="80">
        <v>2097.2865015139446</v>
      </c>
      <c r="D35" s="80">
        <v>1776.8332046777334</v>
      </c>
      <c r="E35" s="81">
        <v>1786.4737803685873</v>
      </c>
      <c r="F35" s="22" t="s">
        <v>237</v>
      </c>
      <c r="G35" s="23">
        <v>-14.819754998708774</v>
      </c>
      <c r="H35" s="24">
        <v>0.54257066254017161</v>
      </c>
    </row>
    <row r="36" spans="1:9" ht="12.75" customHeight="1" x14ac:dyDescent="0.2">
      <c r="A36" s="206"/>
      <c r="B36" s="25" t="s">
        <v>238</v>
      </c>
      <c r="C36" s="82">
        <v>545.64501203044745</v>
      </c>
      <c r="D36" s="82">
        <v>488.6673083519845</v>
      </c>
      <c r="E36" s="82">
        <v>482.14262646559496</v>
      </c>
      <c r="F36" s="27"/>
      <c r="G36" s="28">
        <v>-11.638040147851484</v>
      </c>
      <c r="H36" s="29">
        <v>-1.3351991784336548</v>
      </c>
    </row>
    <row r="37" spans="1:9" x14ac:dyDescent="0.2">
      <c r="A37" s="30" t="s">
        <v>9</v>
      </c>
      <c r="B37" s="31" t="s">
        <v>3</v>
      </c>
      <c r="C37" s="80">
        <v>1504.8281474900596</v>
      </c>
      <c r="D37" s="80">
        <v>1313.0264236824205</v>
      </c>
      <c r="E37" s="83">
        <v>1331.4512552147637</v>
      </c>
      <c r="F37" s="22" t="s">
        <v>237</v>
      </c>
      <c r="G37" s="32">
        <v>-11.521374886858382</v>
      </c>
      <c r="H37" s="33">
        <v>1.4032338725271245</v>
      </c>
    </row>
    <row r="38" spans="1:9" x14ac:dyDescent="0.2">
      <c r="A38" s="34"/>
      <c r="B38" s="25" t="s">
        <v>238</v>
      </c>
      <c r="C38" s="82">
        <v>387.22446619242834</v>
      </c>
      <c r="D38" s="82">
        <v>350.77813238914297</v>
      </c>
      <c r="E38" s="82">
        <v>351.22747529705833</v>
      </c>
      <c r="F38" s="27"/>
      <c r="G38" s="35">
        <v>-9.2961561156834449</v>
      </c>
      <c r="H38" s="29">
        <v>0.12809889398033647</v>
      </c>
    </row>
    <row r="39" spans="1:9" x14ac:dyDescent="0.2">
      <c r="A39" s="30" t="s">
        <v>46</v>
      </c>
      <c r="B39" s="31" t="s">
        <v>3</v>
      </c>
      <c r="C39" s="80">
        <v>592.45835402388502</v>
      </c>
      <c r="D39" s="80">
        <v>463.80678099531286</v>
      </c>
      <c r="E39" s="83">
        <v>456.76393003501408</v>
      </c>
      <c r="F39" s="22" t="s">
        <v>237</v>
      </c>
      <c r="G39" s="37">
        <v>-22.903622350373738</v>
      </c>
      <c r="H39" s="33">
        <v>-1.5184881396483831</v>
      </c>
    </row>
    <row r="40" spans="1:9" ht="13.5" thickBot="1" x14ac:dyDescent="0.25">
      <c r="A40" s="56"/>
      <c r="B40" s="42" t="s">
        <v>238</v>
      </c>
      <c r="C40" s="86">
        <v>158.42054583801908</v>
      </c>
      <c r="D40" s="86">
        <v>137.88917596284145</v>
      </c>
      <c r="E40" s="86">
        <v>130.91515116853665</v>
      </c>
      <c r="F40" s="44"/>
      <c r="G40" s="57">
        <v>-17.36226480219679</v>
      </c>
      <c r="H40" s="46">
        <v>-5.0577028585508117</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H61" s="200">
        <v>18</v>
      </c>
    </row>
    <row r="62" spans="1:9" ht="12.75" customHeight="1" x14ac:dyDescent="0.2">
      <c r="A62" s="54" t="s">
        <v>240</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3" t="s">
        <v>1</v>
      </c>
      <c r="H5" s="204"/>
    </row>
    <row r="6" spans="1:9" x14ac:dyDescent="0.2">
      <c r="A6" s="12"/>
      <c r="B6" s="13"/>
      <c r="C6" s="14" t="s">
        <v>232</v>
      </c>
      <c r="D6" s="15" t="s">
        <v>233</v>
      </c>
      <c r="E6" s="15" t="s">
        <v>234</v>
      </c>
      <c r="F6" s="16"/>
      <c r="G6" s="17" t="s">
        <v>235</v>
      </c>
      <c r="H6" s="18" t="s">
        <v>236</v>
      </c>
    </row>
    <row r="7" spans="1:9" x14ac:dyDescent="0.2">
      <c r="A7" s="205" t="s">
        <v>57</v>
      </c>
      <c r="B7" s="19" t="s">
        <v>3</v>
      </c>
      <c r="C7" s="20">
        <v>5250</v>
      </c>
      <c r="D7" s="20">
        <v>5522</v>
      </c>
      <c r="E7" s="79">
        <v>6130.3314964037891</v>
      </c>
      <c r="F7" s="22" t="s">
        <v>237</v>
      </c>
      <c r="G7" s="23">
        <v>16.768218979119794</v>
      </c>
      <c r="H7" s="24">
        <v>11.016506635345706</v>
      </c>
    </row>
    <row r="8" spans="1:9" x14ac:dyDescent="0.2">
      <c r="A8" s="206"/>
      <c r="B8" s="25" t="s">
        <v>238</v>
      </c>
      <c r="C8" s="26">
        <v>1224</v>
      </c>
      <c r="D8" s="26">
        <v>1362</v>
      </c>
      <c r="E8" s="26">
        <v>1483.3984</v>
      </c>
      <c r="F8" s="27"/>
      <c r="G8" s="28">
        <v>21.192679738562092</v>
      </c>
      <c r="H8" s="29">
        <v>8.9132452276064527</v>
      </c>
    </row>
    <row r="9" spans="1:9" x14ac:dyDescent="0.2">
      <c r="A9" s="30" t="s">
        <v>9</v>
      </c>
      <c r="B9" s="31" t="s">
        <v>3</v>
      </c>
      <c r="C9" s="20">
        <v>1759</v>
      </c>
      <c r="D9" s="20">
        <v>1891</v>
      </c>
      <c r="E9" s="21">
        <v>2227.6108574610303</v>
      </c>
      <c r="F9" s="22" t="s">
        <v>237</v>
      </c>
      <c r="G9" s="32">
        <v>26.64075369306596</v>
      </c>
      <c r="H9" s="33">
        <v>17.800679929192498</v>
      </c>
    </row>
    <row r="10" spans="1:9" x14ac:dyDescent="0.2">
      <c r="A10" s="34"/>
      <c r="B10" s="25" t="s">
        <v>238</v>
      </c>
      <c r="C10" s="26">
        <v>458</v>
      </c>
      <c r="D10" s="26">
        <v>412</v>
      </c>
      <c r="E10" s="26">
        <v>513.26559999999995</v>
      </c>
      <c r="F10" s="27"/>
      <c r="G10" s="35">
        <v>12.06672489082969</v>
      </c>
      <c r="H10" s="29">
        <v>24.57902912621357</v>
      </c>
    </row>
    <row r="11" spans="1:9" x14ac:dyDescent="0.2">
      <c r="A11" s="30" t="s">
        <v>46</v>
      </c>
      <c r="B11" s="31" t="s">
        <v>3</v>
      </c>
      <c r="C11" s="20">
        <v>2718</v>
      </c>
      <c r="D11" s="20">
        <v>2194</v>
      </c>
      <c r="E11" s="21">
        <v>2498.2549574953678</v>
      </c>
      <c r="F11" s="22" t="s">
        <v>237</v>
      </c>
      <c r="G11" s="37">
        <v>-8.0848065674993421</v>
      </c>
      <c r="H11" s="33">
        <v>13.867591499333074</v>
      </c>
    </row>
    <row r="12" spans="1:9" x14ac:dyDescent="0.2">
      <c r="A12" s="34"/>
      <c r="B12" s="25" t="s">
        <v>238</v>
      </c>
      <c r="C12" s="26">
        <v>485</v>
      </c>
      <c r="D12" s="26">
        <v>651</v>
      </c>
      <c r="E12" s="26">
        <v>607.13279999999997</v>
      </c>
      <c r="F12" s="27"/>
      <c r="G12" s="28">
        <v>25.182020618556706</v>
      </c>
      <c r="H12" s="29">
        <v>-6.7384331797235006</v>
      </c>
    </row>
    <row r="13" spans="1:9" x14ac:dyDescent="0.2">
      <c r="A13" s="30" t="s">
        <v>24</v>
      </c>
      <c r="B13" s="31" t="s">
        <v>3</v>
      </c>
      <c r="C13" s="20">
        <v>861</v>
      </c>
      <c r="D13" s="20">
        <v>1442</v>
      </c>
      <c r="E13" s="21">
        <v>1449.8209428990226</v>
      </c>
      <c r="F13" s="22" t="s">
        <v>237</v>
      </c>
      <c r="G13" s="23">
        <v>68.388030534148982</v>
      </c>
      <c r="H13" s="24">
        <v>0.54236774611806027</v>
      </c>
    </row>
    <row r="14" spans="1:9" ht="13.5" thickBot="1" x14ac:dyDescent="0.25">
      <c r="A14" s="56"/>
      <c r="B14" s="42" t="s">
        <v>238</v>
      </c>
      <c r="C14" s="43">
        <v>307</v>
      </c>
      <c r="D14" s="43">
        <v>320</v>
      </c>
      <c r="E14" s="43">
        <v>368.06639999999999</v>
      </c>
      <c r="F14" s="44"/>
      <c r="G14" s="57">
        <v>19.891335504886001</v>
      </c>
      <c r="H14" s="46">
        <v>15.020750000000007</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232</v>
      </c>
      <c r="D34" s="15" t="s">
        <v>233</v>
      </c>
      <c r="E34" s="15" t="s">
        <v>234</v>
      </c>
      <c r="F34" s="16"/>
      <c r="G34" s="17" t="s">
        <v>235</v>
      </c>
      <c r="H34" s="18" t="s">
        <v>236</v>
      </c>
    </row>
    <row r="35" spans="1:9" ht="12.75" customHeight="1" x14ac:dyDescent="0.2">
      <c r="A35" s="205" t="s">
        <v>57</v>
      </c>
      <c r="B35" s="19" t="s">
        <v>3</v>
      </c>
      <c r="C35" s="80">
        <v>1715.0155545624011</v>
      </c>
      <c r="D35" s="80">
        <v>2036.0218121420889</v>
      </c>
      <c r="E35" s="81">
        <v>2475.8639356333329</v>
      </c>
      <c r="F35" s="22" t="s">
        <v>237</v>
      </c>
      <c r="G35" s="23">
        <v>44.363934720409446</v>
      </c>
      <c r="H35" s="24">
        <v>21.603016277536241</v>
      </c>
    </row>
    <row r="36" spans="1:9" ht="12.75" customHeight="1" x14ac:dyDescent="0.2">
      <c r="A36" s="206"/>
      <c r="B36" s="25" t="s">
        <v>238</v>
      </c>
      <c r="C36" s="82">
        <v>421.08048263052808</v>
      </c>
      <c r="D36" s="82">
        <v>502.10305881512244</v>
      </c>
      <c r="E36" s="82">
        <v>609.67513076272041</v>
      </c>
      <c r="F36" s="27"/>
      <c r="G36" s="28">
        <v>44.788266355644026</v>
      </c>
      <c r="H36" s="29">
        <v>21.424301258281446</v>
      </c>
    </row>
    <row r="37" spans="1:9" x14ac:dyDescent="0.2">
      <c r="A37" s="30" t="s">
        <v>9</v>
      </c>
      <c r="B37" s="31" t="s">
        <v>3</v>
      </c>
      <c r="C37" s="80">
        <v>315.91774839229686</v>
      </c>
      <c r="D37" s="80">
        <v>357.14071684871595</v>
      </c>
      <c r="E37" s="83">
        <v>419.19643357611216</v>
      </c>
      <c r="F37" s="22" t="s">
        <v>237</v>
      </c>
      <c r="G37" s="32">
        <v>32.691637525716658</v>
      </c>
      <c r="H37" s="33">
        <v>17.37570481320472</v>
      </c>
    </row>
    <row r="38" spans="1:9" x14ac:dyDescent="0.2">
      <c r="A38" s="34"/>
      <c r="B38" s="25" t="s">
        <v>238</v>
      </c>
      <c r="C38" s="82">
        <v>83.297869070844669</v>
      </c>
      <c r="D38" s="82">
        <v>88.228218811789489</v>
      </c>
      <c r="E38" s="82">
        <v>105.78230400508765</v>
      </c>
      <c r="F38" s="27"/>
      <c r="G38" s="35">
        <v>26.992809281975767</v>
      </c>
      <c r="H38" s="29">
        <v>19.896225300371256</v>
      </c>
    </row>
    <row r="39" spans="1:9" x14ac:dyDescent="0.2">
      <c r="A39" s="30" t="s">
        <v>46</v>
      </c>
      <c r="B39" s="31" t="s">
        <v>3</v>
      </c>
      <c r="C39" s="80">
        <v>1004.6419565647176</v>
      </c>
      <c r="D39" s="80">
        <v>1188.1828645132482</v>
      </c>
      <c r="E39" s="83">
        <v>1455.9503132373045</v>
      </c>
      <c r="F39" s="22" t="s">
        <v>237</v>
      </c>
      <c r="G39" s="37">
        <v>44.922308263512633</v>
      </c>
      <c r="H39" s="33">
        <v>22.535878669968028</v>
      </c>
    </row>
    <row r="40" spans="1:9" x14ac:dyDescent="0.2">
      <c r="A40" s="34"/>
      <c r="B40" s="25" t="s">
        <v>238</v>
      </c>
      <c r="C40" s="82">
        <v>246.28656827633449</v>
      </c>
      <c r="D40" s="82">
        <v>303.27812661688091</v>
      </c>
      <c r="E40" s="82">
        <v>366.59168229170882</v>
      </c>
      <c r="F40" s="27"/>
      <c r="G40" s="28">
        <v>48.847614734877254</v>
      </c>
      <c r="H40" s="29">
        <v>20.876400280198709</v>
      </c>
    </row>
    <row r="41" spans="1:9" x14ac:dyDescent="0.2">
      <c r="A41" s="30" t="s">
        <v>24</v>
      </c>
      <c r="B41" s="31" t="s">
        <v>3</v>
      </c>
      <c r="C41" s="80">
        <v>394.45584960538622</v>
      </c>
      <c r="D41" s="80">
        <v>490.69823078012507</v>
      </c>
      <c r="E41" s="83">
        <v>603.43068750565078</v>
      </c>
      <c r="F41" s="22" t="s">
        <v>237</v>
      </c>
      <c r="G41" s="23">
        <v>52.978004536964789</v>
      </c>
      <c r="H41" s="24">
        <v>22.97388693378835</v>
      </c>
    </row>
    <row r="42" spans="1:9" ht="13.5" thickBot="1" x14ac:dyDescent="0.25">
      <c r="A42" s="56"/>
      <c r="B42" s="42" t="s">
        <v>238</v>
      </c>
      <c r="C42" s="86">
        <v>91.49604528334892</v>
      </c>
      <c r="D42" s="86">
        <v>110.59671338645207</v>
      </c>
      <c r="E42" s="86">
        <v>137.30114446592398</v>
      </c>
      <c r="F42" s="44"/>
      <c r="G42" s="57">
        <v>50.062381429409157</v>
      </c>
      <c r="H42" s="46">
        <v>24.145772746573485</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G61" s="53"/>
      <c r="H61" s="208">
        <v>19</v>
      </c>
    </row>
    <row r="62" spans="1:9" ht="12.75" customHeight="1" x14ac:dyDescent="0.2">
      <c r="A62" s="54" t="s">
        <v>240</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3" t="s">
        <v>1</v>
      </c>
      <c r="H5" s="204"/>
    </row>
    <row r="6" spans="1:9" x14ac:dyDescent="0.2">
      <c r="A6" s="12"/>
      <c r="B6" s="13"/>
      <c r="C6" s="14" t="s">
        <v>232</v>
      </c>
      <c r="D6" s="15" t="s">
        <v>233</v>
      </c>
      <c r="E6" s="15" t="s">
        <v>234</v>
      </c>
      <c r="F6" s="16"/>
      <c r="G6" s="17" t="s">
        <v>235</v>
      </c>
      <c r="H6" s="18" t="s">
        <v>236</v>
      </c>
    </row>
    <row r="7" spans="1:9" ht="12.75" customHeight="1" x14ac:dyDescent="0.2">
      <c r="A7" s="205" t="s">
        <v>60</v>
      </c>
      <c r="B7" s="19" t="s">
        <v>3</v>
      </c>
      <c r="C7" s="20">
        <v>27254.799999999999</v>
      </c>
      <c r="D7" s="20">
        <v>27600.996666666666</v>
      </c>
      <c r="E7" s="79">
        <v>26238.999871715772</v>
      </c>
      <c r="F7" s="22" t="s">
        <v>237</v>
      </c>
      <c r="G7" s="23">
        <v>-3.7270503848284591</v>
      </c>
      <c r="H7" s="24">
        <v>-4.9345928025699095</v>
      </c>
    </row>
    <row r="8" spans="1:9" ht="13.7" customHeight="1" thickBot="1" x14ac:dyDescent="0.25">
      <c r="A8" s="211"/>
      <c r="B8" s="42" t="s">
        <v>238</v>
      </c>
      <c r="C8" s="43">
        <v>7597.1933333333336</v>
      </c>
      <c r="D8" s="43">
        <v>7537.45</v>
      </c>
      <c r="E8" s="43">
        <v>7214.3441666666668</v>
      </c>
      <c r="F8" s="44"/>
      <c r="G8" s="57">
        <v>-5.0393500582232633</v>
      </c>
      <c r="H8" s="46">
        <v>-4.2866729906444903</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232</v>
      </c>
      <c r="D34" s="15" t="s">
        <v>233</v>
      </c>
      <c r="E34" s="15" t="s">
        <v>234</v>
      </c>
      <c r="F34" s="16"/>
      <c r="G34" s="17" t="s">
        <v>235</v>
      </c>
      <c r="H34" s="18" t="s">
        <v>236</v>
      </c>
    </row>
    <row r="35" spans="1:9" ht="12.75" customHeight="1" x14ac:dyDescent="0.2">
      <c r="A35" s="205" t="s">
        <v>60</v>
      </c>
      <c r="B35" s="19" t="s">
        <v>3</v>
      </c>
      <c r="C35" s="80">
        <v>750.93103671113693</v>
      </c>
      <c r="D35" s="80">
        <v>790.99551165503703</v>
      </c>
      <c r="E35" s="81">
        <v>1013.0787758380881</v>
      </c>
      <c r="F35" s="22" t="s">
        <v>237</v>
      </c>
      <c r="G35" s="23">
        <v>34.909695606015077</v>
      </c>
      <c r="H35" s="24">
        <v>28.076425328681808</v>
      </c>
    </row>
    <row r="36" spans="1:9" ht="12.75" customHeight="1" thickBot="1" x14ac:dyDescent="0.25">
      <c r="A36" s="211"/>
      <c r="B36" s="42" t="s">
        <v>238</v>
      </c>
      <c r="C36" s="86">
        <v>160.97506029357834</v>
      </c>
      <c r="D36" s="86">
        <v>218.00562808048576</v>
      </c>
      <c r="E36" s="86">
        <v>254.93649516953673</v>
      </c>
      <c r="F36" s="44"/>
      <c r="G36" s="57">
        <v>58.370181507990225</v>
      </c>
      <c r="H36" s="46">
        <v>16.940327373298999</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H61" s="200">
        <v>20</v>
      </c>
    </row>
    <row r="62" spans="1:9" ht="12.75" customHeight="1" x14ac:dyDescent="0.2">
      <c r="A62" s="54" t="s">
        <v>240</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116" customWidth="1"/>
    <col min="2" max="2" width="8.140625" style="116" customWidth="1"/>
    <col min="3" max="4" width="10.42578125" style="116" customWidth="1"/>
    <col min="5" max="5" width="9.85546875" style="116" customWidth="1"/>
    <col min="6" max="6" width="1.5703125" style="116" customWidth="1"/>
    <col min="7" max="7" width="7.570312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212</v>
      </c>
      <c r="B4" s="119"/>
      <c r="C4" s="119"/>
      <c r="D4" s="119"/>
      <c r="E4" s="119"/>
      <c r="F4" s="119"/>
      <c r="G4" s="119"/>
      <c r="H4" s="120"/>
    </row>
    <row r="5" spans="1:8" x14ac:dyDescent="0.2">
      <c r="A5" s="121"/>
      <c r="B5" s="122"/>
      <c r="C5" s="123"/>
      <c r="D5" s="122"/>
      <c r="E5" s="124"/>
      <c r="F5" s="125"/>
      <c r="G5" s="214" t="s">
        <v>1</v>
      </c>
      <c r="H5" s="215"/>
    </row>
    <row r="6" spans="1:8" x14ac:dyDescent="0.2">
      <c r="A6" s="126"/>
      <c r="B6" s="127"/>
      <c r="C6" s="128" t="s">
        <v>232</v>
      </c>
      <c r="D6" s="129" t="s">
        <v>233</v>
      </c>
      <c r="E6" s="129" t="s">
        <v>234</v>
      </c>
      <c r="F6" s="130"/>
      <c r="G6" s="131" t="s">
        <v>235</v>
      </c>
      <c r="H6" s="132" t="s">
        <v>236</v>
      </c>
    </row>
    <row r="7" spans="1:8" ht="12.75" customHeight="1" x14ac:dyDescent="0.2">
      <c r="A7" s="216" t="s">
        <v>193</v>
      </c>
      <c r="B7" s="133" t="s">
        <v>3</v>
      </c>
      <c r="C7" s="20">
        <v>6375</v>
      </c>
      <c r="D7" s="20">
        <v>6379</v>
      </c>
      <c r="E7" s="79">
        <v>5710.885150310507</v>
      </c>
      <c r="F7" s="22" t="s">
        <v>237</v>
      </c>
      <c r="G7" s="134">
        <v>-10.417487838266553</v>
      </c>
      <c r="H7" s="135">
        <v>-10.473661227300411</v>
      </c>
    </row>
    <row r="8" spans="1:8" ht="12.75" customHeight="1" x14ac:dyDescent="0.2">
      <c r="A8" s="217"/>
      <c r="B8" s="136" t="s">
        <v>238</v>
      </c>
      <c r="C8" s="26">
        <v>1730</v>
      </c>
      <c r="D8" s="26">
        <v>1924</v>
      </c>
      <c r="E8" s="26">
        <v>1660.7930817610063</v>
      </c>
      <c r="F8" s="27"/>
      <c r="G8" s="137">
        <v>-4.000399898207732</v>
      </c>
      <c r="H8" s="138">
        <v>-13.680193255664946</v>
      </c>
    </row>
    <row r="9" spans="1:8" x14ac:dyDescent="0.2">
      <c r="A9" s="139" t="s">
        <v>194</v>
      </c>
      <c r="B9" s="140" t="s">
        <v>3</v>
      </c>
      <c r="C9" s="20">
        <v>2249</v>
      </c>
      <c r="D9" s="20">
        <v>2198</v>
      </c>
      <c r="E9" s="20">
        <v>1915.4682038017361</v>
      </c>
      <c r="F9" s="22" t="s">
        <v>237</v>
      </c>
      <c r="G9" s="141">
        <v>-14.830226598411016</v>
      </c>
      <c r="H9" s="142">
        <v>-12.8540398634333</v>
      </c>
    </row>
    <row r="10" spans="1:8" x14ac:dyDescent="0.2">
      <c r="A10" s="143"/>
      <c r="B10" s="136" t="s">
        <v>238</v>
      </c>
      <c r="C10" s="26">
        <v>570</v>
      </c>
      <c r="D10" s="26">
        <v>689</v>
      </c>
      <c r="E10" s="26">
        <v>556.50532799999996</v>
      </c>
      <c r="F10" s="27"/>
      <c r="G10" s="144">
        <v>-2.3674863157894777</v>
      </c>
      <c r="H10" s="138">
        <v>-19.229995936139332</v>
      </c>
    </row>
    <row r="11" spans="1:8" x14ac:dyDescent="0.2">
      <c r="A11" s="139" t="s">
        <v>195</v>
      </c>
      <c r="B11" s="140" t="s">
        <v>3</v>
      </c>
      <c r="C11" s="20">
        <v>545</v>
      </c>
      <c r="D11" s="20">
        <v>616</v>
      </c>
      <c r="E11" s="20">
        <v>382.06455087863242</v>
      </c>
      <c r="F11" s="22" t="s">
        <v>237</v>
      </c>
      <c r="G11" s="145">
        <v>-29.896412682819744</v>
      </c>
      <c r="H11" s="142">
        <v>-37.976533948273961</v>
      </c>
    </row>
    <row r="12" spans="1:8" x14ac:dyDescent="0.2">
      <c r="A12" s="143"/>
      <c r="B12" s="136" t="s">
        <v>238</v>
      </c>
      <c r="C12" s="26">
        <v>125</v>
      </c>
      <c r="D12" s="26">
        <v>195</v>
      </c>
      <c r="E12" s="26">
        <v>107.34211999999999</v>
      </c>
      <c r="F12" s="27"/>
      <c r="G12" s="137">
        <v>-14.126304000000005</v>
      </c>
      <c r="H12" s="138">
        <v>-44.952758974358971</v>
      </c>
    </row>
    <row r="13" spans="1:8" x14ac:dyDescent="0.2">
      <c r="A13" s="139" t="s">
        <v>228</v>
      </c>
      <c r="B13" s="140" t="s">
        <v>3</v>
      </c>
      <c r="C13" s="20">
        <v>166</v>
      </c>
      <c r="D13" s="20">
        <v>153</v>
      </c>
      <c r="E13" s="20">
        <v>178.59299464207291</v>
      </c>
      <c r="F13" s="22" t="s">
        <v>237</v>
      </c>
      <c r="G13" s="134">
        <v>7.5861413506463293</v>
      </c>
      <c r="H13" s="135">
        <v>16.727447478479036</v>
      </c>
    </row>
    <row r="14" spans="1:8" x14ac:dyDescent="0.2">
      <c r="A14" s="143"/>
      <c r="B14" s="136" t="s">
        <v>238</v>
      </c>
      <c r="C14" s="26">
        <v>66</v>
      </c>
      <c r="D14" s="26">
        <v>69</v>
      </c>
      <c r="E14" s="26">
        <v>77.091232000000005</v>
      </c>
      <c r="F14" s="27"/>
      <c r="G14" s="146">
        <v>16.804896969696983</v>
      </c>
      <c r="H14" s="135">
        <v>11.726423188405803</v>
      </c>
    </row>
    <row r="15" spans="1:8" x14ac:dyDescent="0.2">
      <c r="A15" s="139" t="s">
        <v>196</v>
      </c>
      <c r="B15" s="140" t="s">
        <v>3</v>
      </c>
      <c r="C15" s="20">
        <v>2468</v>
      </c>
      <c r="D15" s="20">
        <v>2248</v>
      </c>
      <c r="E15" s="20">
        <v>2189.3602093556647</v>
      </c>
      <c r="F15" s="22" t="s">
        <v>237</v>
      </c>
      <c r="G15" s="145">
        <v>-11.290104969381503</v>
      </c>
      <c r="H15" s="142">
        <v>-2.6085316122924951</v>
      </c>
    </row>
    <row r="16" spans="1:8" x14ac:dyDescent="0.2">
      <c r="A16" s="143"/>
      <c r="B16" s="136" t="s">
        <v>238</v>
      </c>
      <c r="C16" s="26">
        <v>700</v>
      </c>
      <c r="D16" s="26">
        <v>638</v>
      </c>
      <c r="E16" s="26">
        <v>621.22807999999998</v>
      </c>
      <c r="F16" s="27"/>
      <c r="G16" s="137">
        <v>-11.253131428571422</v>
      </c>
      <c r="H16" s="138">
        <v>-2.6288275862069099</v>
      </c>
    </row>
    <row r="17" spans="1:9" x14ac:dyDescent="0.2">
      <c r="A17" s="139" t="s">
        <v>197</v>
      </c>
      <c r="B17" s="140" t="s">
        <v>3</v>
      </c>
      <c r="C17" s="20">
        <v>478</v>
      </c>
      <c r="D17" s="20">
        <v>489</v>
      </c>
      <c r="E17" s="20">
        <v>320.93861022318953</v>
      </c>
      <c r="F17" s="22" t="s">
        <v>237</v>
      </c>
      <c r="G17" s="145">
        <v>-32.858031334060769</v>
      </c>
      <c r="H17" s="142">
        <v>-34.368382367445903</v>
      </c>
    </row>
    <row r="18" spans="1:9" x14ac:dyDescent="0.2">
      <c r="A18" s="139"/>
      <c r="B18" s="136" t="s">
        <v>238</v>
      </c>
      <c r="C18" s="26">
        <v>107</v>
      </c>
      <c r="D18" s="26">
        <v>146</v>
      </c>
      <c r="E18" s="26">
        <v>86.228080000000006</v>
      </c>
      <c r="F18" s="27"/>
      <c r="G18" s="137">
        <v>-19.413009345794379</v>
      </c>
      <c r="H18" s="138">
        <v>-40.939671232876705</v>
      </c>
    </row>
    <row r="19" spans="1:9" x14ac:dyDescent="0.2">
      <c r="A19" s="147" t="s">
        <v>198</v>
      </c>
      <c r="B19" s="140" t="s">
        <v>3</v>
      </c>
      <c r="C19" s="20">
        <v>34</v>
      </c>
      <c r="D19" s="20">
        <v>20</v>
      </c>
      <c r="E19" s="20">
        <v>37.054017454545452</v>
      </c>
      <c r="F19" s="22" t="s">
        <v>237</v>
      </c>
      <c r="G19" s="134">
        <v>8.982404278074867</v>
      </c>
      <c r="H19" s="135">
        <v>85.270087272727267</v>
      </c>
    </row>
    <row r="20" spans="1:9" x14ac:dyDescent="0.2">
      <c r="A20" s="143"/>
      <c r="B20" s="136" t="s">
        <v>238</v>
      </c>
      <c r="C20" s="26">
        <v>11</v>
      </c>
      <c r="D20" s="26">
        <v>5</v>
      </c>
      <c r="E20" s="26">
        <v>10.022807999999999</v>
      </c>
      <c r="F20" s="27"/>
      <c r="G20" s="146">
        <v>-8.8835636363636468</v>
      </c>
      <c r="H20" s="135">
        <v>100.45615999999998</v>
      </c>
    </row>
    <row r="21" spans="1:9" x14ac:dyDescent="0.2">
      <c r="A21" s="147" t="s">
        <v>199</v>
      </c>
      <c r="B21" s="140" t="s">
        <v>3</v>
      </c>
      <c r="C21" s="20">
        <v>17</v>
      </c>
      <c r="D21" s="20">
        <v>13</v>
      </c>
      <c r="E21" s="20">
        <v>43.054485777777778</v>
      </c>
      <c r="F21" s="22" t="s">
        <v>237</v>
      </c>
      <c r="G21" s="145">
        <v>153.26168104575163</v>
      </c>
      <c r="H21" s="142">
        <v>231.18835213675214</v>
      </c>
    </row>
    <row r="22" spans="1:9" x14ac:dyDescent="0.2">
      <c r="A22" s="143"/>
      <c r="B22" s="136" t="s">
        <v>238</v>
      </c>
      <c r="C22" s="26">
        <v>2</v>
      </c>
      <c r="D22" s="26">
        <v>2</v>
      </c>
      <c r="E22" s="26">
        <v>6.0076026666666671</v>
      </c>
      <c r="F22" s="27"/>
      <c r="G22" s="137">
        <v>200.38013333333333</v>
      </c>
      <c r="H22" s="138">
        <v>200.38013333333333</v>
      </c>
    </row>
    <row r="23" spans="1:9" x14ac:dyDescent="0.2">
      <c r="A23" s="147" t="s">
        <v>200</v>
      </c>
      <c r="B23" s="140" t="s">
        <v>3</v>
      </c>
      <c r="C23" s="20">
        <v>396</v>
      </c>
      <c r="D23" s="20">
        <v>454</v>
      </c>
      <c r="E23" s="20">
        <v>440.08129983050839</v>
      </c>
      <c r="F23" s="22" t="s">
        <v>237</v>
      </c>
      <c r="G23" s="145">
        <v>11.131641371340507</v>
      </c>
      <c r="H23" s="142">
        <v>-3.0657929888748043</v>
      </c>
    </row>
    <row r="24" spans="1:9" x14ac:dyDescent="0.2">
      <c r="A24" s="143"/>
      <c r="B24" s="136" t="s">
        <v>238</v>
      </c>
      <c r="C24" s="26">
        <v>72</v>
      </c>
      <c r="D24" s="26">
        <v>118</v>
      </c>
      <c r="E24" s="26">
        <v>100.05701999999999</v>
      </c>
      <c r="F24" s="27"/>
      <c r="G24" s="137">
        <v>38.968083333333311</v>
      </c>
      <c r="H24" s="138">
        <v>-15.205915254237283</v>
      </c>
    </row>
    <row r="25" spans="1:9" x14ac:dyDescent="0.2">
      <c r="A25" s="139" t="s">
        <v>24</v>
      </c>
      <c r="B25" s="140" t="s">
        <v>3</v>
      </c>
      <c r="C25" s="20">
        <v>1581</v>
      </c>
      <c r="D25" s="20">
        <v>1553</v>
      </c>
      <c r="E25" s="20">
        <v>1776.9048137193761</v>
      </c>
      <c r="F25" s="22" t="s">
        <v>237</v>
      </c>
      <c r="G25" s="134">
        <v>12.391196313686038</v>
      </c>
      <c r="H25" s="135">
        <v>14.417566884699042</v>
      </c>
      <c r="I25" s="148"/>
    </row>
    <row r="26" spans="1:9" ht="13.5" thickBot="1" x14ac:dyDescent="0.25">
      <c r="A26" s="149"/>
      <c r="B26" s="150" t="s">
        <v>238</v>
      </c>
      <c r="C26" s="43">
        <v>449</v>
      </c>
      <c r="D26" s="43">
        <v>478</v>
      </c>
      <c r="E26" s="43">
        <v>532.05701999999997</v>
      </c>
      <c r="F26" s="44"/>
      <c r="G26" s="151">
        <v>18.498222717149204</v>
      </c>
      <c r="H26" s="152">
        <v>11.308999999999997</v>
      </c>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213</v>
      </c>
      <c r="B32" s="119"/>
      <c r="C32" s="119"/>
      <c r="D32" s="119"/>
      <c r="E32" s="119"/>
      <c r="F32" s="119"/>
      <c r="G32" s="119"/>
      <c r="H32" s="120"/>
    </row>
    <row r="33" spans="1:8" x14ac:dyDescent="0.2">
      <c r="A33" s="121"/>
      <c r="B33" s="122"/>
      <c r="C33" s="218" t="s">
        <v>16</v>
      </c>
      <c r="D33" s="214"/>
      <c r="E33" s="214"/>
      <c r="F33" s="219"/>
      <c r="G33" s="214" t="s">
        <v>1</v>
      </c>
      <c r="H33" s="215"/>
    </row>
    <row r="34" spans="1:8" x14ac:dyDescent="0.2">
      <c r="A34" s="126"/>
      <c r="B34" s="127"/>
      <c r="C34" s="128" t="s">
        <v>232</v>
      </c>
      <c r="D34" s="129" t="s">
        <v>233</v>
      </c>
      <c r="E34" s="129" t="s">
        <v>234</v>
      </c>
      <c r="F34" s="130"/>
      <c r="G34" s="131" t="s">
        <v>235</v>
      </c>
      <c r="H34" s="132" t="s">
        <v>236</v>
      </c>
    </row>
    <row r="35" spans="1:8" ht="12.75" customHeight="1" x14ac:dyDescent="0.2">
      <c r="A35" s="216" t="s">
        <v>193</v>
      </c>
      <c r="B35" s="133" t="s">
        <v>3</v>
      </c>
      <c r="C35" s="80">
        <v>1135.0357251820456</v>
      </c>
      <c r="D35" s="80">
        <v>1443.9436886190495</v>
      </c>
      <c r="E35" s="81">
        <v>1719.5298940318726</v>
      </c>
      <c r="F35" s="22" t="s">
        <v>237</v>
      </c>
      <c r="G35" s="134">
        <v>51.495662725160628</v>
      </c>
      <c r="H35" s="135">
        <v>19.085661552105719</v>
      </c>
    </row>
    <row r="36" spans="1:8" ht="12.75" customHeight="1" x14ac:dyDescent="0.2">
      <c r="A36" s="217"/>
      <c r="B36" s="136" t="s">
        <v>238</v>
      </c>
      <c r="C36" s="82">
        <v>280.10127821508109</v>
      </c>
      <c r="D36" s="82">
        <v>371.52526909084611</v>
      </c>
      <c r="E36" s="82">
        <v>436.23363324952504</v>
      </c>
      <c r="F36" s="27"/>
      <c r="G36" s="137">
        <v>55.741393266529371</v>
      </c>
      <c r="H36" s="138">
        <v>17.416948332215938</v>
      </c>
    </row>
    <row r="37" spans="1:8" x14ac:dyDescent="0.2">
      <c r="A37" s="139" t="s">
        <v>194</v>
      </c>
      <c r="B37" s="140" t="s">
        <v>3</v>
      </c>
      <c r="C37" s="80">
        <v>554.71764030581426</v>
      </c>
      <c r="D37" s="80">
        <v>688.24224737866768</v>
      </c>
      <c r="E37" s="80">
        <v>789.65144491754154</v>
      </c>
      <c r="F37" s="22" t="s">
        <v>237</v>
      </c>
      <c r="G37" s="141">
        <v>42.351962068884063</v>
      </c>
      <c r="H37" s="142">
        <v>14.734520864581427</v>
      </c>
    </row>
    <row r="38" spans="1:8" x14ac:dyDescent="0.2">
      <c r="A38" s="143"/>
      <c r="B38" s="136" t="s">
        <v>238</v>
      </c>
      <c r="C38" s="82">
        <v>153.66422628980763</v>
      </c>
      <c r="D38" s="82">
        <v>196.37369406527384</v>
      </c>
      <c r="E38" s="82">
        <v>223.07694905493398</v>
      </c>
      <c r="F38" s="27"/>
      <c r="G38" s="144">
        <v>45.171686632004622</v>
      </c>
      <c r="H38" s="138">
        <v>13.598183359928086</v>
      </c>
    </row>
    <row r="39" spans="1:8" x14ac:dyDescent="0.2">
      <c r="A39" s="139" t="s">
        <v>195</v>
      </c>
      <c r="B39" s="140" t="s">
        <v>3</v>
      </c>
      <c r="C39" s="80">
        <v>74.505171291976794</v>
      </c>
      <c r="D39" s="80">
        <v>109.81435476733347</v>
      </c>
      <c r="E39" s="80">
        <v>109.90884603259876</v>
      </c>
      <c r="F39" s="22" t="s">
        <v>237</v>
      </c>
      <c r="G39" s="145">
        <v>47.518412650686003</v>
      </c>
      <c r="H39" s="142">
        <v>8.604636931619325E-2</v>
      </c>
    </row>
    <row r="40" spans="1:8" x14ac:dyDescent="0.2">
      <c r="A40" s="143"/>
      <c r="B40" s="136" t="s">
        <v>238</v>
      </c>
      <c r="C40" s="82">
        <v>17.296826186225957</v>
      </c>
      <c r="D40" s="82">
        <v>29.629155883159232</v>
      </c>
      <c r="E40" s="82">
        <v>28.133579644366751</v>
      </c>
      <c r="F40" s="27"/>
      <c r="G40" s="137">
        <v>62.651687318049511</v>
      </c>
      <c r="H40" s="138">
        <v>-5.0476505125228499</v>
      </c>
    </row>
    <row r="41" spans="1:8" x14ac:dyDescent="0.2">
      <c r="A41" s="139" t="s">
        <v>228</v>
      </c>
      <c r="B41" s="140" t="s">
        <v>3</v>
      </c>
      <c r="C41" s="80">
        <v>101.38107377481737</v>
      </c>
      <c r="D41" s="80">
        <v>139.54863849828595</v>
      </c>
      <c r="E41" s="80">
        <v>181.17679531097534</v>
      </c>
      <c r="F41" s="22" t="s">
        <v>237</v>
      </c>
      <c r="G41" s="134">
        <v>78.708696372062803</v>
      </c>
      <c r="H41" s="135">
        <v>29.830571806833291</v>
      </c>
    </row>
    <row r="42" spans="1:8" x14ac:dyDescent="0.2">
      <c r="A42" s="143"/>
      <c r="B42" s="136" t="s">
        <v>238</v>
      </c>
      <c r="C42" s="82">
        <v>27.963216847815925</v>
      </c>
      <c r="D42" s="82">
        <v>36.982735279701537</v>
      </c>
      <c r="E42" s="82">
        <v>48.650227510343008</v>
      </c>
      <c r="F42" s="27"/>
      <c r="G42" s="146">
        <v>73.979366448116082</v>
      </c>
      <c r="H42" s="135">
        <v>31.54848375167461</v>
      </c>
    </row>
    <row r="43" spans="1:8" x14ac:dyDescent="0.2">
      <c r="A43" s="139" t="s">
        <v>196</v>
      </c>
      <c r="B43" s="140" t="s">
        <v>3</v>
      </c>
      <c r="C43" s="80">
        <v>38.818838122840567</v>
      </c>
      <c r="D43" s="80">
        <v>54.389097560952479</v>
      </c>
      <c r="E43" s="80">
        <v>67.094469777911101</v>
      </c>
      <c r="F43" s="22" t="s">
        <v>237</v>
      </c>
      <c r="G43" s="145">
        <v>72.839974152738648</v>
      </c>
      <c r="H43" s="142">
        <v>23.360145298825799</v>
      </c>
    </row>
    <row r="44" spans="1:8" x14ac:dyDescent="0.2">
      <c r="A44" s="143"/>
      <c r="B44" s="136" t="s">
        <v>238</v>
      </c>
      <c r="C44" s="82">
        <v>11.59001556158997</v>
      </c>
      <c r="D44" s="82">
        <v>15.011897716542308</v>
      </c>
      <c r="E44" s="82">
        <v>18.997125545976253</v>
      </c>
      <c r="F44" s="27"/>
      <c r="G44" s="137">
        <v>63.909404996261657</v>
      </c>
      <c r="H44" s="138">
        <v>26.547128848622762</v>
      </c>
    </row>
    <row r="45" spans="1:8" x14ac:dyDescent="0.2">
      <c r="A45" s="139" t="s">
        <v>197</v>
      </c>
      <c r="B45" s="140" t="s">
        <v>3</v>
      </c>
      <c r="C45" s="80">
        <v>16.811149084568111</v>
      </c>
      <c r="D45" s="80">
        <v>22.229165078190498</v>
      </c>
      <c r="E45" s="80">
        <v>20.863099843782482</v>
      </c>
      <c r="F45" s="22" t="s">
        <v>237</v>
      </c>
      <c r="G45" s="145">
        <v>24.102759060853757</v>
      </c>
      <c r="H45" s="142">
        <v>-6.1453735648771186</v>
      </c>
    </row>
    <row r="46" spans="1:8" x14ac:dyDescent="0.2">
      <c r="A46" s="139"/>
      <c r="B46" s="136" t="s">
        <v>238</v>
      </c>
      <c r="C46" s="82">
        <v>3.1317270523179936</v>
      </c>
      <c r="D46" s="82">
        <v>5.0803251533084612</v>
      </c>
      <c r="E46" s="82">
        <v>4.4329550391952504</v>
      </c>
      <c r="F46" s="27"/>
      <c r="G46" s="137">
        <v>41.549853008873612</v>
      </c>
      <c r="H46" s="138">
        <v>-12.742690567583537</v>
      </c>
    </row>
    <row r="47" spans="1:8" x14ac:dyDescent="0.2">
      <c r="A47" s="147" t="s">
        <v>198</v>
      </c>
      <c r="B47" s="140" t="s">
        <v>3</v>
      </c>
      <c r="C47" s="80">
        <v>7.9401496045681137</v>
      </c>
      <c r="D47" s="80">
        <v>10.160402538190496</v>
      </c>
      <c r="E47" s="80">
        <v>15.643421015646181</v>
      </c>
      <c r="F47" s="22" t="s">
        <v>237</v>
      </c>
      <c r="G47" s="134">
        <v>97.016703648080295</v>
      </c>
      <c r="H47" s="135">
        <v>53.964579226525188</v>
      </c>
    </row>
    <row r="48" spans="1:8" x14ac:dyDescent="0.2">
      <c r="A48" s="143"/>
      <c r="B48" s="136" t="s">
        <v>238</v>
      </c>
      <c r="C48" s="82">
        <v>2.1783833123179939</v>
      </c>
      <c r="D48" s="82">
        <v>2.6103439833084616</v>
      </c>
      <c r="E48" s="82">
        <v>4.1059937491952496</v>
      </c>
      <c r="F48" s="27"/>
      <c r="G48" s="146">
        <v>88.488119881257546</v>
      </c>
      <c r="H48" s="135">
        <v>57.297037304299522</v>
      </c>
    </row>
    <row r="49" spans="1:9" x14ac:dyDescent="0.2">
      <c r="A49" s="147" t="s">
        <v>199</v>
      </c>
      <c r="B49" s="140" t="s">
        <v>3</v>
      </c>
      <c r="C49" s="80">
        <v>6.4212137045681139</v>
      </c>
      <c r="D49" s="80">
        <v>9.1592425381904974</v>
      </c>
      <c r="E49" s="80">
        <v>13.542716934995743</v>
      </c>
      <c r="F49" s="22" t="s">
        <v>237</v>
      </c>
      <c r="G49" s="145">
        <v>110.90587477817974</v>
      </c>
      <c r="H49" s="142">
        <v>47.858481512285039</v>
      </c>
    </row>
    <row r="50" spans="1:9" x14ac:dyDescent="0.2">
      <c r="A50" s="143"/>
      <c r="B50" s="136" t="s">
        <v>238</v>
      </c>
      <c r="C50" s="82">
        <v>1.4876173123179937</v>
      </c>
      <c r="D50" s="82">
        <v>2.2907699833084614</v>
      </c>
      <c r="E50" s="82">
        <v>3.2995897491952499</v>
      </c>
      <c r="F50" s="27"/>
      <c r="G50" s="137">
        <v>121.80366696955517</v>
      </c>
      <c r="H50" s="138">
        <v>44.03845751592192</v>
      </c>
    </row>
    <row r="51" spans="1:9" x14ac:dyDescent="0.2">
      <c r="A51" s="147" t="s">
        <v>200</v>
      </c>
      <c r="B51" s="140" t="s">
        <v>3</v>
      </c>
      <c r="C51" s="80">
        <v>118.30875302284059</v>
      </c>
      <c r="D51" s="80">
        <v>158.73555769095248</v>
      </c>
      <c r="E51" s="80">
        <v>173.97231707095906</v>
      </c>
      <c r="F51" s="22" t="s">
        <v>237</v>
      </c>
      <c r="G51" s="145">
        <v>47.049404736243048</v>
      </c>
      <c r="H51" s="142">
        <v>9.5988319199857841</v>
      </c>
    </row>
    <row r="52" spans="1:9" x14ac:dyDescent="0.2">
      <c r="A52" s="143"/>
      <c r="B52" s="136" t="s">
        <v>238</v>
      </c>
      <c r="C52" s="82">
        <v>20.140443561589969</v>
      </c>
      <c r="D52" s="82">
        <v>30.182340916542305</v>
      </c>
      <c r="E52" s="82">
        <v>31.838517745976251</v>
      </c>
      <c r="F52" s="27"/>
      <c r="G52" s="137">
        <v>58.082505226924553</v>
      </c>
      <c r="H52" s="138">
        <v>5.4872378322591544</v>
      </c>
    </row>
    <row r="53" spans="1:9" x14ac:dyDescent="0.2">
      <c r="A53" s="139" t="s">
        <v>24</v>
      </c>
      <c r="B53" s="140" t="s">
        <v>3</v>
      </c>
      <c r="C53" s="80">
        <v>216.13173627005128</v>
      </c>
      <c r="D53" s="80">
        <v>251.66498256828595</v>
      </c>
      <c r="E53" s="80">
        <v>356.20346704612626</v>
      </c>
      <c r="F53" s="22" t="s">
        <v>237</v>
      </c>
      <c r="G53" s="134">
        <v>64.808497443919464</v>
      </c>
      <c r="H53" s="135">
        <v>41.538748621682089</v>
      </c>
      <c r="I53" s="148"/>
    </row>
    <row r="54" spans="1:9" ht="13.5" thickBot="1" x14ac:dyDescent="0.25">
      <c r="A54" s="149"/>
      <c r="B54" s="150" t="s">
        <v>238</v>
      </c>
      <c r="C54" s="86">
        <v>42.648822091097628</v>
      </c>
      <c r="D54" s="86">
        <v>53.364006109701528</v>
      </c>
      <c r="E54" s="86">
        <v>73.698695210343004</v>
      </c>
      <c r="F54" s="44"/>
      <c r="G54" s="151">
        <v>72.803588931302812</v>
      </c>
      <c r="H54" s="152">
        <v>38.105626962936441</v>
      </c>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239</v>
      </c>
      <c r="G61" s="163"/>
      <c r="H61" s="212">
        <v>21</v>
      </c>
    </row>
    <row r="62" spans="1:9" ht="12.75" customHeight="1" x14ac:dyDescent="0.2">
      <c r="A62" s="162" t="s">
        <v>240</v>
      </c>
      <c r="G62" s="163"/>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116" customWidth="1"/>
    <col min="2" max="2" width="8.140625" style="116" customWidth="1"/>
    <col min="3" max="4" width="10.42578125" style="116" customWidth="1"/>
    <col min="5" max="5" width="9.85546875" style="116" customWidth="1"/>
    <col min="6" max="6" width="1.5703125" style="116" customWidth="1"/>
    <col min="7" max="7" width="7.570312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214</v>
      </c>
      <c r="B4" s="119"/>
      <c r="C4" s="119"/>
      <c r="D4" s="119"/>
      <c r="E4" s="119"/>
      <c r="F4" s="119"/>
      <c r="G4" s="119"/>
      <c r="H4" s="120"/>
    </row>
    <row r="5" spans="1:8" x14ac:dyDescent="0.2">
      <c r="A5" s="121"/>
      <c r="B5" s="122"/>
      <c r="C5" s="123"/>
      <c r="D5" s="122"/>
      <c r="E5" s="124"/>
      <c r="F5" s="125"/>
      <c r="G5" s="214" t="s">
        <v>1</v>
      </c>
      <c r="H5" s="215"/>
    </row>
    <row r="6" spans="1:8" x14ac:dyDescent="0.2">
      <c r="A6" s="126"/>
      <c r="B6" s="127"/>
      <c r="C6" s="128" t="s">
        <v>232</v>
      </c>
      <c r="D6" s="129" t="s">
        <v>233</v>
      </c>
      <c r="E6" s="129" t="s">
        <v>234</v>
      </c>
      <c r="F6" s="130"/>
      <c r="G6" s="131" t="s">
        <v>235</v>
      </c>
      <c r="H6" s="132" t="s">
        <v>236</v>
      </c>
    </row>
    <row r="7" spans="1:8" ht="12.75" customHeight="1" x14ac:dyDescent="0.2">
      <c r="A7" s="216" t="s">
        <v>201</v>
      </c>
      <c r="B7" s="133" t="s">
        <v>3</v>
      </c>
      <c r="C7" s="20">
        <v>1628</v>
      </c>
      <c r="D7" s="20">
        <v>1472</v>
      </c>
      <c r="E7" s="79">
        <v>1717.7560569016653</v>
      </c>
      <c r="F7" s="22" t="s">
        <v>237</v>
      </c>
      <c r="G7" s="134">
        <v>5.5132713084560976</v>
      </c>
      <c r="H7" s="135">
        <v>16.695384300384859</v>
      </c>
    </row>
    <row r="8" spans="1:8" ht="12.75" customHeight="1" x14ac:dyDescent="0.2">
      <c r="A8" s="217"/>
      <c r="B8" s="136" t="s">
        <v>238</v>
      </c>
      <c r="C8" s="26">
        <v>324</v>
      </c>
      <c r="D8" s="26">
        <v>433</v>
      </c>
      <c r="E8" s="26">
        <v>435.8397727272727</v>
      </c>
      <c r="F8" s="27"/>
      <c r="G8" s="137">
        <v>34.51844837261504</v>
      </c>
      <c r="H8" s="138">
        <v>0.65583665756874154</v>
      </c>
    </row>
    <row r="9" spans="1:8" x14ac:dyDescent="0.2">
      <c r="A9" s="139" t="s">
        <v>202</v>
      </c>
      <c r="B9" s="140" t="s">
        <v>3</v>
      </c>
      <c r="C9" s="20">
        <v>545</v>
      </c>
      <c r="D9" s="20">
        <v>477</v>
      </c>
      <c r="E9" s="20">
        <v>480.3218976807957</v>
      </c>
      <c r="F9" s="22" t="s">
        <v>237</v>
      </c>
      <c r="G9" s="141">
        <v>-11.867541709945741</v>
      </c>
      <c r="H9" s="142">
        <v>0.69641460813328138</v>
      </c>
    </row>
    <row r="10" spans="1:8" x14ac:dyDescent="0.2">
      <c r="A10" s="143"/>
      <c r="B10" s="136" t="s">
        <v>238</v>
      </c>
      <c r="C10" s="26">
        <v>110</v>
      </c>
      <c r="D10" s="26">
        <v>163</v>
      </c>
      <c r="E10" s="26">
        <v>133.33255</v>
      </c>
      <c r="F10" s="27"/>
      <c r="G10" s="144">
        <v>21.211409090909086</v>
      </c>
      <c r="H10" s="138">
        <v>-18.20088957055215</v>
      </c>
    </row>
    <row r="11" spans="1:8" x14ac:dyDescent="0.2">
      <c r="A11" s="139" t="s">
        <v>203</v>
      </c>
      <c r="B11" s="140" t="s">
        <v>3</v>
      </c>
      <c r="C11" s="20">
        <v>145</v>
      </c>
      <c r="D11" s="20">
        <v>121</v>
      </c>
      <c r="E11" s="20">
        <v>130.06621076923074</v>
      </c>
      <c r="F11" s="22" t="s">
        <v>237</v>
      </c>
      <c r="G11" s="145">
        <v>-10.299164986737424</v>
      </c>
      <c r="H11" s="142">
        <v>7.4927361729179722</v>
      </c>
    </row>
    <row r="12" spans="1:8" x14ac:dyDescent="0.2">
      <c r="A12" s="143"/>
      <c r="B12" s="136" t="s">
        <v>238</v>
      </c>
      <c r="C12" s="26">
        <v>39</v>
      </c>
      <c r="D12" s="26">
        <v>30</v>
      </c>
      <c r="E12" s="26">
        <v>33.110849999999999</v>
      </c>
      <c r="F12" s="27"/>
      <c r="G12" s="137">
        <v>-15.100384615384627</v>
      </c>
      <c r="H12" s="138">
        <v>10.369499999999988</v>
      </c>
    </row>
    <row r="13" spans="1:8" x14ac:dyDescent="0.2">
      <c r="A13" s="139" t="s">
        <v>204</v>
      </c>
      <c r="B13" s="140" t="s">
        <v>3</v>
      </c>
      <c r="C13" s="20">
        <v>61</v>
      </c>
      <c r="D13" s="20">
        <v>66</v>
      </c>
      <c r="E13" s="20">
        <v>57.824649509803926</v>
      </c>
      <c r="F13" s="22" t="s">
        <v>237</v>
      </c>
      <c r="G13" s="134">
        <v>-5.2054926068788205</v>
      </c>
      <c r="H13" s="135">
        <v>-12.386894682115269</v>
      </c>
    </row>
    <row r="14" spans="1:8" x14ac:dyDescent="0.2">
      <c r="A14" s="143"/>
      <c r="B14" s="136" t="s">
        <v>238</v>
      </c>
      <c r="C14" s="26">
        <v>17</v>
      </c>
      <c r="D14" s="26">
        <v>22</v>
      </c>
      <c r="E14" s="26">
        <v>18.092375000000001</v>
      </c>
      <c r="F14" s="27"/>
      <c r="G14" s="146">
        <v>6.4257352941176578</v>
      </c>
      <c r="H14" s="135">
        <v>-17.761931818181822</v>
      </c>
    </row>
    <row r="15" spans="1:8" x14ac:dyDescent="0.2">
      <c r="A15" s="139" t="s">
        <v>205</v>
      </c>
      <c r="B15" s="140" t="s">
        <v>3</v>
      </c>
      <c r="C15" s="20">
        <v>10</v>
      </c>
      <c r="D15" s="20">
        <v>7</v>
      </c>
      <c r="E15" s="20">
        <v>6.1901250000000001</v>
      </c>
      <c r="F15" s="22" t="s">
        <v>237</v>
      </c>
      <c r="G15" s="145">
        <v>-38.098750000000003</v>
      </c>
      <c r="H15" s="142">
        <v>-11.569642857142853</v>
      </c>
    </row>
    <row r="16" spans="1:8" x14ac:dyDescent="0.2">
      <c r="A16" s="143"/>
      <c r="B16" s="136" t="s">
        <v>238</v>
      </c>
      <c r="C16" s="26">
        <v>1</v>
      </c>
      <c r="D16" s="26">
        <v>2</v>
      </c>
      <c r="E16" s="26">
        <v>1.0923750000000001</v>
      </c>
      <c r="F16" s="27"/>
      <c r="G16" s="137">
        <v>9.2375000000000114</v>
      </c>
      <c r="H16" s="138">
        <v>-45.381249999999994</v>
      </c>
    </row>
    <row r="17" spans="1:9" x14ac:dyDescent="0.2">
      <c r="A17" s="139" t="s">
        <v>206</v>
      </c>
      <c r="B17" s="140" t="s">
        <v>3</v>
      </c>
      <c r="C17" s="20">
        <v>69</v>
      </c>
      <c r="D17" s="20">
        <v>68</v>
      </c>
      <c r="E17" s="20">
        <v>58.779398682336186</v>
      </c>
      <c r="F17" s="22" t="s">
        <v>237</v>
      </c>
      <c r="G17" s="145">
        <v>-14.812465677773645</v>
      </c>
      <c r="H17" s="142">
        <v>-13.559707820093848</v>
      </c>
    </row>
    <row r="18" spans="1:9" x14ac:dyDescent="0.2">
      <c r="A18" s="143"/>
      <c r="B18" s="136" t="s">
        <v>238</v>
      </c>
      <c r="C18" s="26">
        <v>13</v>
      </c>
      <c r="D18" s="26">
        <v>27</v>
      </c>
      <c r="E18" s="26">
        <v>17.046187500000002</v>
      </c>
      <c r="F18" s="27"/>
      <c r="G18" s="137">
        <v>31.124519230769238</v>
      </c>
      <c r="H18" s="138">
        <v>-36.865972222222211</v>
      </c>
    </row>
    <row r="19" spans="1:9" x14ac:dyDescent="0.2">
      <c r="A19" s="139" t="s">
        <v>207</v>
      </c>
      <c r="B19" s="140" t="s">
        <v>3</v>
      </c>
      <c r="C19" s="20">
        <v>809</v>
      </c>
      <c r="D19" s="20">
        <v>775</v>
      </c>
      <c r="E19" s="20">
        <v>1086.2966800514216</v>
      </c>
      <c r="F19" s="22" t="s">
        <v>237</v>
      </c>
      <c r="G19" s="134">
        <v>34.276474666430346</v>
      </c>
      <c r="H19" s="135">
        <v>40.167313555022133</v>
      </c>
    </row>
    <row r="20" spans="1:9" ht="13.5" thickBot="1" x14ac:dyDescent="0.25">
      <c r="A20" s="149"/>
      <c r="B20" s="150" t="s">
        <v>238</v>
      </c>
      <c r="C20" s="43">
        <v>145</v>
      </c>
      <c r="D20" s="43">
        <v>190</v>
      </c>
      <c r="E20" s="43">
        <v>237.23093750000001</v>
      </c>
      <c r="F20" s="44"/>
      <c r="G20" s="151">
        <v>63.607543103448279</v>
      </c>
      <c r="H20" s="152">
        <v>24.858388157894737</v>
      </c>
    </row>
    <row r="25" spans="1:9" x14ac:dyDescent="0.2">
      <c r="I25" s="148"/>
    </row>
    <row r="26" spans="1:9" x14ac:dyDescent="0.2">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215</v>
      </c>
      <c r="B32" s="119"/>
      <c r="C32" s="119"/>
      <c r="D32" s="119"/>
      <c r="E32" s="119"/>
      <c r="F32" s="119"/>
      <c r="G32" s="119"/>
      <c r="H32" s="120"/>
    </row>
    <row r="33" spans="1:8" x14ac:dyDescent="0.2">
      <c r="A33" s="121"/>
      <c r="B33" s="122"/>
      <c r="C33" s="218" t="s">
        <v>16</v>
      </c>
      <c r="D33" s="214"/>
      <c r="E33" s="214"/>
      <c r="F33" s="219"/>
      <c r="G33" s="214" t="s">
        <v>1</v>
      </c>
      <c r="H33" s="215"/>
    </row>
    <row r="34" spans="1:8" x14ac:dyDescent="0.2">
      <c r="A34" s="126"/>
      <c r="B34" s="127"/>
      <c r="C34" s="128" t="s">
        <v>232</v>
      </c>
      <c r="D34" s="129" t="s">
        <v>233</v>
      </c>
      <c r="E34" s="129" t="s">
        <v>234</v>
      </c>
      <c r="F34" s="130"/>
      <c r="G34" s="131" t="s">
        <v>235</v>
      </c>
      <c r="H34" s="132" t="s">
        <v>236</v>
      </c>
    </row>
    <row r="35" spans="1:8" ht="12.75" customHeight="1" x14ac:dyDescent="0.2">
      <c r="A35" s="216" t="s">
        <v>201</v>
      </c>
      <c r="B35" s="133" t="s">
        <v>3</v>
      </c>
      <c r="C35" s="80">
        <v>454.12308686202277</v>
      </c>
      <c r="D35" s="80">
        <v>590.18061211961322</v>
      </c>
      <c r="E35" s="81">
        <v>528.18219874205101</v>
      </c>
      <c r="F35" s="22" t="s">
        <v>237</v>
      </c>
      <c r="G35" s="134">
        <v>16.308158299498615</v>
      </c>
      <c r="H35" s="135">
        <v>-10.504989846226394</v>
      </c>
    </row>
    <row r="36" spans="1:8" ht="12.75" customHeight="1" x14ac:dyDescent="0.2">
      <c r="A36" s="217"/>
      <c r="B36" s="136" t="s">
        <v>238</v>
      </c>
      <c r="C36" s="82">
        <v>124.44408206001876</v>
      </c>
      <c r="D36" s="82">
        <v>198.64649855446476</v>
      </c>
      <c r="E36" s="82">
        <v>165.20781349782061</v>
      </c>
      <c r="F36" s="27"/>
      <c r="G36" s="137">
        <v>32.756665293365813</v>
      </c>
      <c r="H36" s="138">
        <v>-16.833261748872943</v>
      </c>
    </row>
    <row r="37" spans="1:8" x14ac:dyDescent="0.2">
      <c r="A37" s="139" t="s">
        <v>202</v>
      </c>
      <c r="B37" s="140" t="s">
        <v>3</v>
      </c>
      <c r="C37" s="80">
        <v>231.35037240273275</v>
      </c>
      <c r="D37" s="80">
        <v>292.01322818698333</v>
      </c>
      <c r="E37" s="80">
        <v>279.06638472486952</v>
      </c>
      <c r="F37" s="22" t="s">
        <v>237</v>
      </c>
      <c r="G37" s="141">
        <v>20.62499914159342</v>
      </c>
      <c r="H37" s="142">
        <v>-4.4336496474822695</v>
      </c>
    </row>
    <row r="38" spans="1:8" x14ac:dyDescent="0.2">
      <c r="A38" s="143"/>
      <c r="B38" s="136" t="s">
        <v>238</v>
      </c>
      <c r="C38" s="82">
        <v>60.168202313610507</v>
      </c>
      <c r="D38" s="82">
        <v>101.02500083050029</v>
      </c>
      <c r="E38" s="82">
        <v>86.972065538779532</v>
      </c>
      <c r="F38" s="27"/>
      <c r="G38" s="144">
        <v>44.548220147015741</v>
      </c>
      <c r="H38" s="138">
        <v>-13.910354047211314</v>
      </c>
    </row>
    <row r="39" spans="1:8" x14ac:dyDescent="0.2">
      <c r="A39" s="139" t="s">
        <v>203</v>
      </c>
      <c r="B39" s="140" t="s">
        <v>3</v>
      </c>
      <c r="C39" s="80">
        <v>51.983363836543866</v>
      </c>
      <c r="D39" s="80">
        <v>76.889624110334225</v>
      </c>
      <c r="E39" s="80">
        <v>90.051156723718847</v>
      </c>
      <c r="F39" s="22" t="s">
        <v>237</v>
      </c>
      <c r="G39" s="145">
        <v>73.230722442039507</v>
      </c>
      <c r="H39" s="142">
        <v>17.117436540589964</v>
      </c>
    </row>
    <row r="40" spans="1:8" x14ac:dyDescent="0.2">
      <c r="A40" s="143"/>
      <c r="B40" s="136" t="s">
        <v>238</v>
      </c>
      <c r="C40" s="82">
        <v>16.565601220203192</v>
      </c>
      <c r="D40" s="82">
        <v>24.406503984259018</v>
      </c>
      <c r="E40" s="82">
        <v>28.621653404629502</v>
      </c>
      <c r="F40" s="27"/>
      <c r="G40" s="137">
        <v>72.777631334761992</v>
      </c>
      <c r="H40" s="138">
        <v>17.270598948087951</v>
      </c>
    </row>
    <row r="41" spans="1:8" x14ac:dyDescent="0.2">
      <c r="A41" s="139" t="s">
        <v>204</v>
      </c>
      <c r="B41" s="140" t="s">
        <v>3</v>
      </c>
      <c r="C41" s="80">
        <v>24.609239050341593</v>
      </c>
      <c r="D41" s="80">
        <v>39.094210398372923</v>
      </c>
      <c r="E41" s="80">
        <v>21.120698148911963</v>
      </c>
      <c r="F41" s="22" t="s">
        <v>237</v>
      </c>
      <c r="G41" s="134">
        <v>-14.175736577199075</v>
      </c>
      <c r="H41" s="135">
        <v>-45.974869594012844</v>
      </c>
    </row>
    <row r="42" spans="1:8" x14ac:dyDescent="0.2">
      <c r="A42" s="143"/>
      <c r="B42" s="136" t="s">
        <v>238</v>
      </c>
      <c r="C42" s="82">
        <v>10.723775914201315</v>
      </c>
      <c r="D42" s="82">
        <v>16.874680228812537</v>
      </c>
      <c r="E42" s="82">
        <v>9.145395754847442</v>
      </c>
      <c r="F42" s="27"/>
      <c r="G42" s="146">
        <v>-14.718511203350033</v>
      </c>
      <c r="H42" s="135">
        <v>-45.80403521228088</v>
      </c>
    </row>
    <row r="43" spans="1:8" x14ac:dyDescent="0.2">
      <c r="A43" s="139" t="s">
        <v>205</v>
      </c>
      <c r="B43" s="140" t="s">
        <v>3</v>
      </c>
      <c r="C43" s="80">
        <v>3.7942195786202273</v>
      </c>
      <c r="D43" s="80">
        <v>4.1513737711961305</v>
      </c>
      <c r="E43" s="80">
        <v>4.4829847323608742</v>
      </c>
      <c r="F43" s="22" t="s">
        <v>237</v>
      </c>
      <c r="G43" s="145">
        <v>18.153012483033919</v>
      </c>
      <c r="H43" s="142">
        <v>7.987981315139379</v>
      </c>
    </row>
    <row r="44" spans="1:8" x14ac:dyDescent="0.2">
      <c r="A44" s="143"/>
      <c r="B44" s="136" t="s">
        <v>238</v>
      </c>
      <c r="C44" s="82">
        <v>1.0528251306001877</v>
      </c>
      <c r="D44" s="82">
        <v>1.797576175544648</v>
      </c>
      <c r="E44" s="82">
        <v>1.6355879649782059</v>
      </c>
      <c r="F44" s="27"/>
      <c r="G44" s="137">
        <v>55.352291414795616</v>
      </c>
      <c r="H44" s="138">
        <v>-9.011479611836819</v>
      </c>
    </row>
    <row r="45" spans="1:8" x14ac:dyDescent="0.2">
      <c r="A45" s="139" t="s">
        <v>206</v>
      </c>
      <c r="B45" s="140" t="s">
        <v>3</v>
      </c>
      <c r="C45" s="80">
        <v>29.722355893101138</v>
      </c>
      <c r="D45" s="80">
        <v>31.627181855980655</v>
      </c>
      <c r="E45" s="80">
        <v>23.392402054837479</v>
      </c>
      <c r="F45" s="22" t="s">
        <v>237</v>
      </c>
      <c r="G45" s="145">
        <v>-21.296945171607035</v>
      </c>
      <c r="H45" s="142">
        <v>-26.037033076932175</v>
      </c>
    </row>
    <row r="46" spans="1:8" x14ac:dyDescent="0.2">
      <c r="A46" s="143"/>
      <c r="B46" s="136" t="s">
        <v>238</v>
      </c>
      <c r="C46" s="82">
        <v>7.0961256530009376</v>
      </c>
      <c r="D46" s="82">
        <v>11.705670877723239</v>
      </c>
      <c r="E46" s="82">
        <v>7.3160168248910304</v>
      </c>
      <c r="F46" s="27"/>
      <c r="G46" s="137">
        <v>3.0987496930399203</v>
      </c>
      <c r="H46" s="138">
        <v>-37.500234704070202</v>
      </c>
    </row>
    <row r="47" spans="1:8" x14ac:dyDescent="0.2">
      <c r="A47" s="139" t="s">
        <v>207</v>
      </c>
      <c r="B47" s="140" t="s">
        <v>3</v>
      </c>
      <c r="C47" s="80">
        <v>112.66353610068319</v>
      </c>
      <c r="D47" s="80">
        <v>146.40499379674583</v>
      </c>
      <c r="E47" s="80">
        <v>112.85503798700969</v>
      </c>
      <c r="F47" s="22" t="s">
        <v>237</v>
      </c>
      <c r="G47" s="134">
        <v>0.16997681144621879</v>
      </c>
      <c r="H47" s="135">
        <v>-22.915854807735286</v>
      </c>
    </row>
    <row r="48" spans="1:8" ht="13.5" thickBot="1" x14ac:dyDescent="0.25">
      <c r="A48" s="149"/>
      <c r="B48" s="150" t="s">
        <v>238</v>
      </c>
      <c r="C48" s="86">
        <v>28.837551828402631</v>
      </c>
      <c r="D48" s="86">
        <v>42.83706645762507</v>
      </c>
      <c r="E48" s="86">
        <v>31.517094009694887</v>
      </c>
      <c r="F48" s="44"/>
      <c r="G48" s="151">
        <v>9.29185042210527</v>
      </c>
      <c r="H48" s="152">
        <v>-26.425648122118801</v>
      </c>
    </row>
    <row r="53" spans="1:9" x14ac:dyDescent="0.2">
      <c r="I53" s="148"/>
    </row>
    <row r="54" spans="1:9" x14ac:dyDescent="0.2">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239</v>
      </c>
      <c r="G61" s="163"/>
      <c r="H61" s="212">
        <v>22</v>
      </c>
    </row>
    <row r="62" spans="1:9" ht="12.75" customHeight="1" x14ac:dyDescent="0.2">
      <c r="A62" s="162" t="s">
        <v>240</v>
      </c>
      <c r="G62" s="163"/>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116" customWidth="1"/>
    <col min="2" max="2" width="8.140625" style="116" customWidth="1"/>
    <col min="3" max="4" width="10.42578125" style="116" customWidth="1"/>
    <col min="5" max="5" width="9.85546875" style="116" customWidth="1"/>
    <col min="6" max="6" width="1.5703125" style="116" customWidth="1"/>
    <col min="7" max="7" width="7.570312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216</v>
      </c>
      <c r="B4" s="119"/>
      <c r="C4" s="119"/>
      <c r="D4" s="119"/>
      <c r="E4" s="119"/>
      <c r="F4" s="119"/>
      <c r="G4" s="119"/>
      <c r="H4" s="120"/>
    </row>
    <row r="5" spans="1:8" x14ac:dyDescent="0.2">
      <c r="A5" s="121"/>
      <c r="B5" s="122"/>
      <c r="C5" s="123"/>
      <c r="D5" s="122"/>
      <c r="E5" s="124"/>
      <c r="F5" s="125"/>
      <c r="G5" s="214" t="s">
        <v>1</v>
      </c>
      <c r="H5" s="215"/>
    </row>
    <row r="6" spans="1:8" x14ac:dyDescent="0.2">
      <c r="A6" s="126"/>
      <c r="B6" s="127"/>
      <c r="C6" s="128" t="s">
        <v>232</v>
      </c>
      <c r="D6" s="129" t="s">
        <v>233</v>
      </c>
      <c r="E6" s="129" t="s">
        <v>234</v>
      </c>
      <c r="F6" s="130"/>
      <c r="G6" s="131" t="s">
        <v>235</v>
      </c>
      <c r="H6" s="132" t="s">
        <v>236</v>
      </c>
    </row>
    <row r="7" spans="1:8" ht="12.75" customHeight="1" x14ac:dyDescent="0.2">
      <c r="A7" s="216" t="s">
        <v>208</v>
      </c>
      <c r="B7" s="133" t="s">
        <v>3</v>
      </c>
      <c r="C7" s="20">
        <v>335300.03885714285</v>
      </c>
      <c r="D7" s="20">
        <v>343016</v>
      </c>
      <c r="E7" s="79">
        <v>428191.38289586606</v>
      </c>
      <c r="F7" s="22" t="s">
        <v>237</v>
      </c>
      <c r="G7" s="134">
        <v>27.70394669661826</v>
      </c>
      <c r="H7" s="135">
        <v>24.831314835420514</v>
      </c>
    </row>
    <row r="8" spans="1:8" ht="12.75" customHeight="1" x14ac:dyDescent="0.2">
      <c r="A8" s="217"/>
      <c r="B8" s="136" t="s">
        <v>238</v>
      </c>
      <c r="C8" s="26">
        <v>61043.472000000002</v>
      </c>
      <c r="D8" s="26">
        <v>71543.779428571434</v>
      </c>
      <c r="E8" s="26">
        <v>85173.856</v>
      </c>
      <c r="F8" s="27"/>
      <c r="G8" s="137">
        <v>39.529835393373418</v>
      </c>
      <c r="H8" s="138">
        <v>19.051379002190799</v>
      </c>
    </row>
    <row r="9" spans="1:8" x14ac:dyDescent="0.2">
      <c r="A9" s="139" t="s">
        <v>227</v>
      </c>
      <c r="B9" s="140" t="s">
        <v>3</v>
      </c>
      <c r="C9" s="20">
        <v>13975.547999999999</v>
      </c>
      <c r="D9" s="20">
        <v>12932</v>
      </c>
      <c r="E9" s="20">
        <v>12378.791336965043</v>
      </c>
      <c r="F9" s="22" t="s">
        <v>237</v>
      </c>
      <c r="G9" s="141">
        <v>-11.425359943201912</v>
      </c>
      <c r="H9" s="142">
        <v>-4.2778275830107901</v>
      </c>
    </row>
    <row r="10" spans="1:8" x14ac:dyDescent="0.2">
      <c r="A10" s="143"/>
      <c r="B10" s="136" t="s">
        <v>238</v>
      </c>
      <c r="C10" s="26">
        <v>3579.9360000000001</v>
      </c>
      <c r="D10" s="26">
        <v>3314.0540000000001</v>
      </c>
      <c r="E10" s="26">
        <v>3171.828</v>
      </c>
      <c r="F10" s="27"/>
      <c r="G10" s="144">
        <v>-11.399868601002922</v>
      </c>
      <c r="H10" s="138">
        <v>-4.2916017662959121</v>
      </c>
    </row>
    <row r="11" spans="1:8" x14ac:dyDescent="0.2">
      <c r="A11" s="139" t="s">
        <v>230</v>
      </c>
      <c r="B11" s="140" t="s">
        <v>3</v>
      </c>
      <c r="C11" s="20">
        <v>180322.87040000001</v>
      </c>
      <c r="D11" s="20">
        <v>166709</v>
      </c>
      <c r="E11" s="20">
        <v>210902.88256667135</v>
      </c>
      <c r="F11" s="22" t="s">
        <v>237</v>
      </c>
      <c r="G11" s="145">
        <v>16.958476813749385</v>
      </c>
      <c r="H11" s="142">
        <v>26.509596102592752</v>
      </c>
    </row>
    <row r="12" spans="1:8" x14ac:dyDescent="0.2">
      <c r="A12" s="143"/>
      <c r="B12" s="136" t="s">
        <v>238</v>
      </c>
      <c r="C12" s="26">
        <v>29335.572800000002</v>
      </c>
      <c r="D12" s="26">
        <v>32222.859199999999</v>
      </c>
      <c r="E12" s="26">
        <v>38359.574399999998</v>
      </c>
      <c r="F12" s="27"/>
      <c r="G12" s="137">
        <v>30.761293333259886</v>
      </c>
      <c r="H12" s="138">
        <v>19.044601727955907</v>
      </c>
    </row>
    <row r="13" spans="1:8" x14ac:dyDescent="0.2">
      <c r="A13" s="139" t="s">
        <v>209</v>
      </c>
      <c r="B13" s="140" t="s">
        <v>3</v>
      </c>
      <c r="C13" s="20">
        <v>129041.1704</v>
      </c>
      <c r="D13" s="20">
        <v>135318</v>
      </c>
      <c r="E13" s="20">
        <v>157177.94994456679</v>
      </c>
      <c r="F13" s="22" t="s">
        <v>237</v>
      </c>
      <c r="G13" s="134">
        <v>21.804498097272983</v>
      </c>
      <c r="H13" s="135">
        <v>16.154502685944806</v>
      </c>
    </row>
    <row r="14" spans="1:8" x14ac:dyDescent="0.2">
      <c r="A14" s="143"/>
      <c r="B14" s="136" t="s">
        <v>238</v>
      </c>
      <c r="C14" s="26">
        <v>28333.1728</v>
      </c>
      <c r="D14" s="26">
        <v>30283.859199999999</v>
      </c>
      <c r="E14" s="26">
        <v>34951.574399999998</v>
      </c>
      <c r="F14" s="27"/>
      <c r="G14" s="146">
        <v>23.359196821049281</v>
      </c>
      <c r="H14" s="135">
        <v>15.413211272624068</v>
      </c>
    </row>
    <row r="15" spans="1:8" x14ac:dyDescent="0.2">
      <c r="A15" s="139" t="s">
        <v>210</v>
      </c>
      <c r="B15" s="140" t="s">
        <v>3</v>
      </c>
      <c r="C15" s="20">
        <v>14239.4784</v>
      </c>
      <c r="D15" s="20">
        <v>18521</v>
      </c>
      <c r="E15" s="20">
        <v>28455.007953332151</v>
      </c>
      <c r="F15" s="22" t="s">
        <v>237</v>
      </c>
      <c r="G15" s="145">
        <v>99.831813736464909</v>
      </c>
      <c r="H15" s="142">
        <v>53.636455662934793</v>
      </c>
    </row>
    <row r="16" spans="1:8" x14ac:dyDescent="0.2">
      <c r="A16" s="143"/>
      <c r="B16" s="136" t="s">
        <v>238</v>
      </c>
      <c r="C16" s="26">
        <v>2939.4288000000001</v>
      </c>
      <c r="D16" s="26">
        <v>3000.6432</v>
      </c>
      <c r="E16" s="26">
        <v>4966.2623999999996</v>
      </c>
      <c r="F16" s="27"/>
      <c r="G16" s="137">
        <v>68.953315011406261</v>
      </c>
      <c r="H16" s="138">
        <v>65.506595385949254</v>
      </c>
    </row>
    <row r="17" spans="1:9" x14ac:dyDescent="0.2">
      <c r="A17" s="139" t="s">
        <v>211</v>
      </c>
      <c r="B17" s="140" t="s">
        <v>3</v>
      </c>
      <c r="C17" s="20">
        <v>15982.9568</v>
      </c>
      <c r="D17" s="20">
        <v>23038</v>
      </c>
      <c r="E17" s="20">
        <v>26759.905023195646</v>
      </c>
      <c r="F17" s="22" t="s">
        <v>237</v>
      </c>
      <c r="G17" s="134">
        <v>67.427750434735884</v>
      </c>
      <c r="H17" s="135">
        <v>16.155504050679937</v>
      </c>
    </row>
    <row r="18" spans="1:9" ht="13.5" thickBot="1" x14ac:dyDescent="0.25">
      <c r="A18" s="149"/>
      <c r="B18" s="150" t="s">
        <v>238</v>
      </c>
      <c r="C18" s="43">
        <v>3255.8576000000003</v>
      </c>
      <c r="D18" s="43">
        <v>6621.2864</v>
      </c>
      <c r="E18" s="43">
        <v>6764.5248000000001</v>
      </c>
      <c r="F18" s="44"/>
      <c r="G18" s="151">
        <v>107.7647621935308</v>
      </c>
      <c r="H18" s="152">
        <v>2.1633016810751542</v>
      </c>
    </row>
    <row r="25" spans="1:9" x14ac:dyDescent="0.2">
      <c r="I25" s="148"/>
    </row>
    <row r="26" spans="1:9" x14ac:dyDescent="0.2">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217</v>
      </c>
      <c r="B32" s="119"/>
      <c r="C32" s="119"/>
      <c r="D32" s="119"/>
      <c r="E32" s="119"/>
      <c r="F32" s="119"/>
      <c r="G32" s="119"/>
      <c r="H32" s="120"/>
    </row>
    <row r="33" spans="1:8" x14ac:dyDescent="0.2">
      <c r="A33" s="121"/>
      <c r="B33" s="122"/>
      <c r="C33" s="218" t="s">
        <v>16</v>
      </c>
      <c r="D33" s="214"/>
      <c r="E33" s="214"/>
      <c r="F33" s="219"/>
      <c r="G33" s="214" t="s">
        <v>1</v>
      </c>
      <c r="H33" s="215"/>
    </row>
    <row r="34" spans="1:8" x14ac:dyDescent="0.2">
      <c r="A34" s="126"/>
      <c r="B34" s="127"/>
      <c r="C34" s="128" t="s">
        <v>232</v>
      </c>
      <c r="D34" s="129" t="s">
        <v>233</v>
      </c>
      <c r="E34" s="129" t="s">
        <v>234</v>
      </c>
      <c r="F34" s="130"/>
      <c r="G34" s="131" t="s">
        <v>235</v>
      </c>
      <c r="H34" s="132" t="s">
        <v>236</v>
      </c>
    </row>
    <row r="35" spans="1:8" ht="12.75" customHeight="1" x14ac:dyDescent="0.2">
      <c r="A35" s="216" t="s">
        <v>208</v>
      </c>
      <c r="B35" s="133" t="s">
        <v>3</v>
      </c>
      <c r="C35" s="80">
        <v>1333.7987954130613</v>
      </c>
      <c r="D35" s="80">
        <v>1456.5722955892095</v>
      </c>
      <c r="E35" s="81">
        <v>1696.3897344057971</v>
      </c>
      <c r="F35" s="22" t="s">
        <v>237</v>
      </c>
      <c r="G35" s="134">
        <v>27.184830293721006</v>
      </c>
      <c r="H35" s="135">
        <v>16.4645063992225</v>
      </c>
    </row>
    <row r="36" spans="1:8" ht="12.75" customHeight="1" x14ac:dyDescent="0.2">
      <c r="A36" s="217"/>
      <c r="B36" s="136" t="s">
        <v>238</v>
      </c>
      <c r="C36" s="82">
        <v>381.33060114785957</v>
      </c>
      <c r="D36" s="82">
        <v>369.53147691398084</v>
      </c>
      <c r="E36" s="82">
        <v>447.15987373804478</v>
      </c>
      <c r="F36" s="27"/>
      <c r="G36" s="137">
        <v>17.263044820433947</v>
      </c>
      <c r="H36" s="138">
        <v>21.007248820141555</v>
      </c>
    </row>
    <row r="37" spans="1:8" x14ac:dyDescent="0.2">
      <c r="A37" s="139" t="s">
        <v>227</v>
      </c>
      <c r="B37" s="140" t="s">
        <v>3</v>
      </c>
      <c r="C37" s="80">
        <v>384.05710009564029</v>
      </c>
      <c r="D37" s="80">
        <v>443.47556994912514</v>
      </c>
      <c r="E37" s="80">
        <v>521.65363702100035</v>
      </c>
      <c r="F37" s="22" t="s">
        <v>237</v>
      </c>
      <c r="G37" s="141">
        <v>35.827104066321112</v>
      </c>
      <c r="H37" s="142">
        <v>17.628494638575859</v>
      </c>
    </row>
    <row r="38" spans="1:8" x14ac:dyDescent="0.2">
      <c r="A38" s="143"/>
      <c r="B38" s="136" t="s">
        <v>238</v>
      </c>
      <c r="C38" s="82">
        <v>106.06428469707227</v>
      </c>
      <c r="D38" s="82">
        <v>107.07961500495372</v>
      </c>
      <c r="E38" s="82">
        <v>131.46420228653542</v>
      </c>
      <c r="F38" s="27"/>
      <c r="G38" s="144">
        <v>23.947663119595134</v>
      </c>
      <c r="H38" s="138">
        <v>22.772389759202639</v>
      </c>
    </row>
    <row r="39" spans="1:8" x14ac:dyDescent="0.2">
      <c r="A39" s="139" t="s">
        <v>230</v>
      </c>
      <c r="B39" s="140" t="s">
        <v>3</v>
      </c>
      <c r="C39" s="80">
        <v>273.20901626826992</v>
      </c>
      <c r="D39" s="80">
        <v>269.37084535231759</v>
      </c>
      <c r="E39" s="80">
        <v>295.95746104085606</v>
      </c>
      <c r="F39" s="22" t="s">
        <v>237</v>
      </c>
      <c r="G39" s="145">
        <v>8.3263887419619209</v>
      </c>
      <c r="H39" s="142">
        <v>9.869893549082903</v>
      </c>
    </row>
    <row r="40" spans="1:8" x14ac:dyDescent="0.2">
      <c r="A40" s="143"/>
      <c r="B40" s="136" t="s">
        <v>238</v>
      </c>
      <c r="C40" s="82">
        <v>91.513041966964906</v>
      </c>
      <c r="D40" s="82">
        <v>70.338346135994456</v>
      </c>
      <c r="E40" s="82">
        <v>83.409385439510444</v>
      </c>
      <c r="F40" s="27"/>
      <c r="G40" s="137">
        <v>-8.8551930449211653</v>
      </c>
      <c r="H40" s="138">
        <v>18.583091615836423</v>
      </c>
    </row>
    <row r="41" spans="1:8" x14ac:dyDescent="0.2">
      <c r="A41" s="139" t="s">
        <v>209</v>
      </c>
      <c r="B41" s="140" t="s">
        <v>3</v>
      </c>
      <c r="C41" s="80">
        <v>448.97767258984476</v>
      </c>
      <c r="D41" s="80">
        <v>501.75703808684722</v>
      </c>
      <c r="E41" s="80">
        <v>606.50474332012504</v>
      </c>
      <c r="F41" s="22" t="s">
        <v>237</v>
      </c>
      <c r="G41" s="134">
        <v>35.085724824937159</v>
      </c>
      <c r="H41" s="135">
        <v>20.876180557959103</v>
      </c>
    </row>
    <row r="42" spans="1:8" x14ac:dyDescent="0.2">
      <c r="A42" s="143"/>
      <c r="B42" s="136" t="s">
        <v>238</v>
      </c>
      <c r="C42" s="82">
        <v>122.20476957703646</v>
      </c>
      <c r="D42" s="82">
        <v>130.11282495863446</v>
      </c>
      <c r="E42" s="82">
        <v>159.7940076341942</v>
      </c>
      <c r="F42" s="27"/>
      <c r="G42" s="146">
        <v>30.759223381589806</v>
      </c>
      <c r="H42" s="135">
        <v>22.811880907970433</v>
      </c>
    </row>
    <row r="43" spans="1:8" x14ac:dyDescent="0.2">
      <c r="A43" s="139" t="s">
        <v>210</v>
      </c>
      <c r="B43" s="140" t="s">
        <v>3</v>
      </c>
      <c r="C43" s="80">
        <v>82.138112313861384</v>
      </c>
      <c r="D43" s="80">
        <v>98.631765388184178</v>
      </c>
      <c r="E43" s="80">
        <v>135.61563095168117</v>
      </c>
      <c r="F43" s="22" t="s">
        <v>237</v>
      </c>
      <c r="G43" s="145">
        <v>65.106826942253804</v>
      </c>
      <c r="H43" s="142">
        <v>37.496911282019454</v>
      </c>
    </row>
    <row r="44" spans="1:8" x14ac:dyDescent="0.2">
      <c r="A44" s="143"/>
      <c r="B44" s="136" t="s">
        <v>238</v>
      </c>
      <c r="C44" s="82">
        <v>21.161057073357192</v>
      </c>
      <c r="D44" s="82">
        <v>22.867826250879727</v>
      </c>
      <c r="E44" s="82">
        <v>32.527410061561028</v>
      </c>
      <c r="F44" s="27"/>
      <c r="G44" s="137">
        <v>53.713540627016357</v>
      </c>
      <c r="H44" s="138">
        <v>42.240935822702852</v>
      </c>
    </row>
    <row r="45" spans="1:8" x14ac:dyDescent="0.2">
      <c r="A45" s="139" t="s">
        <v>211</v>
      </c>
      <c r="B45" s="140" t="s">
        <v>3</v>
      </c>
      <c r="C45" s="80">
        <v>145.41689414544481</v>
      </c>
      <c r="D45" s="80">
        <v>143.33707681273535</v>
      </c>
      <c r="E45" s="80">
        <v>145.55483635039317</v>
      </c>
      <c r="F45" s="22" t="s">
        <v>237</v>
      </c>
      <c r="G45" s="134">
        <v>9.4859820627448244E-2</v>
      </c>
      <c r="H45" s="135">
        <v>1.5472336864768437</v>
      </c>
    </row>
    <row r="46" spans="1:8" ht="13.5" thickBot="1" x14ac:dyDescent="0.25">
      <c r="A46" s="149"/>
      <c r="B46" s="150" t="s">
        <v>238</v>
      </c>
      <c r="C46" s="86">
        <v>40.387447833428766</v>
      </c>
      <c r="D46" s="86">
        <v>39.132864563518538</v>
      </c>
      <c r="E46" s="86">
        <v>39.964868316243631</v>
      </c>
      <c r="F46" s="44"/>
      <c r="G46" s="151">
        <v>-1.0463139907428598</v>
      </c>
      <c r="H46" s="152">
        <v>2.1260997936264801</v>
      </c>
    </row>
    <row r="53" spans="1:9" x14ac:dyDescent="0.2">
      <c r="I53" s="148"/>
    </row>
    <row r="54" spans="1:9" x14ac:dyDescent="0.2">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239</v>
      </c>
      <c r="G61" s="163"/>
      <c r="H61" s="212">
        <v>23</v>
      </c>
    </row>
    <row r="62" spans="1:9" ht="12.75" customHeight="1" x14ac:dyDescent="0.2">
      <c r="A62" s="162" t="s">
        <v>240</v>
      </c>
      <c r="G62" s="163"/>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3" t="s">
        <v>1</v>
      </c>
      <c r="H5" s="204"/>
    </row>
    <row r="6" spans="1:8" x14ac:dyDescent="0.2">
      <c r="A6" s="12"/>
      <c r="B6" s="13"/>
      <c r="C6" s="14" t="s">
        <v>232</v>
      </c>
      <c r="D6" s="15" t="s">
        <v>233</v>
      </c>
      <c r="E6" s="15" t="s">
        <v>234</v>
      </c>
      <c r="F6" s="16"/>
      <c r="G6" s="17" t="s">
        <v>235</v>
      </c>
      <c r="H6" s="18" t="s">
        <v>236</v>
      </c>
    </row>
    <row r="7" spans="1:8" x14ac:dyDescent="0.2">
      <c r="A7" s="205" t="s">
        <v>61</v>
      </c>
      <c r="B7" s="19" t="s">
        <v>3</v>
      </c>
      <c r="C7" s="20">
        <v>351332</v>
      </c>
      <c r="D7" s="20">
        <v>447542</v>
      </c>
      <c r="E7" s="79">
        <v>112373.12927612438</v>
      </c>
      <c r="F7" s="22" t="s">
        <v>237</v>
      </c>
      <c r="G7" s="23">
        <v>-68.015116961698794</v>
      </c>
      <c r="H7" s="24">
        <v>-74.891042790146088</v>
      </c>
    </row>
    <row r="8" spans="1:8" x14ac:dyDescent="0.2">
      <c r="A8" s="206"/>
      <c r="B8" s="25" t="s">
        <v>238</v>
      </c>
      <c r="C8" s="26">
        <v>81899</v>
      </c>
      <c r="D8" s="26">
        <v>161525</v>
      </c>
      <c r="E8" s="26">
        <v>34290.493589743586</v>
      </c>
      <c r="F8" s="27"/>
      <c r="G8" s="28">
        <v>-58.130754234186519</v>
      </c>
      <c r="H8" s="29">
        <v>-78.770782485842076</v>
      </c>
    </row>
    <row r="9" spans="1:8" x14ac:dyDescent="0.2">
      <c r="A9" s="30" t="s">
        <v>62</v>
      </c>
      <c r="B9" s="31" t="s">
        <v>3</v>
      </c>
      <c r="C9" s="20">
        <v>103744</v>
      </c>
      <c r="D9" s="20">
        <v>68338</v>
      </c>
      <c r="E9" s="21">
        <v>39554.494089132073</v>
      </c>
      <c r="F9" s="22" t="s">
        <v>237</v>
      </c>
      <c r="G9" s="32">
        <v>-61.872981484103107</v>
      </c>
      <c r="H9" s="33">
        <v>-42.119327330135391</v>
      </c>
    </row>
    <row r="10" spans="1:8" x14ac:dyDescent="0.2">
      <c r="A10" s="34"/>
      <c r="B10" s="25" t="s">
        <v>238</v>
      </c>
      <c r="C10" s="26">
        <v>21029</v>
      </c>
      <c r="D10" s="26">
        <v>21833</v>
      </c>
      <c r="E10" s="26">
        <v>10601.160416666666</v>
      </c>
      <c r="F10" s="27"/>
      <c r="G10" s="35">
        <v>-49.587900439076208</v>
      </c>
      <c r="H10" s="29">
        <v>-51.444325485885287</v>
      </c>
    </row>
    <row r="11" spans="1:8" x14ac:dyDescent="0.2">
      <c r="A11" s="30" t="s">
        <v>47</v>
      </c>
      <c r="B11" s="31" t="s">
        <v>3</v>
      </c>
      <c r="C11" s="20">
        <v>12745</v>
      </c>
      <c r="D11" s="20">
        <v>12266</v>
      </c>
      <c r="E11" s="21">
        <v>9612.7246125854454</v>
      </c>
      <c r="F11" s="22" t="s">
        <v>237</v>
      </c>
      <c r="G11" s="37">
        <v>-24.576503628203653</v>
      </c>
      <c r="H11" s="33">
        <v>-21.631138002727496</v>
      </c>
    </row>
    <row r="12" spans="1:8" x14ac:dyDescent="0.2">
      <c r="A12" s="34"/>
      <c r="B12" s="25" t="s">
        <v>238</v>
      </c>
      <c r="C12" s="26">
        <v>3358</v>
      </c>
      <c r="D12" s="26">
        <v>3468</v>
      </c>
      <c r="E12" s="26">
        <v>2653.1934027777779</v>
      </c>
      <c r="F12" s="27"/>
      <c r="G12" s="28">
        <v>-20.988880203163248</v>
      </c>
      <c r="H12" s="29">
        <v>-23.494999919902597</v>
      </c>
    </row>
    <row r="13" spans="1:8" x14ac:dyDescent="0.2">
      <c r="A13" s="30" t="s">
        <v>48</v>
      </c>
      <c r="B13" s="31" t="s">
        <v>3</v>
      </c>
      <c r="C13" s="20">
        <v>103618</v>
      </c>
      <c r="D13" s="20">
        <v>97572</v>
      </c>
      <c r="E13" s="21">
        <v>18112.343745409606</v>
      </c>
      <c r="F13" s="22" t="s">
        <v>237</v>
      </c>
      <c r="G13" s="23">
        <v>-82.520079768563761</v>
      </c>
      <c r="H13" s="24">
        <v>-81.436945286137814</v>
      </c>
    </row>
    <row r="14" spans="1:8" x14ac:dyDescent="0.2">
      <c r="A14" s="34"/>
      <c r="B14" s="25" t="s">
        <v>238</v>
      </c>
      <c r="C14" s="26">
        <v>26196</v>
      </c>
      <c r="D14" s="26">
        <v>40158</v>
      </c>
      <c r="E14" s="26">
        <v>6164.229166666667</v>
      </c>
      <c r="F14" s="27"/>
      <c r="G14" s="38">
        <v>-76.468815213518596</v>
      </c>
      <c r="H14" s="24">
        <v>-84.65005934890516</v>
      </c>
    </row>
    <row r="15" spans="1:8" x14ac:dyDescent="0.2">
      <c r="A15" s="30" t="s">
        <v>49</v>
      </c>
      <c r="B15" s="31" t="s">
        <v>3</v>
      </c>
      <c r="C15" s="20">
        <v>86209</v>
      </c>
      <c r="D15" s="20">
        <v>292729</v>
      </c>
      <c r="E15" s="21">
        <v>62811.597784875048</v>
      </c>
      <c r="F15" s="22" t="s">
        <v>237</v>
      </c>
      <c r="G15" s="37">
        <v>-27.140324345630901</v>
      </c>
      <c r="H15" s="33">
        <v>-78.542748485843546</v>
      </c>
    </row>
    <row r="16" spans="1:8" x14ac:dyDescent="0.2">
      <c r="A16" s="34"/>
      <c r="B16" s="25" t="s">
        <v>238</v>
      </c>
      <c r="C16" s="26">
        <v>20379</v>
      </c>
      <c r="D16" s="26">
        <v>79613</v>
      </c>
      <c r="E16" s="26">
        <v>16266.696250000001</v>
      </c>
      <c r="F16" s="27"/>
      <c r="G16" s="28">
        <v>-20.179124343687121</v>
      </c>
      <c r="H16" s="29">
        <v>-79.567788866139949</v>
      </c>
    </row>
    <row r="17" spans="1:9" x14ac:dyDescent="0.2">
      <c r="A17" s="30" t="s">
        <v>50</v>
      </c>
      <c r="B17" s="31" t="s">
        <v>3</v>
      </c>
      <c r="C17" s="20">
        <v>59651</v>
      </c>
      <c r="D17" s="20">
        <v>52061</v>
      </c>
      <c r="E17" s="21">
        <v>12617.652088472259</v>
      </c>
      <c r="F17" s="22" t="s">
        <v>237</v>
      </c>
      <c r="G17" s="37">
        <v>-78.847543061353107</v>
      </c>
      <c r="H17" s="33">
        <v>-75.763715471327373</v>
      </c>
    </row>
    <row r="18" spans="1:9" ht="13.5" thickBot="1" x14ac:dyDescent="0.25">
      <c r="A18" s="56"/>
      <c r="B18" s="42" t="s">
        <v>238</v>
      </c>
      <c r="C18" s="43">
        <v>14021</v>
      </c>
      <c r="D18" s="43">
        <v>19560</v>
      </c>
      <c r="E18" s="43">
        <v>3952.2320833333333</v>
      </c>
      <c r="F18" s="44"/>
      <c r="G18" s="57">
        <v>-71.812052754202028</v>
      </c>
      <c r="H18" s="46">
        <v>-79.794314502385816</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232</v>
      </c>
      <c r="D34" s="15" t="s">
        <v>233</v>
      </c>
      <c r="E34" s="15" t="s">
        <v>234</v>
      </c>
      <c r="F34" s="16"/>
      <c r="G34" s="17" t="s">
        <v>235</v>
      </c>
      <c r="H34" s="18" t="s">
        <v>236</v>
      </c>
    </row>
    <row r="35" spans="1:9" ht="12.75" customHeight="1" x14ac:dyDescent="0.2">
      <c r="A35" s="205" t="s">
        <v>61</v>
      </c>
      <c r="B35" s="19" t="s">
        <v>3</v>
      </c>
      <c r="C35" s="80">
        <v>2298.9281077959999</v>
      </c>
      <c r="D35" s="80">
        <v>2302.5662864483884</v>
      </c>
      <c r="E35" s="81">
        <v>256.72379076686997</v>
      </c>
      <c r="F35" s="22" t="s">
        <v>237</v>
      </c>
      <c r="G35" s="23">
        <v>-88.832891733487344</v>
      </c>
      <c r="H35" s="24">
        <v>-88.850536365541274</v>
      </c>
    </row>
    <row r="36" spans="1:9" ht="12.75" customHeight="1" x14ac:dyDescent="0.2">
      <c r="A36" s="206"/>
      <c r="B36" s="25" t="s">
        <v>238</v>
      </c>
      <c r="C36" s="82">
        <v>669.81500735484803</v>
      </c>
      <c r="D36" s="82">
        <v>1302.9366576102257</v>
      </c>
      <c r="E36" s="82">
        <v>110.55182730182817</v>
      </c>
      <c r="F36" s="27"/>
      <c r="G36" s="28">
        <v>-83.495170145798014</v>
      </c>
      <c r="H36" s="29">
        <v>-91.515180215698578</v>
      </c>
    </row>
    <row r="37" spans="1:9" x14ac:dyDescent="0.2">
      <c r="A37" s="30" t="s">
        <v>62</v>
      </c>
      <c r="B37" s="31" t="s">
        <v>3</v>
      </c>
      <c r="C37" s="80">
        <v>340.69064907730876</v>
      </c>
      <c r="D37" s="80">
        <v>163.35888456341641</v>
      </c>
      <c r="E37" s="83">
        <v>49.178592824470186</v>
      </c>
      <c r="F37" s="22" t="s">
        <v>237</v>
      </c>
      <c r="G37" s="32">
        <v>-85.565030047739668</v>
      </c>
      <c r="H37" s="33">
        <v>-69.895366905875932</v>
      </c>
    </row>
    <row r="38" spans="1:9" x14ac:dyDescent="0.2">
      <c r="A38" s="34"/>
      <c r="B38" s="25" t="s">
        <v>238</v>
      </c>
      <c r="C38" s="82">
        <v>78.978501291833467</v>
      </c>
      <c r="D38" s="82">
        <v>98.573144805481931</v>
      </c>
      <c r="E38" s="82">
        <v>19.340877902940672</v>
      </c>
      <c r="F38" s="27"/>
      <c r="G38" s="35">
        <v>-75.511211802469901</v>
      </c>
      <c r="H38" s="29">
        <v>-80.37916113855681</v>
      </c>
    </row>
    <row r="39" spans="1:9" x14ac:dyDescent="0.2">
      <c r="A39" s="30" t="s">
        <v>47</v>
      </c>
      <c r="B39" s="31" t="s">
        <v>3</v>
      </c>
      <c r="C39" s="80">
        <v>228.75983207302215</v>
      </c>
      <c r="D39" s="80">
        <v>175.90463846252987</v>
      </c>
      <c r="E39" s="83">
        <v>49.216957268760012</v>
      </c>
      <c r="F39" s="22" t="s">
        <v>237</v>
      </c>
      <c r="G39" s="37">
        <v>-78.485315003619377</v>
      </c>
      <c r="H39" s="33">
        <v>-72.020659773992321</v>
      </c>
    </row>
    <row r="40" spans="1:9" x14ac:dyDescent="0.2">
      <c r="A40" s="34"/>
      <c r="B40" s="25" t="s">
        <v>238</v>
      </c>
      <c r="C40" s="82">
        <v>100.314446577922</v>
      </c>
      <c r="D40" s="82">
        <v>144.89815818354555</v>
      </c>
      <c r="E40" s="82">
        <v>31.359008023924648</v>
      </c>
      <c r="F40" s="27"/>
      <c r="G40" s="28">
        <v>-68.739290208249642</v>
      </c>
      <c r="H40" s="29">
        <v>-78.357897424616311</v>
      </c>
    </row>
    <row r="41" spans="1:9" x14ac:dyDescent="0.2">
      <c r="A41" s="30" t="s">
        <v>48</v>
      </c>
      <c r="B41" s="31" t="s">
        <v>3</v>
      </c>
      <c r="C41" s="80">
        <v>1066.8003560881793</v>
      </c>
      <c r="D41" s="80">
        <v>483.38381541670367</v>
      </c>
      <c r="E41" s="83">
        <v>46.763734967153503</v>
      </c>
      <c r="F41" s="22" t="s">
        <v>237</v>
      </c>
      <c r="G41" s="23">
        <v>-95.616449254045051</v>
      </c>
      <c r="H41" s="24">
        <v>-90.325754922754172</v>
      </c>
    </row>
    <row r="42" spans="1:9" x14ac:dyDescent="0.2">
      <c r="A42" s="34"/>
      <c r="B42" s="25" t="s">
        <v>238</v>
      </c>
      <c r="C42" s="82">
        <v>317.80348779972945</v>
      </c>
      <c r="D42" s="82">
        <v>386.0520154747723</v>
      </c>
      <c r="E42" s="82">
        <v>23.936253579938025</v>
      </c>
      <c r="F42" s="27"/>
      <c r="G42" s="38">
        <v>-92.468221873316267</v>
      </c>
      <c r="H42" s="24">
        <v>-93.799733553909604</v>
      </c>
    </row>
    <row r="43" spans="1:9" x14ac:dyDescent="0.2">
      <c r="A43" s="30" t="s">
        <v>49</v>
      </c>
      <c r="B43" s="31" t="s">
        <v>3</v>
      </c>
      <c r="C43" s="80">
        <v>496.37535018128119</v>
      </c>
      <c r="D43" s="80">
        <v>1242.5624347699079</v>
      </c>
      <c r="E43" s="83">
        <v>73.042373033785637</v>
      </c>
      <c r="F43" s="22" t="s">
        <v>237</v>
      </c>
      <c r="G43" s="37">
        <v>-85.284850867975251</v>
      </c>
      <c r="H43" s="33">
        <v>-94.121633570283223</v>
      </c>
    </row>
    <row r="44" spans="1:9" x14ac:dyDescent="0.2">
      <c r="A44" s="34"/>
      <c r="B44" s="25" t="s">
        <v>238</v>
      </c>
      <c r="C44" s="82">
        <v>129.05138177965543</v>
      </c>
      <c r="D44" s="82">
        <v>577.60419330408081</v>
      </c>
      <c r="E44" s="82">
        <v>26.890692180583276</v>
      </c>
      <c r="F44" s="27"/>
      <c r="G44" s="28">
        <v>-79.162801816026345</v>
      </c>
      <c r="H44" s="29">
        <v>-95.344443047277764</v>
      </c>
    </row>
    <row r="45" spans="1:9" x14ac:dyDescent="0.2">
      <c r="A45" s="30" t="s">
        <v>50</v>
      </c>
      <c r="B45" s="31" t="s">
        <v>3</v>
      </c>
      <c r="C45" s="80">
        <v>166.30192037620884</v>
      </c>
      <c r="D45" s="80">
        <v>237.35651323583053</v>
      </c>
      <c r="E45" s="83">
        <v>26.362532827873032</v>
      </c>
      <c r="F45" s="22" t="s">
        <v>237</v>
      </c>
      <c r="G45" s="37">
        <v>-84.14778809033858</v>
      </c>
      <c r="H45" s="33">
        <v>-88.893275997157915</v>
      </c>
    </row>
    <row r="46" spans="1:9" ht="13.5" thickBot="1" x14ac:dyDescent="0.25">
      <c r="A46" s="56"/>
      <c r="B46" s="42" t="s">
        <v>238</v>
      </c>
      <c r="C46" s="86">
        <v>43.667189905707865</v>
      </c>
      <c r="D46" s="86">
        <v>95.809145842344989</v>
      </c>
      <c r="E46" s="86">
        <v>9.024995614441556</v>
      </c>
      <c r="F46" s="44"/>
      <c r="G46" s="57">
        <v>-79.332318763974612</v>
      </c>
      <c r="H46" s="46">
        <v>-90.58023580620133</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G61" s="53"/>
      <c r="H61" s="208">
        <v>24</v>
      </c>
    </row>
    <row r="62" spans="1:9" ht="12.75" customHeight="1" x14ac:dyDescent="0.2">
      <c r="A62" s="54" t="s">
        <v>240</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3" t="s">
        <v>1</v>
      </c>
      <c r="H5" s="204"/>
    </row>
    <row r="6" spans="1:8" x14ac:dyDescent="0.2">
      <c r="A6" s="12"/>
      <c r="B6" s="13"/>
      <c r="C6" s="14" t="s">
        <v>232</v>
      </c>
      <c r="D6" s="15" t="s">
        <v>233</v>
      </c>
      <c r="E6" s="15" t="s">
        <v>234</v>
      </c>
      <c r="F6" s="16"/>
      <c r="G6" s="17" t="s">
        <v>235</v>
      </c>
      <c r="H6" s="18" t="s">
        <v>236</v>
      </c>
    </row>
    <row r="7" spans="1:8" x14ac:dyDescent="0.2">
      <c r="A7" s="205" t="s">
        <v>51</v>
      </c>
      <c r="B7" s="19" t="s">
        <v>3</v>
      </c>
      <c r="C7" s="20">
        <v>10785.192019950126</v>
      </c>
      <c r="D7" s="20">
        <v>13466</v>
      </c>
      <c r="E7" s="79">
        <v>12298.97680103231</v>
      </c>
      <c r="F7" s="22" t="s">
        <v>237</v>
      </c>
      <c r="G7" s="23">
        <v>14.035770325479888</v>
      </c>
      <c r="H7" s="24">
        <v>-8.6664428855464877</v>
      </c>
    </row>
    <row r="8" spans="1:8" x14ac:dyDescent="0.2">
      <c r="A8" s="206"/>
      <c r="B8" s="25" t="s">
        <v>238</v>
      </c>
      <c r="C8" s="26">
        <v>1566.1477556109726</v>
      </c>
      <c r="D8" s="26">
        <v>1428.2980049875312</v>
      </c>
      <c r="E8" s="26">
        <v>1433.3104738154614</v>
      </c>
      <c r="F8" s="27"/>
      <c r="G8" s="28">
        <v>-8.4817847690041077</v>
      </c>
      <c r="H8" s="29">
        <v>0.3509399866433256</v>
      </c>
    </row>
    <row r="9" spans="1:8" x14ac:dyDescent="0.2">
      <c r="A9" s="30" t="s">
        <v>12</v>
      </c>
      <c r="B9" s="31" t="s">
        <v>3</v>
      </c>
      <c r="C9" s="20">
        <v>308.33100000000002</v>
      </c>
      <c r="D9" s="20">
        <v>369.60399999999998</v>
      </c>
      <c r="E9" s="21">
        <v>185.72985967630456</v>
      </c>
      <c r="F9" s="22" t="s">
        <v>237</v>
      </c>
      <c r="G9" s="32">
        <v>-39.762832904798884</v>
      </c>
      <c r="H9" s="33">
        <v>-49.748958432185638</v>
      </c>
    </row>
    <row r="10" spans="1:8" x14ac:dyDescent="0.2">
      <c r="A10" s="34"/>
      <c r="B10" s="25" t="s">
        <v>238</v>
      </c>
      <c r="C10" s="26">
        <v>37.286625000000001</v>
      </c>
      <c r="D10" s="26">
        <v>44.332749999999997</v>
      </c>
      <c r="E10" s="26">
        <v>22.338249999999999</v>
      </c>
      <c r="F10" s="27"/>
      <c r="G10" s="35">
        <v>-40.090447982352927</v>
      </c>
      <c r="H10" s="29">
        <v>-49.612306928850572</v>
      </c>
    </row>
    <row r="11" spans="1:8" x14ac:dyDescent="0.2">
      <c r="A11" s="30" t="s">
        <v>18</v>
      </c>
      <c r="B11" s="31" t="s">
        <v>3</v>
      </c>
      <c r="C11" s="20">
        <v>294.5324</v>
      </c>
      <c r="D11" s="20">
        <v>315.64159999999998</v>
      </c>
      <c r="E11" s="21">
        <v>369.54782659319062</v>
      </c>
      <c r="F11" s="22" t="s">
        <v>237</v>
      </c>
      <c r="G11" s="37">
        <v>25.469329212402656</v>
      </c>
      <c r="H11" s="33">
        <v>17.078302287528203</v>
      </c>
    </row>
    <row r="12" spans="1:8" x14ac:dyDescent="0.2">
      <c r="A12" s="34"/>
      <c r="B12" s="25" t="s">
        <v>238</v>
      </c>
      <c r="C12" s="26">
        <v>58.114649999999997</v>
      </c>
      <c r="D12" s="26">
        <v>26.133099999999999</v>
      </c>
      <c r="E12" s="26">
        <v>37.935299999999998</v>
      </c>
      <c r="F12" s="27"/>
      <c r="G12" s="28">
        <v>-34.723344285821227</v>
      </c>
      <c r="H12" s="29">
        <v>45.161882822933364</v>
      </c>
    </row>
    <row r="13" spans="1:8" x14ac:dyDescent="0.2">
      <c r="A13" s="30" t="s">
        <v>63</v>
      </c>
      <c r="B13" s="31" t="s">
        <v>3</v>
      </c>
      <c r="C13" s="20">
        <v>1188.99125</v>
      </c>
      <c r="D13" s="20">
        <v>1446.0149999999999</v>
      </c>
      <c r="E13" s="21">
        <v>1193.7901988652713</v>
      </c>
      <c r="F13" s="22" t="s">
        <v>237</v>
      </c>
      <c r="G13" s="23">
        <v>0.403615154045184</v>
      </c>
      <c r="H13" s="24">
        <v>-17.442751363902076</v>
      </c>
    </row>
    <row r="14" spans="1:8" x14ac:dyDescent="0.2">
      <c r="A14" s="34"/>
      <c r="B14" s="25" t="s">
        <v>238</v>
      </c>
      <c r="C14" s="26">
        <v>144.07484375000001</v>
      </c>
      <c r="D14" s="26">
        <v>177.24781250000001</v>
      </c>
      <c r="E14" s="26">
        <v>145.7684375</v>
      </c>
      <c r="F14" s="27"/>
      <c r="G14" s="38">
        <v>1.1754958089274226</v>
      </c>
      <c r="H14" s="24">
        <v>-17.76009224373361</v>
      </c>
    </row>
    <row r="15" spans="1:8" x14ac:dyDescent="0.2">
      <c r="A15" s="30" t="s">
        <v>52</v>
      </c>
      <c r="B15" s="31" t="s">
        <v>3</v>
      </c>
      <c r="C15" s="20">
        <v>5801.2924999999996</v>
      </c>
      <c r="D15" s="20">
        <v>7391.07</v>
      </c>
      <c r="E15" s="21">
        <v>7586.6173787252101</v>
      </c>
      <c r="F15" s="22" t="s">
        <v>237</v>
      </c>
      <c r="G15" s="37">
        <v>30.774605464647948</v>
      </c>
      <c r="H15" s="33">
        <v>2.6457248913243916</v>
      </c>
    </row>
    <row r="16" spans="1:8" x14ac:dyDescent="0.2">
      <c r="A16" s="34"/>
      <c r="B16" s="25" t="s">
        <v>238</v>
      </c>
      <c r="C16" s="26">
        <v>738.01593750000006</v>
      </c>
      <c r="D16" s="26">
        <v>732.823125</v>
      </c>
      <c r="E16" s="26">
        <v>811.91937499999995</v>
      </c>
      <c r="F16" s="27"/>
      <c r="G16" s="28">
        <v>10.013799668113506</v>
      </c>
      <c r="H16" s="29">
        <v>10.7933616314305</v>
      </c>
    </row>
    <row r="17" spans="1:9" x14ac:dyDescent="0.2">
      <c r="A17" s="30" t="s">
        <v>50</v>
      </c>
      <c r="B17" s="31" t="s">
        <v>3</v>
      </c>
      <c r="C17" s="20">
        <v>3958.6549999999997</v>
      </c>
      <c r="D17" s="20">
        <v>5109.0200000000004</v>
      </c>
      <c r="E17" s="21">
        <v>4491.1353075655588</v>
      </c>
      <c r="F17" s="22" t="s">
        <v>237</v>
      </c>
      <c r="G17" s="37">
        <v>13.451041011797173</v>
      </c>
      <c r="H17" s="33">
        <v>-12.09399635222492</v>
      </c>
    </row>
    <row r="18" spans="1:9" ht="13.5" thickBot="1" x14ac:dyDescent="0.25">
      <c r="A18" s="56"/>
      <c r="B18" s="42" t="s">
        <v>238</v>
      </c>
      <c r="C18" s="43">
        <v>629.43312500000002</v>
      </c>
      <c r="D18" s="43">
        <v>491.66374999999999</v>
      </c>
      <c r="E18" s="43">
        <v>497.69124999999997</v>
      </c>
      <c r="F18" s="44"/>
      <c r="G18" s="57">
        <v>-20.930241794948429</v>
      </c>
      <c r="H18" s="46">
        <v>1.225939475912142</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232</v>
      </c>
      <c r="D34" s="15" t="s">
        <v>233</v>
      </c>
      <c r="E34" s="15" t="s">
        <v>234</v>
      </c>
      <c r="F34" s="16"/>
      <c r="G34" s="17" t="s">
        <v>235</v>
      </c>
      <c r="H34" s="18" t="s">
        <v>236</v>
      </c>
    </row>
    <row r="35" spans="1:9" ht="12.75" customHeight="1" x14ac:dyDescent="0.2">
      <c r="A35" s="205" t="s">
        <v>51</v>
      </c>
      <c r="B35" s="19" t="s">
        <v>3</v>
      </c>
      <c r="C35" s="80">
        <v>506.53855755591945</v>
      </c>
      <c r="D35" s="80">
        <v>607.81922434697947</v>
      </c>
      <c r="E35" s="81">
        <v>534.57446412952197</v>
      </c>
      <c r="F35" s="22" t="s">
        <v>237</v>
      </c>
      <c r="G35" s="23">
        <v>5.5348020709178769</v>
      </c>
      <c r="H35" s="24">
        <v>-12.050418493450778</v>
      </c>
    </row>
    <row r="36" spans="1:9" ht="12.75" customHeight="1" x14ac:dyDescent="0.2">
      <c r="A36" s="206"/>
      <c r="B36" s="25" t="s">
        <v>238</v>
      </c>
      <c r="C36" s="82">
        <v>77.155455798829564</v>
      </c>
      <c r="D36" s="82">
        <v>66.026009004013829</v>
      </c>
      <c r="E36" s="82">
        <v>64.208836868916421</v>
      </c>
      <c r="F36" s="27"/>
      <c r="G36" s="28">
        <v>-16.779913741510867</v>
      </c>
      <c r="H36" s="29">
        <v>-2.7522065357409957</v>
      </c>
    </row>
    <row r="37" spans="1:9" x14ac:dyDescent="0.2">
      <c r="A37" s="30" t="s">
        <v>12</v>
      </c>
      <c r="B37" s="31" t="s">
        <v>3</v>
      </c>
      <c r="C37" s="80">
        <v>7.1079572424110635</v>
      </c>
      <c r="D37" s="80">
        <v>5.9674288797066728</v>
      </c>
      <c r="E37" s="83">
        <v>4.1865665928443461</v>
      </c>
      <c r="F37" s="22" t="s">
        <v>237</v>
      </c>
      <c r="G37" s="32">
        <v>-41.100284511218632</v>
      </c>
      <c r="H37" s="33">
        <v>-29.843041664366922</v>
      </c>
    </row>
    <row r="38" spans="1:9" x14ac:dyDescent="0.2">
      <c r="A38" s="34"/>
      <c r="B38" s="25" t="s">
        <v>238</v>
      </c>
      <c r="C38" s="82">
        <v>1.1269638435953937</v>
      </c>
      <c r="D38" s="82">
        <v>0.48169245248015197</v>
      </c>
      <c r="E38" s="82">
        <v>0.40405545349923838</v>
      </c>
      <c r="F38" s="27"/>
      <c r="G38" s="35">
        <v>-64.146546866120786</v>
      </c>
      <c r="H38" s="29">
        <v>-16.117545247216142</v>
      </c>
    </row>
    <row r="39" spans="1:9" x14ac:dyDescent="0.2">
      <c r="A39" s="30" t="s">
        <v>18</v>
      </c>
      <c r="B39" s="31" t="s">
        <v>3</v>
      </c>
      <c r="C39" s="80">
        <v>27.304542334659359</v>
      </c>
      <c r="D39" s="80">
        <v>26.560843062390411</v>
      </c>
      <c r="E39" s="83">
        <v>28.724985774974513</v>
      </c>
      <c r="F39" s="22" t="s">
        <v>237</v>
      </c>
      <c r="G39" s="37">
        <v>5.2022239483285375</v>
      </c>
      <c r="H39" s="33">
        <v>8.1478690548361499</v>
      </c>
    </row>
    <row r="40" spans="1:9" x14ac:dyDescent="0.2">
      <c r="A40" s="34"/>
      <c r="B40" s="25" t="s">
        <v>238</v>
      </c>
      <c r="C40" s="82">
        <v>3.3911770479404892</v>
      </c>
      <c r="D40" s="82">
        <v>2.2662220994929201</v>
      </c>
      <c r="E40" s="82">
        <v>2.7363838131682074</v>
      </c>
      <c r="F40" s="27"/>
      <c r="G40" s="28">
        <v>-19.308730435349787</v>
      </c>
      <c r="H40" s="29">
        <v>20.746497608530447</v>
      </c>
    </row>
    <row r="41" spans="1:9" x14ac:dyDescent="0.2">
      <c r="A41" s="30" t="s">
        <v>63</v>
      </c>
      <c r="B41" s="31" t="s">
        <v>3</v>
      </c>
      <c r="C41" s="80">
        <v>61.88728937561298</v>
      </c>
      <c r="D41" s="80">
        <v>71.392452973212713</v>
      </c>
      <c r="E41" s="83">
        <v>57.777132632313958</v>
      </c>
      <c r="F41" s="22" t="s">
        <v>237</v>
      </c>
      <c r="G41" s="23">
        <v>-6.6413584837319632</v>
      </c>
      <c r="H41" s="24">
        <v>-19.071091934615808</v>
      </c>
    </row>
    <row r="42" spans="1:9" x14ac:dyDescent="0.2">
      <c r="A42" s="34"/>
      <c r="B42" s="25" t="s">
        <v>238</v>
      </c>
      <c r="C42" s="82">
        <v>6.796959382429673</v>
      </c>
      <c r="D42" s="82">
        <v>9.4306434419037508</v>
      </c>
      <c r="E42" s="82">
        <v>7.1489630882019775</v>
      </c>
      <c r="F42" s="27"/>
      <c r="G42" s="38">
        <v>5.1788408017008862</v>
      </c>
      <c r="H42" s="24">
        <v>-24.19432319499478</v>
      </c>
    </row>
    <row r="43" spans="1:9" x14ac:dyDescent="0.2">
      <c r="A43" s="30" t="s">
        <v>52</v>
      </c>
      <c r="B43" s="31" t="s">
        <v>3</v>
      </c>
      <c r="C43" s="80">
        <v>277.98505848710892</v>
      </c>
      <c r="D43" s="80">
        <v>339.77249401097203</v>
      </c>
      <c r="E43" s="83">
        <v>312.16959517323454</v>
      </c>
      <c r="F43" s="22" t="s">
        <v>237</v>
      </c>
      <c r="G43" s="37">
        <v>12.29725686415297</v>
      </c>
      <c r="H43" s="33">
        <v>-8.1239356699798435</v>
      </c>
    </row>
    <row r="44" spans="1:9" x14ac:dyDescent="0.2">
      <c r="A44" s="34"/>
      <c r="B44" s="25" t="s">
        <v>238</v>
      </c>
      <c r="C44" s="82">
        <v>41.997639198386025</v>
      </c>
      <c r="D44" s="82">
        <v>36.872330678259495</v>
      </c>
      <c r="E44" s="82">
        <v>37.387465788648335</v>
      </c>
      <c r="F44" s="27"/>
      <c r="G44" s="28">
        <v>-10.977220381270527</v>
      </c>
      <c r="H44" s="29">
        <v>1.3970777027462873</v>
      </c>
    </row>
    <row r="45" spans="1:9" x14ac:dyDescent="0.2">
      <c r="A45" s="30" t="s">
        <v>50</v>
      </c>
      <c r="B45" s="31" t="s">
        <v>3</v>
      </c>
      <c r="C45" s="80">
        <v>132.25371011612717</v>
      </c>
      <c r="D45" s="80">
        <v>164.12600542069765</v>
      </c>
      <c r="E45" s="83">
        <v>137.12807916848746</v>
      </c>
      <c r="F45" s="22" t="s">
        <v>237</v>
      </c>
      <c r="G45" s="37">
        <v>3.6856198953362451</v>
      </c>
      <c r="H45" s="33">
        <v>-16.449511570702938</v>
      </c>
    </row>
    <row r="46" spans="1:9" ht="13.5" thickBot="1" x14ac:dyDescent="0.25">
      <c r="A46" s="56"/>
      <c r="B46" s="42" t="s">
        <v>238</v>
      </c>
      <c r="C46" s="86">
        <v>23.842716326478001</v>
      </c>
      <c r="D46" s="86">
        <v>16.975120331877513</v>
      </c>
      <c r="E46" s="86">
        <v>16.531968725398659</v>
      </c>
      <c r="F46" s="44"/>
      <c r="G46" s="57">
        <v>-30.662393919272333</v>
      </c>
      <c r="H46" s="46">
        <v>-2.6105947870464234</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H61" s="200">
        <v>25</v>
      </c>
    </row>
    <row r="62" spans="1:9" ht="12.75" customHeight="1" x14ac:dyDescent="0.2">
      <c r="A62" s="54" t="s">
        <v>240</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3" t="s">
        <v>1</v>
      </c>
      <c r="H5" s="204"/>
    </row>
    <row r="6" spans="1:8" x14ac:dyDescent="0.2">
      <c r="A6" s="12"/>
      <c r="B6" s="13"/>
      <c r="C6" s="14" t="s">
        <v>232</v>
      </c>
      <c r="D6" s="15" t="s">
        <v>233</v>
      </c>
      <c r="E6" s="15" t="s">
        <v>234</v>
      </c>
      <c r="F6" s="16"/>
      <c r="G6" s="17" t="s">
        <v>235</v>
      </c>
      <c r="H6" s="18" t="s">
        <v>236</v>
      </c>
    </row>
    <row r="7" spans="1:8" ht="12.75" customHeight="1" x14ac:dyDescent="0.2">
      <c r="A7" s="205" t="s">
        <v>64</v>
      </c>
      <c r="B7" s="19" t="s">
        <v>3</v>
      </c>
      <c r="C7" s="20">
        <v>11204.776</v>
      </c>
      <c r="D7" s="20">
        <v>11603.98</v>
      </c>
      <c r="E7" s="79">
        <v>9696.655790382827</v>
      </c>
      <c r="F7" s="22" t="s">
        <v>237</v>
      </c>
      <c r="G7" s="23">
        <v>-13.459619448145801</v>
      </c>
      <c r="H7" s="24">
        <v>-16.436810556526055</v>
      </c>
    </row>
    <row r="8" spans="1:8" ht="12.75" customHeight="1" x14ac:dyDescent="0.2">
      <c r="A8" s="206"/>
      <c r="B8" s="25" t="s">
        <v>238</v>
      </c>
      <c r="C8" s="26">
        <v>3033.5279999999998</v>
      </c>
      <c r="D8" s="26">
        <v>4087.944</v>
      </c>
      <c r="E8" s="26">
        <v>3104.3150039000002</v>
      </c>
      <c r="F8" s="27"/>
      <c r="G8" s="28">
        <v>2.3334877377100298</v>
      </c>
      <c r="H8" s="29">
        <v>-24.06170427236772</v>
      </c>
    </row>
    <row r="9" spans="1:8" x14ac:dyDescent="0.2">
      <c r="A9" s="30" t="s">
        <v>53</v>
      </c>
      <c r="B9" s="31" t="s">
        <v>3</v>
      </c>
      <c r="C9" s="20">
        <v>6.1577599999999997</v>
      </c>
      <c r="D9" s="20">
        <v>2.2198000000000002</v>
      </c>
      <c r="E9" s="21">
        <v>4.3600063604746504</v>
      </c>
      <c r="F9" s="22" t="s">
        <v>237</v>
      </c>
      <c r="G9" s="32">
        <v>-29.194928667654295</v>
      </c>
      <c r="H9" s="33">
        <v>96.414377893262895</v>
      </c>
    </row>
    <row r="10" spans="1:8" x14ac:dyDescent="0.2">
      <c r="A10" s="34"/>
      <c r="B10" s="25" t="s">
        <v>238</v>
      </c>
      <c r="C10" s="26">
        <v>3.5279999999999992E-2</v>
      </c>
      <c r="D10" s="26">
        <v>1.0394399999999999</v>
      </c>
      <c r="E10" s="26">
        <v>7.3150039E-2</v>
      </c>
      <c r="F10" s="27"/>
      <c r="G10" s="35">
        <v>107.34138038548758</v>
      </c>
      <c r="H10" s="29">
        <v>-92.9625530093127</v>
      </c>
    </row>
    <row r="11" spans="1:8" x14ac:dyDescent="0.2">
      <c r="A11" s="30" t="s">
        <v>54</v>
      </c>
      <c r="B11" s="31" t="s">
        <v>3</v>
      </c>
      <c r="C11" s="20">
        <v>845.78880000000004</v>
      </c>
      <c r="D11" s="20">
        <v>760.09899999999993</v>
      </c>
      <c r="E11" s="21">
        <v>712.09285814302189</v>
      </c>
      <c r="F11" s="22" t="s">
        <v>237</v>
      </c>
      <c r="G11" s="37">
        <v>-15.80724902682303</v>
      </c>
      <c r="H11" s="33">
        <v>-6.3157748999772423</v>
      </c>
    </row>
    <row r="12" spans="1:8" x14ac:dyDescent="0.2">
      <c r="A12" s="34"/>
      <c r="B12" s="25" t="s">
        <v>238</v>
      </c>
      <c r="C12" s="26">
        <v>192.1764</v>
      </c>
      <c r="D12" s="26">
        <v>273.19720000000001</v>
      </c>
      <c r="E12" s="26">
        <v>214.36575019499998</v>
      </c>
      <c r="F12" s="27"/>
      <c r="G12" s="28">
        <v>11.546345022073453</v>
      </c>
      <c r="H12" s="29">
        <v>-21.534426342949359</v>
      </c>
    </row>
    <row r="13" spans="1:8" x14ac:dyDescent="0.2">
      <c r="A13" s="30" t="s">
        <v>66</v>
      </c>
      <c r="B13" s="31" t="s">
        <v>3</v>
      </c>
      <c r="C13" s="20">
        <v>99.315520000000006</v>
      </c>
      <c r="D13" s="20">
        <v>60.439599999999999</v>
      </c>
      <c r="E13" s="21">
        <v>20.520005785131847</v>
      </c>
      <c r="F13" s="22" t="s">
        <v>237</v>
      </c>
      <c r="G13" s="23">
        <v>-79.33857086472301</v>
      </c>
      <c r="H13" s="24">
        <v>-66.048739923606632</v>
      </c>
    </row>
    <row r="14" spans="1:8" x14ac:dyDescent="0.2">
      <c r="A14" s="34"/>
      <c r="B14" s="25" t="s">
        <v>238</v>
      </c>
      <c r="C14" s="26">
        <v>28.07056</v>
      </c>
      <c r="D14" s="26">
        <v>30.078880000000002</v>
      </c>
      <c r="E14" s="26">
        <v>8.1463000779999994</v>
      </c>
      <c r="F14" s="27"/>
      <c r="G14" s="38">
        <v>-70.979203557036271</v>
      </c>
      <c r="H14" s="24">
        <v>-72.91687696483379</v>
      </c>
    </row>
    <row r="15" spans="1:8" x14ac:dyDescent="0.2">
      <c r="A15" s="30" t="s">
        <v>55</v>
      </c>
      <c r="B15" s="31" t="s">
        <v>3</v>
      </c>
      <c r="C15" s="20">
        <v>8441.6208000000006</v>
      </c>
      <c r="D15" s="20">
        <v>8522.5840000000007</v>
      </c>
      <c r="E15" s="21">
        <v>7396.2537695979127</v>
      </c>
      <c r="F15" s="22" t="s">
        <v>237</v>
      </c>
      <c r="G15" s="37">
        <v>-12.383487190067669</v>
      </c>
      <c r="H15" s="33">
        <v>-13.215830203634098</v>
      </c>
    </row>
    <row r="16" spans="1:8" x14ac:dyDescent="0.2">
      <c r="A16" s="34"/>
      <c r="B16" s="25" t="s">
        <v>238</v>
      </c>
      <c r="C16" s="26">
        <v>2246.8224</v>
      </c>
      <c r="D16" s="26">
        <v>2826.1552000000001</v>
      </c>
      <c r="E16" s="26">
        <v>2266.8520031199996</v>
      </c>
      <c r="F16" s="27"/>
      <c r="G16" s="28">
        <v>0.89146356739186672</v>
      </c>
      <c r="H16" s="29">
        <v>-19.790250616102071</v>
      </c>
    </row>
    <row r="17" spans="1:9" x14ac:dyDescent="0.2">
      <c r="A17" s="30" t="s">
        <v>67</v>
      </c>
      <c r="B17" s="31" t="s">
        <v>3</v>
      </c>
      <c r="C17" s="20">
        <v>858.78880000000004</v>
      </c>
      <c r="D17" s="20">
        <v>805.09899999999993</v>
      </c>
      <c r="E17" s="21">
        <v>1004.7146533155408</v>
      </c>
      <c r="F17" s="22" t="s">
        <v>237</v>
      </c>
      <c r="G17" s="37">
        <v>16.992053612662474</v>
      </c>
      <c r="H17" s="33">
        <v>24.793926376202279</v>
      </c>
    </row>
    <row r="18" spans="1:9" x14ac:dyDescent="0.2">
      <c r="A18" s="30"/>
      <c r="B18" s="25" t="s">
        <v>238</v>
      </c>
      <c r="C18" s="26">
        <v>119.1764</v>
      </c>
      <c r="D18" s="26">
        <v>251.19720000000001</v>
      </c>
      <c r="E18" s="26">
        <v>221.365750195</v>
      </c>
      <c r="F18" s="27"/>
      <c r="G18" s="28">
        <v>85.746297249287608</v>
      </c>
      <c r="H18" s="29">
        <v>-11.875709524230373</v>
      </c>
    </row>
    <row r="19" spans="1:9" x14ac:dyDescent="0.2">
      <c r="A19" s="39" t="s">
        <v>56</v>
      </c>
      <c r="B19" s="31" t="s">
        <v>3</v>
      </c>
      <c r="C19" s="20">
        <v>94.157759999999996</v>
      </c>
      <c r="D19" s="20">
        <v>97.219800000000006</v>
      </c>
      <c r="E19" s="21">
        <v>100.56528476119288</v>
      </c>
      <c r="F19" s="22" t="s">
        <v>237</v>
      </c>
      <c r="G19" s="23">
        <v>6.8050947273946321</v>
      </c>
      <c r="H19" s="24">
        <v>3.4411557740222349</v>
      </c>
    </row>
    <row r="20" spans="1:9" x14ac:dyDescent="0.2">
      <c r="A20" s="34"/>
      <c r="B20" s="25" t="s">
        <v>238</v>
      </c>
      <c r="C20" s="26">
        <v>27.03528</v>
      </c>
      <c r="D20" s="26">
        <v>24.039439999999999</v>
      </c>
      <c r="E20" s="26">
        <v>26.073150039000001</v>
      </c>
      <c r="F20" s="27"/>
      <c r="G20" s="38">
        <v>-3.5587941423206928</v>
      </c>
      <c r="H20" s="24">
        <v>8.4598894109014395</v>
      </c>
    </row>
    <row r="21" spans="1:9" x14ac:dyDescent="0.2">
      <c r="A21" s="39" t="s">
        <v>68</v>
      </c>
      <c r="B21" s="31" t="s">
        <v>3</v>
      </c>
      <c r="C21" s="20">
        <v>11.15776</v>
      </c>
      <c r="D21" s="20">
        <v>9.2197999999999993</v>
      </c>
      <c r="E21" s="21">
        <v>1.9124827376741085</v>
      </c>
      <c r="F21" s="22" t="s">
        <v>237</v>
      </c>
      <c r="G21" s="37">
        <v>-82.859617542641999</v>
      </c>
      <c r="H21" s="33">
        <v>-79.256787157269045</v>
      </c>
    </row>
    <row r="22" spans="1:9" x14ac:dyDescent="0.2">
      <c r="A22" s="34"/>
      <c r="B22" s="25" t="s">
        <v>238</v>
      </c>
      <c r="C22" s="26">
        <v>3.0352800000000002</v>
      </c>
      <c r="D22" s="26">
        <v>11.039440000000001</v>
      </c>
      <c r="E22" s="26">
        <v>1.0731500389999999</v>
      </c>
      <c r="F22" s="27"/>
      <c r="G22" s="28">
        <v>-64.644117214886279</v>
      </c>
      <c r="H22" s="29">
        <v>-90.27894495554122</v>
      </c>
    </row>
    <row r="23" spans="1:9" x14ac:dyDescent="0.2">
      <c r="A23" s="30" t="s">
        <v>69</v>
      </c>
      <c r="B23" s="31" t="s">
        <v>3</v>
      </c>
      <c r="C23" s="20">
        <v>1446.7888</v>
      </c>
      <c r="D23" s="20">
        <v>1367.0989999999999</v>
      </c>
      <c r="E23" s="21">
        <v>942.04104252581851</v>
      </c>
      <c r="F23" s="22" t="s">
        <v>237</v>
      </c>
      <c r="G23" s="23">
        <v>-34.887452645070354</v>
      </c>
      <c r="H23" s="24">
        <v>-31.091966088350702</v>
      </c>
    </row>
    <row r="24" spans="1:9" ht="13.5" thickBot="1" x14ac:dyDescent="0.25">
      <c r="A24" s="56"/>
      <c r="B24" s="42" t="s">
        <v>238</v>
      </c>
      <c r="C24" s="43">
        <v>436.1764</v>
      </c>
      <c r="D24" s="43">
        <v>687.19719999999995</v>
      </c>
      <c r="E24" s="43">
        <v>387.36575019500003</v>
      </c>
      <c r="F24" s="44"/>
      <c r="G24" s="57">
        <v>-11.190575603127542</v>
      </c>
      <c r="H24" s="46">
        <v>-43.631063951512019</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232</v>
      </c>
      <c r="D34" s="15" t="s">
        <v>233</v>
      </c>
      <c r="E34" s="15" t="s">
        <v>234</v>
      </c>
      <c r="F34" s="16"/>
      <c r="G34" s="17" t="s">
        <v>235</v>
      </c>
      <c r="H34" s="18" t="s">
        <v>236</v>
      </c>
    </row>
    <row r="35" spans="1:8" ht="12.75" customHeight="1" x14ac:dyDescent="0.2">
      <c r="A35" s="205" t="s">
        <v>64</v>
      </c>
      <c r="B35" s="19" t="s">
        <v>3</v>
      </c>
      <c r="C35" s="80">
        <v>1202.7935045741626</v>
      </c>
      <c r="D35" s="80">
        <v>1394.3954936555808</v>
      </c>
      <c r="E35" s="81">
        <v>1545.4818435978243</v>
      </c>
      <c r="F35" s="22" t="s">
        <v>237</v>
      </c>
      <c r="G35" s="23">
        <v>28.491036717477726</v>
      </c>
      <c r="H35" s="24">
        <v>10.835258047639826</v>
      </c>
    </row>
    <row r="36" spans="1:8" ht="12.75" customHeight="1" x14ac:dyDescent="0.2">
      <c r="A36" s="206"/>
      <c r="B36" s="25" t="s">
        <v>238</v>
      </c>
      <c r="C36" s="82">
        <v>286.86351714177783</v>
      </c>
      <c r="D36" s="82">
        <v>374.95475105466716</v>
      </c>
      <c r="E36" s="82">
        <v>398.64248721138273</v>
      </c>
      <c r="F36" s="27"/>
      <c r="G36" s="28">
        <v>38.965906568857918</v>
      </c>
      <c r="H36" s="29">
        <v>6.3174919347166707</v>
      </c>
    </row>
    <row r="37" spans="1:8" x14ac:dyDescent="0.2">
      <c r="A37" s="30" t="s">
        <v>53</v>
      </c>
      <c r="B37" s="31" t="s">
        <v>3</v>
      </c>
      <c r="C37" s="80">
        <v>0.134134343800104</v>
      </c>
      <c r="D37" s="80">
        <v>7.6027626367869916E-2</v>
      </c>
      <c r="E37" s="83">
        <v>5.7416254436614259E-2</v>
      </c>
      <c r="F37" s="22" t="s">
        <v>237</v>
      </c>
      <c r="G37" s="32">
        <v>-57.194963787812753</v>
      </c>
      <c r="H37" s="33">
        <v>-24.479748770798153</v>
      </c>
    </row>
    <row r="38" spans="1:8" x14ac:dyDescent="0.2">
      <c r="A38" s="34"/>
      <c r="B38" s="25" t="s">
        <v>238</v>
      </c>
      <c r="C38" s="82">
        <v>2.4823588125345322E-2</v>
      </c>
      <c r="D38" s="82">
        <v>7.2931240900337355E-2</v>
      </c>
      <c r="E38" s="82">
        <v>2.3002029492039965E-2</v>
      </c>
      <c r="F38" s="27"/>
      <c r="G38" s="35">
        <v>-7.3380150528904124</v>
      </c>
      <c r="H38" s="29">
        <v>-68.460663485113457</v>
      </c>
    </row>
    <row r="39" spans="1:8" x14ac:dyDescent="0.2">
      <c r="A39" s="30" t="s">
        <v>54</v>
      </c>
      <c r="B39" s="31" t="s">
        <v>3</v>
      </c>
      <c r="C39" s="80">
        <v>57.99108096435662</v>
      </c>
      <c r="D39" s="80">
        <v>71.708466618889048</v>
      </c>
      <c r="E39" s="83">
        <v>66.256080258561312</v>
      </c>
      <c r="F39" s="22" t="s">
        <v>237</v>
      </c>
      <c r="G39" s="37">
        <v>14.252190434740569</v>
      </c>
      <c r="H39" s="33">
        <v>-7.6035461604634236</v>
      </c>
    </row>
    <row r="40" spans="1:8" x14ac:dyDescent="0.2">
      <c r="A40" s="34"/>
      <c r="B40" s="25" t="s">
        <v>238</v>
      </c>
      <c r="C40" s="82">
        <v>11.869413128334955</v>
      </c>
      <c r="D40" s="82">
        <v>21.261623366646166</v>
      </c>
      <c r="E40" s="82">
        <v>17.089375022959281</v>
      </c>
      <c r="F40" s="27"/>
      <c r="G40" s="28">
        <v>43.978264453219737</v>
      </c>
      <c r="H40" s="29">
        <v>-19.623376219861143</v>
      </c>
    </row>
    <row r="41" spans="1:8" x14ac:dyDescent="0.2">
      <c r="A41" s="30" t="s">
        <v>66</v>
      </c>
      <c r="B41" s="31" t="s">
        <v>3</v>
      </c>
      <c r="C41" s="80">
        <v>13.468025871353923</v>
      </c>
      <c r="D41" s="80">
        <v>16.644909976128837</v>
      </c>
      <c r="E41" s="83">
        <v>17.671033901172475</v>
      </c>
      <c r="F41" s="22" t="s">
        <v>237</v>
      </c>
      <c r="G41" s="23">
        <v>31.207305881095891</v>
      </c>
      <c r="H41" s="24">
        <v>6.1647910773638728</v>
      </c>
    </row>
    <row r="42" spans="1:8" x14ac:dyDescent="0.2">
      <c r="A42" s="34"/>
      <c r="B42" s="25" t="s">
        <v>238</v>
      </c>
      <c r="C42" s="82">
        <v>3.9161773065505754</v>
      </c>
      <c r="D42" s="82">
        <v>2.8097401510240694</v>
      </c>
      <c r="E42" s="82">
        <v>3.4678367254784694</v>
      </c>
      <c r="F42" s="27"/>
      <c r="G42" s="38">
        <v>-11.448423959818371</v>
      </c>
      <c r="H42" s="24">
        <v>23.421972818893693</v>
      </c>
    </row>
    <row r="43" spans="1:8" x14ac:dyDescent="0.2">
      <c r="A43" s="30" t="s">
        <v>55</v>
      </c>
      <c r="B43" s="31" t="s">
        <v>3</v>
      </c>
      <c r="C43" s="80">
        <v>759.299213361076</v>
      </c>
      <c r="D43" s="80">
        <v>931.02751570303542</v>
      </c>
      <c r="E43" s="83">
        <v>1110.4432966850909</v>
      </c>
      <c r="F43" s="22" t="s">
        <v>237</v>
      </c>
      <c r="G43" s="37">
        <v>46.245811551635626</v>
      </c>
      <c r="H43" s="33">
        <v>19.270728088694085</v>
      </c>
    </row>
    <row r="44" spans="1:8" x14ac:dyDescent="0.2">
      <c r="A44" s="34"/>
      <c r="B44" s="25" t="s">
        <v>238</v>
      </c>
      <c r="C44" s="82">
        <v>180.22139324790541</v>
      </c>
      <c r="D44" s="82">
        <v>232.95562558452184</v>
      </c>
      <c r="E44" s="82">
        <v>272.91840764852543</v>
      </c>
      <c r="F44" s="27"/>
      <c r="G44" s="28">
        <v>51.435078117007833</v>
      </c>
      <c r="H44" s="29">
        <v>17.154675687153187</v>
      </c>
    </row>
    <row r="45" spans="1:8" x14ac:dyDescent="0.2">
      <c r="A45" s="30" t="s">
        <v>67</v>
      </c>
      <c r="B45" s="31" t="s">
        <v>3</v>
      </c>
      <c r="C45" s="80">
        <v>205.76448864684264</v>
      </c>
      <c r="D45" s="80">
        <v>211.08535407145368</v>
      </c>
      <c r="E45" s="83">
        <v>327.03390887273127</v>
      </c>
      <c r="F45" s="22" t="s">
        <v>237</v>
      </c>
      <c r="G45" s="37">
        <v>58.936029741276485</v>
      </c>
      <c r="H45" s="33">
        <v>54.929701452441037</v>
      </c>
    </row>
    <row r="46" spans="1:8" x14ac:dyDescent="0.2">
      <c r="A46" s="30"/>
      <c r="B46" s="25" t="s">
        <v>238</v>
      </c>
      <c r="C46" s="82">
        <v>22.611065418447705</v>
      </c>
      <c r="D46" s="82">
        <v>53.576925124514588</v>
      </c>
      <c r="E46" s="82">
        <v>57.78025371101095</v>
      </c>
      <c r="F46" s="27"/>
      <c r="G46" s="28">
        <v>155.53972199766287</v>
      </c>
      <c r="H46" s="29">
        <v>7.8454084043227255</v>
      </c>
    </row>
    <row r="47" spans="1:8" x14ac:dyDescent="0.2">
      <c r="A47" s="39" t="s">
        <v>56</v>
      </c>
      <c r="B47" s="31" t="s">
        <v>3</v>
      </c>
      <c r="C47" s="80">
        <v>10.318568645070682</v>
      </c>
      <c r="D47" s="80">
        <v>13.040535450521411</v>
      </c>
      <c r="E47" s="83">
        <v>12.504673615739167</v>
      </c>
      <c r="F47" s="22" t="s">
        <v>237</v>
      </c>
      <c r="G47" s="23">
        <v>21.186126156294137</v>
      </c>
      <c r="H47" s="24">
        <v>-4.1092011659752643</v>
      </c>
    </row>
    <row r="48" spans="1:8" x14ac:dyDescent="0.2">
      <c r="A48" s="34"/>
      <c r="B48" s="25" t="s">
        <v>238</v>
      </c>
      <c r="C48" s="82">
        <v>3.1865598947438816</v>
      </c>
      <c r="D48" s="82">
        <v>3.7361282481251852</v>
      </c>
      <c r="E48" s="82">
        <v>3.6710328553634159</v>
      </c>
      <c r="F48" s="27"/>
      <c r="G48" s="38">
        <v>15.203635789763609</v>
      </c>
      <c r="H48" s="24">
        <v>-1.7423222233989009</v>
      </c>
    </row>
    <row r="49" spans="1:9" x14ac:dyDescent="0.2">
      <c r="A49" s="39" t="s">
        <v>68</v>
      </c>
      <c r="B49" s="31" t="s">
        <v>3</v>
      </c>
      <c r="C49" s="80">
        <v>4.4052246519785063</v>
      </c>
      <c r="D49" s="80">
        <v>3.8139490570951859</v>
      </c>
      <c r="E49" s="83">
        <v>2.475172169695838</v>
      </c>
      <c r="F49" s="22" t="s">
        <v>237</v>
      </c>
      <c r="G49" s="37">
        <v>-43.812804902374936</v>
      </c>
      <c r="H49" s="33">
        <v>-35.102117709432619</v>
      </c>
    </row>
    <row r="50" spans="1:9" x14ac:dyDescent="0.2">
      <c r="A50" s="34"/>
      <c r="B50" s="25" t="s">
        <v>238</v>
      </c>
      <c r="C50" s="82">
        <v>1.5351776084554969</v>
      </c>
      <c r="D50" s="82">
        <v>1.3983576029231775</v>
      </c>
      <c r="E50" s="82">
        <v>0.89201616835474307</v>
      </c>
      <c r="F50" s="27"/>
      <c r="G50" s="28">
        <v>-41.894920598003125</v>
      </c>
      <c r="H50" s="29">
        <v>-36.209724430285917</v>
      </c>
    </row>
    <row r="51" spans="1:9" x14ac:dyDescent="0.2">
      <c r="A51" s="30" t="s">
        <v>69</v>
      </c>
      <c r="B51" s="31" t="s">
        <v>3</v>
      </c>
      <c r="C51" s="80">
        <v>151.4127680896845</v>
      </c>
      <c r="D51" s="80">
        <v>146.9987351520891</v>
      </c>
      <c r="E51" s="83">
        <v>104.93868471581042</v>
      </c>
      <c r="F51" s="22" t="s">
        <v>237</v>
      </c>
      <c r="G51" s="23">
        <v>-30.693635655842868</v>
      </c>
      <c r="H51" s="24">
        <v>-28.612525402182641</v>
      </c>
    </row>
    <row r="52" spans="1:9" ht="13.5" thickBot="1" x14ac:dyDescent="0.25">
      <c r="A52" s="56"/>
      <c r="B52" s="42" t="s">
        <v>238</v>
      </c>
      <c r="C52" s="86">
        <v>63.49890694921443</v>
      </c>
      <c r="D52" s="86">
        <v>59.143419736011701</v>
      </c>
      <c r="E52" s="86">
        <v>42.800563050198271</v>
      </c>
      <c r="F52" s="44"/>
      <c r="G52" s="57">
        <v>-32.596378258243746</v>
      </c>
      <c r="H52" s="46">
        <v>-27.632586615316171</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239</v>
      </c>
      <c r="G61" s="53"/>
      <c r="H61" s="208">
        <v>26</v>
      </c>
    </row>
    <row r="62" spans="1:9" ht="12.75" customHeight="1" x14ac:dyDescent="0.2">
      <c r="A62" s="54" t="s">
        <v>240</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6"/>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200">
        <v>27</v>
      </c>
      <c r="H52" s="54" t="str">
        <f>+Innhold!B123</f>
        <v>Finans Norge / Skadeforsikringsstatistikk</v>
      </c>
      <c r="N52" s="200">
        <v>28</v>
      </c>
    </row>
    <row r="53" spans="1:14" ht="12.75" customHeight="1" x14ac:dyDescent="0.2">
      <c r="A53" s="54" t="str">
        <f>+Innhold!B124</f>
        <v>Skadestatistikk for landbasert forsikring 1. kvartal 2021</v>
      </c>
      <c r="G53" s="201"/>
      <c r="H53" s="54" t="str">
        <f>+Innhold!B124</f>
        <v>Skadestatistikk for landbasert forsikring 1. kvartal 2021</v>
      </c>
      <c r="N53" s="201"/>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2021-06-07T10:22:03Z</dcterms:modified>
</cp:coreProperties>
</file>