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13_ncr:1_{27AB2FBE-7C94-451B-A426-D041D80D27DB}" xr6:coauthVersionLast="44" xr6:coauthVersionMax="44"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'Tab2'!$A$1:$AJ$63</definedName>
    <definedName name="_xlnm.Print_Area" localSheetId="4">'Tab3'!$A$1:$H$63</definedName>
    <definedName name="_xlnm.Print_Area">'Tab9'!$A$4:$H$62</definedName>
    <definedName name="pros_1">'Tab3'!$H$6</definedName>
    <definedName name="pros_2">'Tab3'!$G$6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19" i="19" l="1"/>
  <c r="Q219" i="19"/>
  <c r="N219" i="19"/>
  <c r="D219" i="19" l="1"/>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B124" i="21"/>
  <c r="W84" i="19" l="1"/>
  <c r="X129" i="19"/>
  <c r="S223" i="19"/>
  <c r="S221" i="19" s="1"/>
  <c r="R223" i="19"/>
  <c r="R221" i="19" s="1"/>
  <c r="P223" i="19"/>
  <c r="P221" i="19" s="1"/>
  <c r="O223" i="19"/>
  <c r="O221" i="19" s="1"/>
  <c r="M223" i="19"/>
  <c r="M221" i="19" s="1"/>
  <c r="L223" i="19"/>
  <c r="L221" i="19" s="1"/>
  <c r="G222" i="19"/>
  <c r="E222"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T133" i="19"/>
  <c r="Q133" i="19"/>
  <c r="N133" i="19"/>
  <c r="Y132" i="19"/>
  <c r="X132" i="19"/>
  <c r="W132" i="19"/>
  <c r="T132" i="19"/>
  <c r="Q132" i="19"/>
  <c r="N132" i="19"/>
  <c r="D132" i="19"/>
  <c r="D133" i="19" s="1"/>
  <c r="C132" i="19"/>
  <c r="C133" i="19" s="1"/>
  <c r="Y131" i="19"/>
  <c r="X131" i="19"/>
  <c r="W131" i="19"/>
  <c r="T131" i="19"/>
  <c r="Q131" i="19"/>
  <c r="N131" i="19"/>
  <c r="X130" i="19"/>
  <c r="W130" i="19"/>
  <c r="T130" i="19"/>
  <c r="Q130" i="19"/>
  <c r="N130" i="19"/>
  <c r="D130" i="19"/>
  <c r="W129" i="19"/>
  <c r="T129" i="19"/>
  <c r="Q129" i="19"/>
  <c r="N129" i="19"/>
  <c r="D129" i="19"/>
  <c r="C129" i="19"/>
  <c r="X128" i="19"/>
  <c r="W128" i="19"/>
  <c r="T128" i="19"/>
  <c r="Q128" i="19"/>
  <c r="N128" i="19"/>
  <c r="D128" i="19"/>
  <c r="C128" i="19"/>
  <c r="C130" i="19" s="1"/>
  <c r="T127" i="19"/>
  <c r="Q127" i="19"/>
  <c r="N127" i="19"/>
  <c r="T126" i="19"/>
  <c r="Q126" i="19"/>
  <c r="N126" i="19"/>
  <c r="X125" i="19"/>
  <c r="W125" i="19"/>
  <c r="T125" i="19"/>
  <c r="Q125" i="19"/>
  <c r="N125" i="19"/>
  <c r="Y124" i="19"/>
  <c r="X124" i="19"/>
  <c r="W124" i="19"/>
  <c r="T124" i="19"/>
  <c r="Q124" i="19"/>
  <c r="N124" i="19"/>
  <c r="D124" i="19"/>
  <c r="D125" i="19" s="1"/>
  <c r="C124" i="19"/>
  <c r="C125" i="19" s="1"/>
  <c r="C126" i="19" s="1"/>
  <c r="Y123" i="19"/>
  <c r="X123" i="19"/>
  <c r="W123" i="19"/>
  <c r="T123" i="19"/>
  <c r="Q123" i="19"/>
  <c r="N123" i="19"/>
  <c r="Y122" i="19"/>
  <c r="X122" i="19"/>
  <c r="T122" i="19"/>
  <c r="Q122" i="19"/>
  <c r="N122" i="19"/>
  <c r="X121" i="19"/>
  <c r="W121" i="19"/>
  <c r="T121" i="19"/>
  <c r="Q121" i="19"/>
  <c r="N121" i="19"/>
  <c r="D121" i="19"/>
  <c r="D122" i="19" s="1"/>
  <c r="T120" i="19"/>
  <c r="Q120" i="19"/>
  <c r="N120" i="19"/>
  <c r="D120" i="19"/>
  <c r="C120" i="19"/>
  <c r="T119" i="19"/>
  <c r="Q119" i="19"/>
  <c r="N119" i="19"/>
  <c r="T118" i="19"/>
  <c r="Q118" i="19"/>
  <c r="N118" i="19"/>
  <c r="Y117" i="19"/>
  <c r="X117" i="19"/>
  <c r="T117" i="19"/>
  <c r="Q117" i="19"/>
  <c r="N117" i="19"/>
  <c r="T116" i="19"/>
  <c r="Q116" i="19"/>
  <c r="N116" i="19"/>
  <c r="D116" i="19"/>
  <c r="C116" i="19"/>
  <c r="C117" i="19" s="1"/>
  <c r="T115" i="19"/>
  <c r="Q115" i="19"/>
  <c r="N115" i="19"/>
  <c r="Y114" i="19"/>
  <c r="X114" i="19"/>
  <c r="W114" i="19"/>
  <c r="T114" i="19"/>
  <c r="Q114" i="19"/>
  <c r="N114" i="19"/>
  <c r="Y113" i="19"/>
  <c r="X113" i="19"/>
  <c r="W113" i="19"/>
  <c r="T113" i="19"/>
  <c r="Q113" i="19"/>
  <c r="N113" i="19"/>
  <c r="Y112" i="19"/>
  <c r="X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T103" i="19"/>
  <c r="Q103" i="19"/>
  <c r="N103" i="19"/>
  <c r="Y102" i="19"/>
  <c r="X102" i="19"/>
  <c r="W102" i="19"/>
  <c r="N102" i="19"/>
  <c r="Y101" i="19"/>
  <c r="X101" i="19"/>
  <c r="W101" i="19"/>
  <c r="N101" i="19"/>
  <c r="N100" i="19"/>
  <c r="N99" i="19"/>
  <c r="N98" i="19"/>
  <c r="N97" i="19"/>
  <c r="N96" i="19"/>
  <c r="N95" i="19"/>
  <c r="N94" i="19"/>
  <c r="N93" i="19"/>
  <c r="Y92" i="19"/>
  <c r="X92" i="19"/>
  <c r="W92" i="19"/>
  <c r="N92" i="19"/>
  <c r="Y91" i="19"/>
  <c r="X91" i="19"/>
  <c r="N91" i="19"/>
  <c r="Y90" i="19"/>
  <c r="X90" i="19"/>
  <c r="N90" i="19"/>
  <c r="Y89" i="19"/>
  <c r="X89" i="19"/>
  <c r="W89" i="19"/>
  <c r="N89" i="19"/>
  <c r="Y88" i="19"/>
  <c r="X88" i="19"/>
  <c r="W88" i="19"/>
  <c r="N88" i="19"/>
  <c r="Y87" i="19"/>
  <c r="W87" i="19"/>
  <c r="N87" i="19"/>
  <c r="Y86" i="19"/>
  <c r="X86" i="19"/>
  <c r="W86" i="19"/>
  <c r="N86" i="19"/>
  <c r="Y85" i="19"/>
  <c r="X85" i="19"/>
  <c r="W85" i="19"/>
  <c r="N85" i="19"/>
  <c r="Y84" i="19"/>
  <c r="X84" i="19"/>
  <c r="N84" i="19"/>
  <c r="Y83" i="19"/>
  <c r="X83" i="19"/>
  <c r="N83" i="19"/>
  <c r="X82" i="19"/>
  <c r="X100" i="19" s="1"/>
  <c r="X111" i="19" s="1"/>
  <c r="N82" i="19"/>
  <c r="N81" i="19"/>
  <c r="N80" i="19"/>
  <c r="N79" i="19"/>
  <c r="N78" i="19"/>
  <c r="Z77" i="19"/>
  <c r="Y77" i="19"/>
  <c r="N77" i="19"/>
  <c r="Z76" i="19"/>
  <c r="Y76" i="19"/>
  <c r="X76" i="19"/>
  <c r="N76" i="19"/>
  <c r="Y75" i="19"/>
  <c r="X75" i="19"/>
  <c r="N75" i="19"/>
  <c r="Z74" i="19"/>
  <c r="Y74" i="19"/>
  <c r="X74" i="19"/>
  <c r="N74" i="19"/>
  <c r="N73" i="19"/>
  <c r="Z72" i="19"/>
  <c r="Y72" i="19"/>
  <c r="X72" i="19"/>
  <c r="N72" i="19"/>
  <c r="N71" i="19"/>
  <c r="Y70" i="19"/>
  <c r="X70" i="19"/>
  <c r="A62" i="19"/>
  <c r="AD61" i="19"/>
  <c r="I61" i="19"/>
  <c r="AD32" i="19"/>
  <c r="W32" i="19"/>
  <c r="B18" i="21" s="1"/>
  <c r="P32" i="19"/>
  <c r="B16" i="21" s="1"/>
  <c r="I32" i="19"/>
  <c r="B14" i="21" s="1"/>
  <c r="A32" i="19"/>
  <c r="AD6" i="19"/>
  <c r="W6" i="19"/>
  <c r="B17" i="21" s="1"/>
  <c r="I6" i="19"/>
  <c r="B13" i="21" s="1"/>
  <c r="A6" i="19"/>
  <c r="B11" i="21" s="1"/>
  <c r="A51" i="23"/>
  <c r="A52" i="23"/>
  <c r="B123" i="21"/>
  <c r="P61" i="19" s="1"/>
  <c r="B61" i="21"/>
  <c r="H24" i="21"/>
  <c r="H26" i="21" s="1"/>
  <c r="H28" i="21" s="1"/>
  <c r="H29" i="21" s="1"/>
  <c r="H31" i="21" s="1"/>
  <c r="B20" i="21"/>
  <c r="B19" i="21"/>
  <c r="B15" i="21"/>
  <c r="B12" i="21"/>
  <c r="X104" i="19" l="1"/>
  <c r="Y93" i="19"/>
  <c r="Y95" i="19" s="1"/>
  <c r="Y78" i="19"/>
  <c r="H33" i="21"/>
  <c r="H34" i="21" s="1"/>
  <c r="H35" i="21" s="1"/>
  <c r="H36" i="21" s="1"/>
  <c r="H37" i="21" s="1"/>
  <c r="H38" i="21" s="1"/>
  <c r="H40" i="21" s="1"/>
  <c r="H32" i="21"/>
  <c r="Y128" i="19"/>
  <c r="Y82" i="19"/>
  <c r="Y100" i="19" s="1"/>
  <c r="Y111" i="19" s="1"/>
  <c r="Y130" i="19"/>
  <c r="Y129" i="19"/>
  <c r="I62" i="19"/>
  <c r="Y104" i="19"/>
  <c r="D118" i="19"/>
  <c r="D117" i="19"/>
  <c r="X115" i="19"/>
  <c r="D126" i="19"/>
  <c r="W133" i="19"/>
  <c r="W122" i="19"/>
  <c r="B62" i="21"/>
  <c r="Y115" i="19"/>
  <c r="Z75" i="19"/>
  <c r="Z78" i="19" s="1"/>
  <c r="C121" i="19"/>
  <c r="C122" i="19"/>
  <c r="C118" i="19"/>
  <c r="Y125" i="19"/>
  <c r="X87" i="19"/>
  <c r="X93" i="19" s="1"/>
  <c r="X95" i="19" s="1"/>
  <c r="W112" i="19"/>
  <c r="W117" i="19"/>
  <c r="X77" i="19"/>
  <c r="X78" i="19" s="1"/>
  <c r="H27" i="21"/>
  <c r="H53" i="24"/>
  <c r="A53" i="24"/>
  <c r="W62" i="19"/>
  <c r="P62" i="19"/>
  <c r="AD62" i="19"/>
  <c r="Z70" i="19"/>
  <c r="Y121" i="19"/>
  <c r="W103" i="19"/>
  <c r="W104" i="19" s="1"/>
  <c r="W83" i="19"/>
  <c r="W91" i="19"/>
  <c r="W90" i="19"/>
  <c r="H52" i="24"/>
  <c r="A52" i="24"/>
  <c r="W61" i="19"/>
  <c r="A61" i="19"/>
  <c r="W82" i="19"/>
  <c r="W100" i="19" s="1"/>
  <c r="W111" i="19" s="1"/>
  <c r="L222" i="19" l="1"/>
  <c r="W93" i="19"/>
  <c r="W95" i="19" s="1"/>
  <c r="S222" i="19"/>
  <c r="M222" i="19"/>
  <c r="W115" i="19"/>
  <c r="R222" i="19"/>
  <c r="P222" i="19"/>
  <c r="H41" i="21"/>
  <c r="H43" i="21"/>
  <c r="O222" i="19"/>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<sst xmlns="http://schemas.openxmlformats.org/spreadsheetml/2006/main" count="1536" uniqueCount="244">
  <si>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</si>
  <si>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</si>
  <si>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</si>
  <si>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</si>
  <si>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</si>
  <si>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</si>
  <si>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</si>
  <si>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</si>
  <si>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</si>
  <si>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</si>
  <si>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</si>
  <si>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</si>
  <si>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</si>
  <si>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</si>
  <si>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</si>
  <si>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</si>
  <si>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</si>
  <si>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</si>
  <si>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</si>
  <si>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</si>
  <si>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</si>
  <si>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</si>
  <si>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</si>
  <si>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</si>
  <si>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</si>
  <si>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</si>
  <si>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</si>
  <si>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</si>
  <si>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</si>
  <si>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</si>
  <si>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</si>
  <si>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</si>
  <si>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</si>
  <si>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</si>
  <si>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</si>
  <si>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</si>
  <si>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</si>
  <si>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</si>
  <si>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</si>
  <si>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</si>
  <si>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</si>
  <si>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</si>
  <si>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</si>
  <si>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</si>
  <si>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</si>
  <si>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</si>
  <si>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</si>
  <si>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</si>
  <si>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</si>
  <si>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</si>
  <si>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</si>
  <si>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</si>
  <si>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</si>
  <si>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</si>
  <si>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</si>
  <si>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</si>
  <si>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</si>
  <si>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</si>
  <si>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</si>
  <si>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</si>
  <si>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</si>
  <si>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</si>
  <si>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</si>
  <si>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</si>
  <si>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</si>
  <si>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</si>
  <si>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</si>
  <si>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</si>
  <si>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</si>
  <si>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</si>
  <si>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</si>
  <si>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</si>
  <si>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</si>
  <si>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</si>
  <si>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</si>
  <si>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</si>
  <si>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</si>
  <si>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</si>
  <si>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</si>
  <si>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</si>
  <si>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</si>
  <si>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</si>
  <si>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</si>
  <si>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</si>
  <si>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</si>
  <si>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</si>
  <si>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</si>
  <si>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</si>
  <si>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</si>
  <si>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</si>
  <si>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</si>
  <si>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</si>
  <si>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</si>
  <si>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</si>
  <si>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</si>
  <si>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</si>
  <si>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</si>
  <si>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</si>
  <si>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</si>
  <si>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</si>
  <si>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</si>
  <si>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</si>
  <si>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</si>
  <si>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</si>
  <si>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</si>
  <si>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</si>
  <si>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</si>
  <si>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</si>
  <si>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</si>
  <si>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</si>
  <si>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</si>
  <si>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</si>
  <si>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</si>
  <si>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</si>
  <si>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</si>
  <si>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</si>
  <si>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</si>
  <si>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</si>
  <si>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</si>
  <si>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</si>
  <si>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</si>
  <si>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</si>
  <si>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</si>
  <si>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</si>
  <si>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</si>
  <si>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</si>
  <si>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</si>
  <si>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</si>
  <si>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</si>
  <si>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</si>
  <si>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</si>
  <si>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</si>
  <si>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</si>
  <si>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</si>
  <si>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</si>
  <si>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</si>
  <si>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</si>
  <si>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</si>
  <si>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</si>
  <si>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</si>
  <si>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</si>
  <si>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</si>
  <si>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</si>
  <si>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</si>
  <si>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</si>
  <si>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</si>
  <si>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</si>
  <si>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</si>
  <si>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</si>
  <si>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</si>
  <si>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</si>
  <si>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</si>
  <si>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</si>
  <si>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</si>
  <si>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</si>
  <si>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</si>
  <si>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</si>
  <si>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</si>
  <si>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</si>
  <si>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</si>
  <si>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</si>
  <si>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</si>
  <si>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</si>
  <si>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</si>
  <si>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</si>
  <si>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</si>
  <si>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</si>
  <si>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</si>
  <si>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</si>
  <si>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</si>
  <si>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</si>
  <si>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</si>
  <si>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</si>
  <si>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</si>
  <si>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</si>
  <si>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</si>
  <si>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</si>
  <si>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</si>
  <si>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</si>
  <si>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</si>
  <si>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</si>
  <si>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</si>
  <si>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</si>
  <si>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</si>
  <si>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</si>
  <si>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</si>
  <si>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</si>
  <si>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</si>
  <si>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</si>
  <si>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</si>
  <si>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</si>
  <si>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</si>
  <si>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</si>
  <si>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</si>
  <si>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</si>
  <si>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</si>
  <si>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</si>
  <si>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</si>
  <si>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</si>
  <si>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</si>
  <si>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</si>
  <si>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</si>
  <si>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</si>
  <si>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</si>
  <si>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</si>
  <si>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</si>
  <si>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</si>
  <si>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</si>
  <si>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</si>
  <si>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</si>
  <si>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</si>
  <si>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</si>
  <si>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</si>
  <si>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</si>
  <si>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</si>
  <si>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</si>
  <si>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</si>
  <si>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</si>
  <si>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</si>
  <si>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</si>
  <si>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</si>
  <si>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</si>
  <si>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</si>
  <si>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</si>
  <si>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</si>
  <si>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</si>
  <si>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</si>
  <si>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</si>
  <si>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</si>
  <si>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</si>
  <si>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</si>
  <si>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</si>
  <si>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2018</t>
  </si>
  <si>
    <t>2019</t>
  </si>
  <si>
    <t>2020</t>
  </si>
  <si>
    <t>18-20</t>
  </si>
  <si>
    <t>19-20</t>
  </si>
  <si>
    <t>*</t>
  </si>
  <si>
    <t>Hittil i år</t>
  </si>
  <si>
    <t>Finans Norge / Skadestatistikk</t>
  </si>
  <si>
    <t>Skadestatistikk for landbasert forsikring 1. kvartal 2020</t>
  </si>
  <si>
    <t xml:space="preserve">NB. Datagrunnlaget er levert fra Finans Norges medlemsselskaper. Enkelte tall kan bli justert i </t>
  </si>
  <si>
    <t xml:space="preserve">etterkant dersom et selskap oppdager feil eller mangler ved sine data. For mer detaljert beskrivelse av </t>
  </si>
  <si>
    <t>statistikkens innhold henviser vi til punkt 4. Prinsipper, begreper og definisjoner på side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</si>
</sst>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
      <sz val="11"/>
      <name val="Times New Roman"/>
      <family val="1"/>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19">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5" fillId="0" borderId="0" xfId="9" applyFont="1"/>
    <xf numFmtId="0" fontId="3" fillId="0" borderId="0" xfId="9"/>
    <xf numFmtId="0" fontId="0" fillId="0" borderId="0" xfId="9" applyFont="1"/>
    <xf numFmtId="0" fontId="26" fillId="0" borderId="0" xfId="9" applyFont="1" applyAlignment="1">
      <alignment horizontal="right"/>
    </xf>
    <xf numFmtId="0" fontId="28" fillId="0" borderId="0" xfId="9" applyFont="1" applyAlignment="1">
      <alignment horizontal="left"/>
    </xf>
    <xf numFmtId="0" fontId="31"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29" fillId="0" borderId="0" xfId="9" applyFont="1" applyAlignment="1">
      <alignment horizontal="left"/>
    </xf>
    <xf numFmtId="14" fontId="30" fillId="0" borderId="0" xfId="9" applyNumberFormat="1" applyFont="1" applyAlignment="1">
      <alignment horizontal="left"/>
    </xf>
    <xf numFmtId="0" fontId="30" fillId="0" borderId="0" xfId="9" applyFont="1" applyAlignment="1">
      <alignment horizontal="left"/>
    </xf>
    <xf numFmtId="0" fontId="32" fillId="0" borderId="0" xfId="4" applyFont="1" applyAlignment="1">
      <alignment vertical="center"/>
    </xf>
    <xf numFmtId="0" fontId="33" fillId="0" borderId="0" xfId="4" applyFont="1" applyAlignment="1">
      <alignment vertical="center"/>
    </xf>
    <xf numFmtId="0" fontId="34" fillId="0" borderId="0" xfId="4" applyFont="1"/>
    <xf numFmtId="14" fontId="27" fillId="0" borderId="0" xfId="9" applyNumberFormat="1" applyFont="1"/>
    <xf numFmtId="14" fontId="35"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6" fillId="0" borderId="0" xfId="0" applyFont="1"/>
    <xf numFmtId="0" fontId="37" fillId="0" borderId="0" xfId="0" applyFont="1" applyAlignment="1">
      <alignment horizontal="right"/>
    </xf>
    <xf numFmtId="0" fontId="38" fillId="0" borderId="0" xfId="0" applyFont="1"/>
    <xf numFmtId="0" fontId="39" fillId="0" borderId="0" xfId="0" applyFont="1"/>
    <xf numFmtId="0" fontId="37" fillId="0" borderId="0" xfId="0" applyFont="1"/>
    <xf numFmtId="0" fontId="37" fillId="0" borderId="0" xfId="0" quotePrefix="1" applyFont="1"/>
    <xf numFmtId="0" fontId="36" fillId="0" borderId="0" xfId="0" applyFont="1" applyAlignment="1">
      <alignment horizontal="right"/>
    </xf>
    <xf numFmtId="1" fontId="39" fillId="0" borderId="0" xfId="0" applyNumberFormat="1" applyFont="1"/>
    <xf numFmtId="167" fontId="36" fillId="0" borderId="0" xfId="0" applyNumberFormat="1" applyFont="1"/>
    <xf numFmtId="3" fontId="36" fillId="0" borderId="0" xfId="0" applyNumberFormat="1" applyFont="1"/>
    <xf numFmtId="169" fontId="39" fillId="0" borderId="0" xfId="0" applyNumberFormat="1" applyFont="1"/>
    <xf numFmtId="170" fontId="39" fillId="0" borderId="0" xfId="0" applyNumberFormat="1" applyFont="1"/>
    <xf numFmtId="167" fontId="39" fillId="0" borderId="0" xfId="0" applyNumberFormat="1" applyFont="1"/>
    <xf numFmtId="3" fontId="39" fillId="0" borderId="0" xfId="0" applyNumberFormat="1" applyFont="1"/>
    <xf numFmtId="168" fontId="39" fillId="0" borderId="0" xfId="1" applyNumberFormat="1" applyFont="1"/>
    <xf numFmtId="167" fontId="39" fillId="0" borderId="0" xfId="1" applyNumberFormat="1" applyFont="1"/>
    <xf numFmtId="170" fontId="36" fillId="0" borderId="0" xfId="0" applyNumberFormat="1" applyFont="1"/>
    <xf numFmtId="3" fontId="36" fillId="0" borderId="0" xfId="0" applyNumberFormat="1" applyFont="1" applyBorder="1"/>
    <xf numFmtId="167" fontId="36" fillId="0" borderId="0" xfId="0" applyNumberFormat="1" applyFont="1" applyBorder="1"/>
    <xf numFmtId="171" fontId="36" fillId="0" borderId="0" xfId="0" applyNumberFormat="1" applyFont="1"/>
    <xf numFmtId="1" fontId="36" fillId="0" borderId="0" xfId="0" applyNumberFormat="1" applyFont="1"/>
    <xf numFmtId="169" fontId="36" fillId="0" borderId="0" xfId="0" applyNumberFormat="1" applyFont="1"/>
    <xf numFmtId="0" fontId="36" fillId="0" borderId="0" xfId="0" applyFont="1" applyAlignment="1">
      <alignment horizontal="left" indent="1"/>
    </xf>
    <xf numFmtId="0" fontId="36" fillId="0" borderId="0" xfId="0" applyFont="1" applyBorder="1"/>
    <xf numFmtId="170" fontId="39" fillId="0" borderId="0" xfId="0" applyNumberFormat="1" applyFont="1" applyBorder="1"/>
    <xf numFmtId="0" fontId="39" fillId="0" borderId="0" xfId="0" applyFont="1" applyBorder="1"/>
    <xf numFmtId="171" fontId="36" fillId="0" borderId="0" xfId="0" applyNumberFormat="1" applyFont="1" applyBorder="1"/>
    <xf numFmtId="1" fontId="36" fillId="0" borderId="0" xfId="0" applyNumberFormat="1" applyFont="1" applyBorder="1"/>
    <xf numFmtId="0" fontId="37" fillId="0" borderId="0" xfId="0" applyFont="1" applyBorder="1"/>
    <xf numFmtId="0" fontId="37" fillId="0" borderId="0" xfId="0" applyFont="1" applyBorder="1" applyAlignment="1">
      <alignment horizontal="right"/>
    </xf>
    <xf numFmtId="0" fontId="36" fillId="0" borderId="0" xfId="0" applyFont="1" applyBorder="1" applyAlignment="1">
      <alignment horizontal="left" indent="1"/>
    </xf>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0" fontId="40" fillId="0" borderId="0" xfId="0" applyFont="1"/>
    <xf numFmtId="0" fontId="40" fillId="0" borderId="6" xfId="0" applyFont="1" applyBorder="1"/>
    <xf numFmtId="0" fontId="13" fillId="0" borderId="0" xfId="0" applyFont="1"/>
    <xf numFmtId="0" fontId="13" fillId="0" borderId="6" xfId="0" applyFont="1" applyBorder="1"/>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'Tab2'!$B$71:$B$219</c:f>
              <c:numCache>
                <c:formatCode>General</c:formatCode>
                <c:ptCount val="14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'Tab2'!$C$71:$C$219</c:f>
              <c:numCache>
                <c:formatCode>General</c:formatCode>
                <c:ptCount val="149"/>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'Tab2'!$B$71:$B$219</c:f>
              <c:numCache>
                <c:formatCode>General</c:formatCode>
                <c:ptCount val="14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'Tab2'!$D$71:$D$219</c:f>
              <c:numCache>
                <c:formatCode>General</c:formatCode>
                <c:ptCount val="149"/>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c:v>222.678</c:v>
                </c:pt>
                <c:pt idx="141">
                  <c:v>208.83864191330298</c:v>
                </c:pt>
                <c:pt idx="142">
                  <c:v>207.39460472346803</c:v>
                </c:pt>
                <c:pt idx="143">
                  <c:v>195.66619934230232</c:v>
                </c:pt>
                <c:pt idx="144">
                  <c:v>223.58363596412556</c:v>
                </c:pt>
                <c:pt idx="145">
                  <c:v>199.97176164424542</c:v>
                </c:pt>
                <c:pt idx="146">
                  <c:v>183.517602391629</c:v>
                </c:pt>
                <c:pt idx="147">
                  <c:v>199.72038857997018</c:v>
                </c:pt>
                <c:pt idx="148">
                  <c:v>227.94719714499254</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'Tab2'!$K$103:$K$219</c:f>
              <c:numCache>
                <c:formatCode>General</c:formatCode>
                <c:ptCount val="11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'Tab2'!$T$103:$T$219</c:f>
              <c:numCache>
                <c:formatCode>#\ ##0.0</c:formatCode>
                <c:ptCount val="117"/>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'Tab2'!$K$103:$K$219</c:f>
              <c:numCache>
                <c:formatCode>General</c:formatCode>
                <c:ptCount val="11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'Tab2'!$R$103:$R$219</c:f>
              <c:numCache>
                <c:formatCode>#,##0</c:formatCode>
                <c:ptCount val="117"/>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50.70896982165489</c:v>
                </c:pt>
                <c:pt idx="1">
                  <c:v>426.6783356999934</c:v>
                </c:pt>
                <c:pt idx="2">
                  <c:v>201.36907792206864</c:v>
                </c:pt>
                <c:pt idx="3">
                  <c:v>433.23551699740028</c:v>
                </c:pt>
                <c:pt idx="4" formatCode="0.000">
                  <c:v>3341.0432635113502</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2162.8651301313707</c:v>
                </c:pt>
                <c:pt idx="1">
                  <c:v>1550.2525616949954</c:v>
                </c:pt>
                <c:pt idx="2">
                  <c:v>444.42031264470154</c:v>
                </c:pt>
                <c:pt idx="3">
                  <c:v>451.13826828194635</c:v>
                </c:pt>
                <c:pt idx="4">
                  <c:v>138.62619982034983</c:v>
                </c:pt>
                <c:pt idx="5">
                  <c:v>567.076050579347</c:v>
                </c:pt>
                <c:pt idx="6">
                  <c:v>52.283765475558774</c:v>
                </c:pt>
                <c:pt idx="7">
                  <c:v>233.93808828589471</c:v>
                </c:pt>
                <c:pt idx="8">
                  <c:v>51.82698859029982</c:v>
                </c:pt>
                <c:pt idx="9">
                  <c:v>188.08266129477732</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2004.8948327261578</c:v>
                </c:pt>
                <c:pt idx="1">
                  <c:v>1824.3973235769665</c:v>
                </c:pt>
                <c:pt idx="2">
                  <c:v>545.64501203044745</c:v>
                </c:pt>
                <c:pt idx="3">
                  <c:v>421.08048263052808</c:v>
                </c:pt>
                <c:pt idx="4">
                  <c:v>160.97506029357834</c:v>
                </c:pt>
                <c:pt idx="5">
                  <c:v>669.81500735484826</c:v>
                </c:pt>
                <c:pt idx="6">
                  <c:v>77.155455798829564</c:v>
                </c:pt>
                <c:pt idx="7">
                  <c:v>286.86351714177783</c:v>
                </c:pt>
                <c:pt idx="8">
                  <c:v>43.233376973261215</c:v>
                </c:pt>
                <c:pt idx="9">
                  <c:v>230.76050452690811</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2020</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2238.5054961430219</c:v>
                </c:pt>
                <c:pt idx="1">
                  <c:v>1978.315469269394</c:v>
                </c:pt>
                <c:pt idx="2">
                  <c:v>487.28217775198448</c:v>
                </c:pt>
                <c:pt idx="3">
                  <c:v>510.86431403512239</c:v>
                </c:pt>
                <c:pt idx="4">
                  <c:v>218.78626308048575</c:v>
                </c:pt>
                <c:pt idx="5">
                  <c:v>1301.6575039202255</c:v>
                </c:pt>
                <c:pt idx="6">
                  <c:v>66.770091924013826</c:v>
                </c:pt>
                <c:pt idx="7">
                  <c:v>375.03076775466707</c:v>
                </c:pt>
                <c:pt idx="8">
                  <c:v>35.680164690636182</c:v>
                </c:pt>
                <c:pt idx="9">
                  <c:v>254.16114653284538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6317.397789855072</c:v>
                </c:pt>
                <c:pt idx="1">
                  <c:v>25111.388794466402</c:v>
                </c:pt>
                <c:pt idx="2">
                  <c:v>5432.8596770186341</c:v>
                </c:pt>
                <c:pt idx="3" formatCode="_ * #\ ##0_ ;_ * \-#\ ##0_ ;_ * &quot;-&quot;??_ ;_ @_ ">
                  <c:v>55384.087369318804</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6246.0660115942028</c:v>
                </c:pt>
                <c:pt idx="1">
                  <c:v>22919.924612648225</c:v>
                </c:pt>
                <c:pt idx="2">
                  <c:v>6910.1016739130437</c:v>
                </c:pt>
                <c:pt idx="3" formatCode="_ * #\ ##0_ ;_ * \-#\ ##0_ ;_ * &quot;-&quot;??_ ;_ @_ ">
                  <c:v>67340.42820387517</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2020</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7817.2878601449283</c:v>
                </c:pt>
                <c:pt idx="1">
                  <c:v>22417.308750988144</c:v>
                </c:pt>
                <c:pt idx="2">
                  <c:v>8173.2696444099374</c:v>
                </c:pt>
                <c:pt idx="3" formatCode="_ * #\ ##0_ ;_ * \-#\ ##0_ ;_ * &quot;-&quot;??_ ;_ @_ ">
                  <c:v>79429.819190509574</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1261.6003618581506</c:v>
                </c:pt>
                <c:pt idx="1">
                  <c:v>1175.3156799844853</c:v>
                </c:pt>
                <c:pt idx="2">
                  <c:v>116.1862852864825</c:v>
                </c:pt>
                <c:pt idx="3">
                  <c:v>1160.0153646972481</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1397.4160606846908</c:v>
                </c:pt>
                <c:pt idx="1">
                  <c:v>1170.7788601930165</c:v>
                </c:pt>
                <c:pt idx="2">
                  <c:v>123.67116062391185</c:v>
                </c:pt>
                <c:pt idx="3">
                  <c:v>1137.4260748015049</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2020</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1773.3957103534681</c:v>
                </c:pt>
                <c:pt idx="1">
                  <c:v>1187.0066434405767</c:v>
                </c:pt>
                <c:pt idx="2">
                  <c:v>145.83786039029874</c:v>
                </c:pt>
                <c:pt idx="3">
                  <c:v>1110.5807512280721</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76206</c:v>
                </c:pt>
                <c:pt idx="1">
                  <c:v>33394.176842986446</c:v>
                </c:pt>
                <c:pt idx="2">
                  <c:v>34728.323898219358</c:v>
                </c:pt>
                <c:pt idx="3">
                  <c:v>12011.183150183149</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2019</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81899</c:v>
                </c:pt>
                <c:pt idx="1">
                  <c:v>32150.909694972008</c:v>
                </c:pt>
                <c:pt idx="2">
                  <c:v>46176.703657196675</c:v>
                </c:pt>
                <c:pt idx="3">
                  <c:v>12689.963847746456</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2020</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161886</c:v>
                </c:pt>
                <c:pt idx="1">
                  <c:v>33920.378607928287</c:v>
                </c:pt>
                <c:pt idx="2">
                  <c:v>50451.839690263172</c:v>
                </c:pt>
                <c:pt idx="3">
                  <c:v>11962.421245421247</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1085.2063591022443</c:v>
                </c:pt>
                <c:pt idx="1">
                  <c:v>2556.018</c:v>
                </c:pt>
                <c:pt idx="2">
                  <c:v>3000.3396244897958</c:v>
                </c:pt>
                <c:pt idx="3">
                  <c:v>4327.0239104274578</c:v>
                </c:pt>
                <c:pt idx="4">
                  <c:v>6360.0533333333333</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2019</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1566.1477556109726</c:v>
                </c:pt>
                <c:pt idx="1">
                  <c:v>3033.5280000000002</c:v>
                </c:pt>
                <c:pt idx="2">
                  <c:v>2645.6721469387758</c:v>
                </c:pt>
                <c:pt idx="3">
                  <c:v>3154.2796002720661</c:v>
                </c:pt>
                <c:pt idx="4">
                  <c:v>7597.1933333333336</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2020</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1436.2980049875312</c:v>
                </c:pt>
                <c:pt idx="1">
                  <c:v>4082.944</c:v>
                </c:pt>
                <c:pt idx="2">
                  <c:v>2512.8568816326533</c:v>
                </c:pt>
                <c:pt idx="3">
                  <c:v>3848.8858368649608</c:v>
                </c:pt>
                <c:pt idx="4">
                  <c:v>7746.45</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'Tab2'!$K$71:$K$219</c:f>
              <c:numCache>
                <c:formatCode>General</c:formatCode>
                <c:ptCount val="14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'Tab2'!$N$71:$N$219</c:f>
              <c:numCache>
                <c:formatCode>#\ ##0.0</c:formatCode>
                <c:ptCount val="149"/>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'Tab2'!$K$71:$K$219</c:f>
              <c:numCache>
                <c:formatCode>General</c:formatCode>
                <c:ptCount val="14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'Tab2'!$L$71:$L$219</c:f>
              <c:numCache>
                <c:formatCode>#,##0</c:formatCode>
                <c:ptCount val="149"/>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'Tab2'!$K$103:$K$219</c:f>
              <c:numCache>
                <c:formatCode>General</c:formatCode>
                <c:ptCount val="11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'Tab2'!$Q$103:$Q$219</c:f>
              <c:numCache>
                <c:formatCode>#\ ##0.0</c:formatCode>
                <c:ptCount val="117"/>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'Tab2'!$K$103:$K$219</c:f>
              <c:numCache>
                <c:formatCode>General</c:formatCode>
                <c:ptCount val="11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'Tab2'!$O$103:$O$219</c:f>
              <c:numCache>
                <c:formatCode>#,##0</c:formatCode>
                <c:ptCount val="117"/>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71458</xdr:colOff>
      <xdr:row>49</xdr:row>
      <xdr:rowOff>25324</xdr:rowOff>
    </xdr:to>
    <xdr:pic>
      <xdr:nvPicPr>
        <xdr:cNvPr id="7" name="Picture 6">
          <a:extLst>
            <a:ext uri="{FF2B5EF4-FFF2-40B4-BE49-F238E27FC236}">
              <a16:creationId xmlns:a16="http://schemas.microsoft.com/office/drawing/2014/main" id="{890DC3E6-EE16-4AF6-B171-BFA45D9AD1D2}"/>
            </a:ext>
          </a:extLst>
        </xdr:cNvPr>
        <xdr:cNvPicPr>
          <a:picLocks noChangeAspect="1"/>
        </xdr:cNvPicPr>
      </xdr:nvPicPr>
      <xdr:blipFill>
        <a:blip xmlns:r="http://schemas.openxmlformats.org/officeDocument/2006/relationships" r:embed="rId1"/>
        <a:stretch>
          <a:fillRect/>
        </a:stretch>
      </xdr:blipFill>
      <xdr:spPr>
        <a:xfrm>
          <a:off x="0" y="0"/>
          <a:ext cx="6834208" cy="10845724"/>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2020 </a:t>
          </a:r>
          <a:r>
            <a:rPr lang="nb-NO" sz="1000">
              <a:effectLst/>
              <a:latin typeface="Arial"/>
              <a:ea typeface="ＭＳ 明朝"/>
              <a:cs typeface="Times New Roman"/>
            </a:rPr>
            <a:t>(26. mai 2020)</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38</xdr:row>
      <xdr:rowOff>6350</xdr:rowOff>
    </xdr:from>
    <xdr:to>
      <xdr:col>7</xdr:col>
      <xdr:colOff>295303</xdr:colOff>
      <xdr:row>39</xdr:row>
      <xdr:rowOff>162009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731250"/>
          <a:ext cx="5508653" cy="38425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12700</xdr:rowOff>
    </xdr:from>
    <xdr:to>
      <xdr:col>2</xdr:col>
      <xdr:colOff>346333</xdr:colOff>
      <xdr:row>7</xdr:row>
      <xdr:rowOff>38553</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647700"/>
          <a:ext cx="2094850"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3</xdr:row>
      <xdr:rowOff>9526</xdr:rowOff>
    </xdr:from>
    <xdr:to>
      <xdr:col>2</xdr:col>
      <xdr:colOff>171450</xdr:colOff>
      <xdr:row>46</xdr:row>
      <xdr:rowOff>161926</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352426"/>
          <a:ext cx="2598099" cy="8343900"/>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nb-NO" sz="1100" b="1">
              <a:effectLst/>
              <a:latin typeface="Times New Roman" panose="02020603050405020304" pitchFamily="18" charset="0"/>
              <a:ea typeface="+mn-ea"/>
              <a:cs typeface="Times New Roman" panose="02020603050405020304" pitchFamily="18" charset="0"/>
            </a:rPr>
            <a:t>HOVEDTREKK – Koronaeffekt på reise og noe reduksjon på motor </a:t>
          </a:r>
        </a:p>
        <a:p>
          <a:pPr marL="0" marR="0" lvl="0" indent="0" defTabSz="914400" rtl="0" eaLnBrk="1" fontAlgn="auto" latinLnBrk="0" hangingPunct="1">
            <a:lnSpc>
              <a:spcPct val="100000"/>
            </a:lnSpc>
            <a:spcBef>
              <a:spcPts val="0"/>
            </a:spcBef>
            <a:spcAft>
              <a:spcPts val="0"/>
            </a:spcAft>
            <a:buClrTx/>
            <a:buSzTx/>
            <a:buFontTx/>
            <a:buNone/>
            <a:tabLst/>
            <a:defRPr/>
          </a:pPr>
          <a:r>
            <a:rPr lang="nb-NO" sz="1050" i="1">
              <a:effectLst/>
              <a:latin typeface="Times New Roman" panose="02020603050405020304" pitchFamily="18" charset="0"/>
              <a:ea typeface="+mn-ea"/>
              <a:cs typeface="Times New Roman" panose="02020603050405020304" pitchFamily="18" charset="0"/>
            </a:rPr>
            <a:t>Merk: De strenge koronatiltak startet 12.mars, det vil si bare ca. 2,5 ukers virkning i denne statistikken.</a:t>
          </a:r>
          <a:r>
            <a:rPr lang="nb-NO" sz="1050">
              <a:effectLst/>
              <a:latin typeface="Times New Roman" panose="02020603050405020304" pitchFamily="18" charset="0"/>
              <a:ea typeface="+mn-ea"/>
              <a:cs typeface="Times New Roman" panose="02020603050405020304"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lang="nb-NO" sz="1050">
              <a:effectLst/>
              <a:latin typeface="Times New Roman" panose="02020603050405020304" pitchFamily="18" charset="0"/>
              <a:ea typeface="+mn-ea"/>
              <a:cs typeface="Times New Roman" panose="02020603050405020304" pitchFamily="18" charset="0"/>
            </a:rPr>
            <a:t>Påsken var i april både i fjor og i år, mens den i 2018 var i slutten av mars. </a:t>
          </a:r>
        </a:p>
        <a:p>
          <a:pPr marL="0" marR="0" lvl="0" indent="0" defTabSz="914400" rtl="0" eaLnBrk="1" fontAlgn="auto" latinLnBrk="0" hangingPunct="1">
            <a:lnSpc>
              <a:spcPct val="100000"/>
            </a:lnSpc>
            <a:spcBef>
              <a:spcPts val="0"/>
            </a:spcBef>
            <a:spcAft>
              <a:spcPts val="0"/>
            </a:spcAft>
            <a:buClrTx/>
            <a:buSzTx/>
            <a:buFontTx/>
            <a:buNone/>
            <a:tabLst/>
            <a:defRPr/>
          </a:pPr>
          <a:r>
            <a:rPr lang="nb-NO" sz="1050">
              <a:effectLst/>
              <a:latin typeface="Times New Roman" panose="02020603050405020304" pitchFamily="18" charset="0"/>
              <a:ea typeface="+mn-ea"/>
              <a:cs typeface="Times New Roman" panose="02020603050405020304" pitchFamily="18" charset="0"/>
            </a:rPr>
            <a:t>Erstatningene for landbasert forsikring totalt hittil i år ble på 12,9 milliarder kr, mot 11,6 milliarder i fjor til samme tid. Om lag halvparten av økningen fra i fjor, skyldes økte reiseskader</a:t>
          </a:r>
          <a:r>
            <a:rPr lang="nb-NO" sz="1050" baseline="0">
              <a:effectLst/>
              <a:latin typeface="Times New Roman" panose="02020603050405020304" pitchFamily="18" charset="0"/>
              <a:ea typeface="+mn-ea"/>
              <a:cs typeface="Times New Roman" panose="02020603050405020304" pitchFamily="18" charset="0"/>
            </a:rPr>
            <a:t> (632 millioner)</a:t>
          </a:r>
          <a:r>
            <a:rPr lang="nb-NO" sz="1050">
              <a:effectLst/>
              <a:latin typeface="Times New Roman" panose="02020603050405020304" pitchFamily="18" charset="0"/>
              <a:ea typeface="+mn-ea"/>
              <a:cs typeface="Times New Roman" panose="02020603050405020304" pitchFamily="18" charset="0"/>
            </a:rPr>
            <a:t>. Brannskader på bygninger og løsøre (privat og næring) økte med 376 mill.kr fra i fjor. Erstatningene</a:t>
          </a:r>
          <a:r>
            <a:rPr lang="nb-NO" sz="1050" baseline="0">
              <a:effectLst/>
              <a:latin typeface="Times New Roman" panose="02020603050405020304" pitchFamily="18" charset="0"/>
              <a:ea typeface="+mn-ea"/>
              <a:cs typeface="Times New Roman" panose="02020603050405020304" pitchFamily="18" charset="0"/>
            </a:rPr>
            <a:t> endte på</a:t>
          </a:r>
          <a:r>
            <a:rPr lang="nb-NO" sz="1050">
              <a:effectLst/>
              <a:latin typeface="Times New Roman" panose="02020603050405020304" pitchFamily="18" charset="0"/>
              <a:ea typeface="+mn-ea"/>
              <a:cs typeface="Times New Roman" panose="02020603050405020304" pitchFamily="18" charset="0"/>
            </a:rPr>
            <a:t> nesten 1,8 milliarder kr for første kvartal i år.  På motorvogn er det en kombinasjon av mildere vinter og koronaeffekt i slutten av mars, som kan ha medført noe færre skader - 2 % reduksjon fra i fjor, og noe mindre erstatninger - 1% reduksjon.</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Motor – mild vinter og mindre rush-trafikk i sentrale strøk</a:t>
          </a:r>
        </a:p>
        <a:p>
          <a:pPr rtl="0"/>
          <a:r>
            <a:rPr lang="en-US" sz="1050" b="0" i="0">
              <a:latin typeface="Times New Roman" pitchFamily="18" charset="0"/>
              <a:ea typeface="+mn-ea"/>
              <a:cs typeface="Times New Roman" pitchFamily="18" charset="0"/>
            </a:rPr>
            <a:t>En mild vinter på sentrale østlandsområdet, men med store snømengder i høyereliggende strøk, og på slutten av mars mindre biltrafikk, kan ha medført reduksjonen i antall meldte skader på 2% fra i fjor til hittil i år. På MC/mopeder er det riktignok en vekst på 10% i antall meldte skader, noe som kan tilsi mer bruk. De totale erstatningene på motorkjøretøy er redusert med drøye 1 % fra i fjor. Erstatningene etter bilansvar (sum av bilansvar ting og person) er redusert med hele 10 % (mindre kollisjoner), og kaskoskadene er redusert med nesten 6 % fra i fjor. Reduksjonen i antall bilansvarsskader er på drøye 20 % fra i fjor og antall kaskoskader er redusert med nesten 10 %. Brannen i et parkeringshus på Sola i Rogaland (januar 2020) har medført stor økning i brannskadde motorkjøretøy; brannerstatningene økte fra 80 mill.kr i 1.kv. i fjor til nå drøye 200 mill.kr. Antall meldte bilbranner økte fra «normalt» rundt 850 til nå 2 200 skader.   </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Reiseforsikring – doblet erstatning grunnet koronatiltak</a:t>
          </a:r>
        </a:p>
        <a:p>
          <a:pPr marL="0" marR="0" lvl="0" indent="0" defTabSz="914400" rtl="0" eaLnBrk="1" fontAlgn="auto" latinLnBrk="0" hangingPunct="1">
            <a:lnSpc>
              <a:spcPct val="100000"/>
            </a:lnSpc>
            <a:spcBef>
              <a:spcPts val="0"/>
            </a:spcBef>
            <a:spcAft>
              <a:spcPts val="0"/>
            </a:spcAft>
            <a:buClrTx/>
            <a:buSzTx/>
            <a:buFontTx/>
            <a:buNone/>
            <a:tabLst/>
            <a:defRPr/>
          </a:pPr>
          <a:r>
            <a:rPr lang="nb-NO" sz="1050" b="0" i="0">
              <a:latin typeface="Times New Roman" pitchFamily="18" charset="0"/>
              <a:ea typeface="+mn-ea"/>
              <a:cs typeface="Times New Roman" pitchFamily="18" charset="0"/>
            </a:rPr>
            <a:t>Så langt er det reiseforsikring som mest er påvirket av koronatiltakene som ble innført 12.mars. Totalt er det meldt 162 000 skader </a:t>
          </a:r>
          <a:r>
            <a:rPr lang="nb-NO" sz="1000" b="0" i="0">
              <a:effectLst/>
              <a:latin typeface="Times New Roman" panose="02020603050405020304" pitchFamily="18" charset="0"/>
              <a:ea typeface="+mn-ea"/>
              <a:cs typeface="Times New Roman" panose="02020603050405020304" pitchFamily="18" charset="0"/>
            </a:rPr>
            <a:t>hittil i år mot 82 000 i fjor til samme tid. Erstatningene er på 1,3 milliarder kr mot 670 mill.kr i fjor. </a:t>
          </a:r>
          <a:endParaRPr lang="nb-NO" sz="1000" b="0"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050" b="0"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050" b="0" i="0">
            <a:latin typeface="Times New Roman" pitchFamily="18" charset="0"/>
            <a:ea typeface="+mn-ea"/>
            <a:cs typeface="Times New Roman" pitchFamily="18" charset="0"/>
          </a:endParaRPr>
        </a:p>
        <a:p>
          <a:pPr rtl="0"/>
          <a:endParaRPr lang="nb-NO" sz="1050" b="0" i="0" baseline="0">
            <a:latin typeface="Times New Roman" pitchFamily="18" charset="0"/>
            <a:ea typeface="+mn-ea"/>
            <a:cs typeface="Times New Roman" pitchFamily="18" charset="0"/>
          </a:endParaRPr>
        </a:p>
      </xdr:txBody>
    </xdr:sp>
    <xdr:clientData/>
  </xdr:twoCellAnchor>
  <xdr:twoCellAnchor>
    <xdr:from>
      <xdr:col>2</xdr:col>
      <xdr:colOff>228600</xdr:colOff>
      <xdr:row>3</xdr:row>
      <xdr:rowOff>19050</xdr:rowOff>
    </xdr:from>
    <xdr:to>
      <xdr:col>6</xdr:col>
      <xdr:colOff>495300</xdr:colOff>
      <xdr:row>47</xdr:row>
      <xdr:rowOff>57150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743200" y="361950"/>
          <a:ext cx="2686050" cy="842010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nb-NO" sz="1050" b="0" i="0">
              <a:effectLst/>
              <a:latin typeface="Times New Roman" panose="02020603050405020304" pitchFamily="18" charset="0"/>
              <a:ea typeface="+mn-ea"/>
              <a:cs typeface="Times New Roman" panose="02020603050405020304" pitchFamily="18" charset="0"/>
            </a:rPr>
            <a:t>Og naturlig nok som følge av «reiseforbud» i slutten av mars har dette medført økt antall avbestillingsaker – fra 20 400 saker i fjor til nå nærmere 80 000 saker. </a:t>
          </a:r>
          <a:endParaRPr lang="en-US" sz="1100" b="1" i="0">
            <a:latin typeface="Times New Roman" pitchFamily="18" charset="0"/>
            <a:ea typeface="+mn-ea"/>
            <a:cs typeface="Times New Roman" pitchFamily="18" charset="0"/>
          </a:endParaRPr>
        </a:p>
        <a:p>
          <a:pPr rtl="0"/>
          <a:endParaRPr lang="en-US" sz="1100" b="1" i="0">
            <a:latin typeface="Times New Roman" pitchFamily="18" charset="0"/>
            <a:ea typeface="+mn-ea"/>
            <a:cs typeface="Times New Roman" pitchFamily="18" charset="0"/>
          </a:endParaRPr>
        </a:p>
        <a:p>
          <a:pPr rtl="0"/>
          <a:r>
            <a:rPr lang="en-US" sz="1100" b="1" i="0">
              <a:latin typeface="Times New Roman" pitchFamily="18" charset="0"/>
              <a:ea typeface="+mn-ea"/>
              <a:cs typeface="Times New Roman" pitchFamily="18" charset="0"/>
            </a:rPr>
            <a:t>Hus, hjem, hytte – økte brannskader</a:t>
          </a:r>
        </a:p>
        <a:p>
          <a:pPr rtl="0"/>
          <a:r>
            <a:rPr lang="en-US" sz="1050" b="0" i="0">
              <a:latin typeface="Times New Roman" pitchFamily="18" charset="0"/>
              <a:ea typeface="+mn-ea"/>
              <a:cs typeface="Times New Roman" pitchFamily="18" charset="0"/>
            </a:rPr>
            <a:t>For hus, hjem og hytter økte de totale erstatningene med 12 % fra i fjor og utgjør nå 2,2 milliarder kr. Brannskadene økte med 13 %, fra 623 mill.kr i fjor til nå 703 mill.kr. Vannskadeerstatningene økte med nesten 5 %. Også skader etter innbrudd/tyveri/ran økte fra i fjor, men utgjør likevel lite av de totale erstatningene; i fjor 77,5 mill.kr mot 90,7 mill.kr i år, men tilbake i 1.kv.2017 var det like store erstatninger her. For hjemforsikring var ikke økningen i erstatningsbeløp like stor som for hus/villa; nesten 9 % økning på hjem og nesten 15 % økning på hus/villa. Siden det var mange «nedstengte hytter» i slutten av mars i år, kan nok en del skader ikke være kjent/oppdaget ved utløpet av måneden. Så på hyttene er det en reduksjon i erstatningsbeløpet fra i fjor på 2 %; fra 192 mill.kr til 188 mill.kr hittil i år.   </a:t>
          </a: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Næringsbygg og landbruk – mer storskader på brann </a:t>
          </a:r>
        </a:p>
        <a:p>
          <a:pPr rtl="0"/>
          <a:r>
            <a:rPr lang="nb-NO" sz="1050" b="0" i="0" baseline="0">
              <a:latin typeface="Times New Roman" pitchFamily="18" charset="0"/>
              <a:ea typeface="+mn-ea"/>
              <a:cs typeface="Times New Roman" pitchFamily="18" charset="0"/>
            </a:rPr>
            <a:t>Økningen av brannerstatning på næringsbygg ble på 38 prosent fra i fjor; hittil i år er brannerstatningene på 1,071 milliarder kr. Dette skyldes flere storskader (mulig parkeringshus-brannen på Sola i januar i år innvirker også her). Totalt ble det erstattet skader for 1,978 milliarder kr på næringsbygg og landbruk som er en økning på 8 % fra i fjor. Ser man bort fra brann er erstatningene for alle de øvrige skadetypene av betydning redusert fra i fjor, vannskade-erstatninger ble f.eks. redusert med ca. 18 %.  </a:t>
          </a:r>
        </a:p>
        <a:p>
          <a:pPr rtl="0"/>
          <a:endParaRPr lang="nb-NO" sz="1100" b="1"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Behandlingsforsikring – redusert bruk som følge av korona(?)</a:t>
          </a:r>
        </a:p>
        <a:p>
          <a:pPr rtl="0"/>
          <a:r>
            <a:rPr lang="nb-NO" sz="1050" b="0" i="0" baseline="0">
              <a:latin typeface="Times New Roman" pitchFamily="18" charset="0"/>
              <a:ea typeface="+mn-ea"/>
              <a:cs typeface="Times New Roman" pitchFamily="18" charset="0"/>
            </a:rPr>
            <a:t>Det er fortsatt stor økning i porteføljen på </a:t>
          </a:r>
          <a:r>
            <a:rPr lang="nb-NO" sz="1050" b="0" i="0" baseline="0">
              <a:solidFill>
                <a:sysClr val="windowText" lastClr="000000"/>
              </a:solidFill>
              <a:latin typeface="Times New Roman" pitchFamily="18" charset="0"/>
              <a:ea typeface="+mn-ea"/>
              <a:cs typeface="Times New Roman" pitchFamily="18" charset="0"/>
            </a:rPr>
            <a:t>behandlingsforsikring, som gjenspeiler seg i bruken av denne forsikringen – antall forsikrede personer økte med 8,5 % fra 1.kv. i fjor til 1.kv. i år. Antall meldte </a:t>
          </a:r>
          <a:r>
            <a:rPr lang="nb-NO" sz="1050" b="0" i="0" baseline="0">
              <a:latin typeface="Times New Roman" pitchFamily="18" charset="0"/>
              <a:ea typeface="+mn-ea"/>
              <a:cs typeface="Times New Roman" pitchFamily="18" charset="0"/>
            </a:rPr>
            <a:t>tilfeller har økt fra 61 000 1.kv.2019 til nå 71 500, mens erstatningene er redusert fra 381 mill.kr i fjor til 370 mill.kr hittil i år. Noe av reduksjonen skyldes mindre beløp på fysioterapi og annen type behandling. Også utgifter til operasjonen har bare en marginal vekst fra i fjor til i år på 1 %. Undersøkelser hos spesialist og diagnostisering har økt med nesten 8 %, fra 122 mill.kr til 130 mill.kr.        </a:t>
          </a:r>
        </a:p>
        <a:p>
          <a:pPr rtl="0"/>
          <a:endParaRPr lang="nb-NO" sz="11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baseline="0">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ea typeface="+mn-ea"/>
              <a:cs typeface="Times New Roman" pitchFamily="18" charset="0"/>
            </a:rPr>
            <a:t>Codan</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a:t>
          </a:r>
        </a:p>
        <a:p>
          <a:pPr algn="l" rtl="0">
            <a:defRPr sz="1000"/>
          </a:pPr>
          <a:r>
            <a:rPr lang="en-US" sz="1050" b="0" i="0" strike="noStrike">
              <a:solidFill>
                <a:srgbClr val="000000"/>
              </a:solidFill>
              <a:latin typeface="Times New Roman" pitchFamily="18" charset="0"/>
              <a:ea typeface="+mn-ea"/>
              <a:cs typeface="Times New Roman" pitchFamily="18" charset="0"/>
            </a:rPr>
            <a:t>   Frende</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If</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Inter Hannover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a:t>
          </a:r>
        </a:p>
        <a:p>
          <a:pPr algn="l" rtl="0">
            <a:defRPr sz="1000"/>
          </a:pPr>
          <a:r>
            <a:rPr lang="en-US" sz="1050" b="0" i="0" strike="noStrike">
              <a:solidFill>
                <a:srgbClr val="000000"/>
              </a:solidFill>
              <a:latin typeface="Times New Roman" pitchFamily="18" charset="0"/>
              <a:ea typeface="+mn-ea"/>
              <a:cs typeface="Times New Roman" pitchFamily="18" charset="0"/>
            </a:rPr>
            <a:t>   KLP</a:t>
          </a:r>
        </a:p>
        <a:p>
          <a:pPr algn="l" rtl="0">
            <a:defRPr sz="1000"/>
          </a:pPr>
          <a:r>
            <a:rPr lang="en-US" sz="1050" b="0" i="0" strike="noStrike">
              <a:solidFill>
                <a:srgbClr val="000000"/>
              </a:solidFill>
              <a:latin typeface="Times New Roman" pitchFamily="18" charset="0"/>
              <a:ea typeface="+mn-ea"/>
              <a:cs typeface="Times New Roman" pitchFamily="18" charset="0"/>
            </a:rPr>
            <a:t>   KNIF Tryghet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NEMI</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OBOS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Sparebank 1 Forsikring</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Troll</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0" zoomScaleNormal="60" zoomScaleSheetLayoutView="50" workbookViewId="0"/>
  </sheetViews>
  <sheetFormatPr defaultColWidth="11.42578125" defaultRowHeight="12.75" x14ac:dyDescent="0.2"/>
  <cols>
    <col min="1" max="1" width="16.425781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425781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425781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425781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425781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425781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425781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425781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425781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425781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425781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425781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425781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425781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425781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425781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425781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425781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425781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425781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425781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425781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425781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425781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425781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425781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425781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425781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425781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425781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425781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425781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425781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425781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425781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425781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425781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425781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425781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425781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425781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425781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425781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425781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425781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425781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425781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425781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425781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425781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425781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425781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425781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425781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425781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425781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425781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425781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425781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425781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425781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425781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425781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425781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x14ac:dyDescent="0.2">
      <c r="B5" s="98"/>
      <c r="C5" s="98"/>
      <c r="D5" s="98"/>
      <c r="E5" s="98"/>
      <c r="F5" s="98"/>
      <c r="G5" s="98"/>
      <c r="H5" s="98"/>
    </row>
    <row r="6" spans="2:9" ht="23.25" x14ac:dyDescent="0.35">
      <c r="B6" s="100"/>
      <c r="C6" s="98"/>
      <c r="D6" s="98"/>
      <c r="E6" s="98"/>
      <c r="F6" s="98"/>
      <c r="G6" s="98"/>
      <c r="H6" s="98"/>
      <c r="I6" s="101"/>
    </row>
    <row r="7" spans="2:9" x14ac:dyDescent="0.2">
      <c r="B7" s="98"/>
      <c r="C7" s="98"/>
      <c r="D7" s="98"/>
      <c r="E7" s="98"/>
      <c r="F7" s="98"/>
      <c r="G7" s="98"/>
      <c r="H7" s="98"/>
      <c r="I7" s="98"/>
    </row>
    <row r="8" spans="2:9" x14ac:dyDescent="0.2">
      <c r="B8" s="98"/>
      <c r="C8" s="98"/>
      <c r="D8" s="98"/>
      <c r="F8" s="98"/>
      <c r="G8" s="98"/>
      <c r="H8" s="98"/>
    </row>
    <row r="9" spans="2:9" x14ac:dyDescent="0.2">
      <c r="B9" s="98"/>
      <c r="C9" s="98"/>
      <c r="D9" s="98"/>
      <c r="E9" s="98"/>
      <c r="F9" s="98"/>
      <c r="G9" s="98"/>
      <c r="H9" s="98"/>
    </row>
    <row r="10" spans="2:9" ht="23.25" x14ac:dyDescent="0.35">
      <c r="B10" s="98"/>
      <c r="C10" s="98"/>
      <c r="D10" s="98"/>
      <c r="I10" s="101"/>
    </row>
    <row r="11" spans="2:9" x14ac:dyDescent="0.2">
      <c r="B11" s="98"/>
      <c r="C11" s="98"/>
      <c r="D11" s="98"/>
    </row>
    <row r="12" spans="2:9" ht="27" customHeight="1" x14ac:dyDescent="0.35">
      <c r="B12" s="98"/>
      <c r="C12" s="98"/>
      <c r="D12" s="98"/>
      <c r="E12" s="98"/>
      <c r="F12" s="98"/>
      <c r="G12" s="98"/>
      <c r="H12" s="98"/>
      <c r="I12" s="101"/>
    </row>
    <row r="13" spans="2:9" ht="19.5" customHeight="1" x14ac:dyDescent="0.35">
      <c r="B13" s="98"/>
      <c r="C13" s="93"/>
      <c r="D13" s="93"/>
      <c r="E13" s="93"/>
      <c r="F13" s="93"/>
      <c r="G13" s="93"/>
      <c r="H13" s="93"/>
      <c r="I13" s="101"/>
    </row>
    <row r="14" spans="2:9" x14ac:dyDescent="0.2">
      <c r="B14" s="98"/>
      <c r="C14" s="98"/>
      <c r="D14" s="98"/>
      <c r="F14" s="98"/>
      <c r="G14" s="98"/>
      <c r="H14" s="98"/>
    </row>
    <row r="15" spans="2:9" x14ac:dyDescent="0.2">
      <c r="B15" s="98"/>
      <c r="C15" s="98"/>
      <c r="D15" s="98"/>
      <c r="F15" s="98"/>
      <c r="G15" s="98"/>
      <c r="H15" s="98"/>
      <c r="I15" s="98"/>
    </row>
    <row r="16" spans="2:9" ht="34.5" x14ac:dyDescent="0.45">
      <c r="B16" s="98"/>
      <c r="C16" s="98"/>
      <c r="D16" s="98"/>
      <c r="E16" s="102"/>
      <c r="F16" s="98"/>
      <c r="G16" s="98"/>
      <c r="H16" s="98"/>
      <c r="I16" s="98"/>
    </row>
    <row r="17" spans="2:9" ht="33" x14ac:dyDescent="0.45">
      <c r="B17" s="98"/>
      <c r="C17" s="98"/>
      <c r="D17" s="98"/>
      <c r="E17" s="103"/>
      <c r="F17" s="98"/>
      <c r="G17" s="98"/>
      <c r="H17" s="98"/>
      <c r="I17" s="98"/>
    </row>
    <row r="18" spans="2:9" ht="33" x14ac:dyDescent="0.45">
      <c r="D18" s="103"/>
    </row>
    <row r="19" spans="2:9" ht="18.75" x14ac:dyDescent="0.3">
      <c r="E19" s="104"/>
      <c r="I19" s="105"/>
    </row>
    <row r="21" spans="2:9" x14ac:dyDescent="0.2">
      <c r="E21" s="106"/>
    </row>
    <row r="22" spans="2:9" ht="26.25" x14ac:dyDescent="0.4">
      <c r="E22" s="107"/>
    </row>
    <row r="25" spans="2:9" ht="18.75" x14ac:dyDescent="0.3">
      <c r="E25" s="108"/>
    </row>
    <row r="26" spans="2:9" ht="18.75" x14ac:dyDescent="0.3">
      <c r="E26" s="109"/>
    </row>
    <row r="28" spans="2:9" x14ac:dyDescent="0.2">
      <c r="D28" s="93"/>
      <c r="E28" s="93"/>
      <c r="F28" s="93"/>
      <c r="G28" s="93"/>
      <c r="H28" s="93"/>
    </row>
    <row r="33" spans="1:9" ht="35.25" x14ac:dyDescent="0.2">
      <c r="A33" s="110"/>
    </row>
    <row r="36" spans="1:9" ht="33" x14ac:dyDescent="0.2">
      <c r="B36" s="111"/>
    </row>
    <row r="39" spans="1:9" ht="18" x14ac:dyDescent="0.25">
      <c r="B39" s="112"/>
    </row>
    <row r="41" spans="1:9" ht="18.75" x14ac:dyDescent="0.3">
      <c r="I41" s="113"/>
    </row>
    <row r="43" spans="1:9" ht="18.75" x14ac:dyDescent="0.3">
      <c r="B43" s="194"/>
      <c r="C43" s="194"/>
      <c r="D43" s="194"/>
    </row>
    <row r="57" spans="10:10" ht="18.75" x14ac:dyDescent="0.3">
      <c r="J57" s="114"/>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42</v>
      </c>
      <c r="B7" s="19" t="s">
        <v>3</v>
      </c>
      <c r="C7" s="20">
        <v>177509.24782434292</v>
      </c>
      <c r="D7" s="20">
        <v>214593.35876105269</v>
      </c>
      <c r="E7" s="21">
        <v>242266.54962509917</v>
      </c>
      <c r="F7" s="22" t="s">
        <v>237</v>
      </c>
      <c r="G7" s="23">
        <v>36.481086250130403</v>
      </c>
      <c r="H7" s="24">
        <v>12.895641796100634</v>
      </c>
    </row>
    <row r="8" spans="1:8" x14ac:dyDescent="0.2">
      <c r="A8" s="201"/>
      <c r="B8" s="25" t="s">
        <v>238</v>
      </c>
      <c r="C8" s="26">
        <v>34728.323898219358</v>
      </c>
      <c r="D8" s="26">
        <v>46176.703657196675</v>
      </c>
      <c r="E8" s="26">
        <v>50451.839690263172</v>
      </c>
      <c r="F8" s="27"/>
      <c r="G8" s="28">
        <v>45.27576924854128</v>
      </c>
      <c r="H8" s="29">
        <v>9.2582096478863889</v>
      </c>
    </row>
    <row r="9" spans="1:8" x14ac:dyDescent="0.2">
      <c r="A9" s="30" t="s">
        <v>18</v>
      </c>
      <c r="B9" s="31" t="s">
        <v>3</v>
      </c>
      <c r="C9" s="20">
        <v>9931.9197217391302</v>
      </c>
      <c r="D9" s="20">
        <v>13497.019426086958</v>
      </c>
      <c r="E9" s="21">
        <v>18384.043103028795</v>
      </c>
      <c r="F9" s="22" t="s">
        <v>237</v>
      </c>
      <c r="G9" s="32">
        <v>85.100601073018481</v>
      </c>
      <c r="H9" s="33">
        <v>36.208169542204473</v>
      </c>
    </row>
    <row r="10" spans="1:8" x14ac:dyDescent="0.2">
      <c r="A10" s="34"/>
      <c r="B10" s="25" t="s">
        <v>238</v>
      </c>
      <c r="C10" s="26">
        <v>1709.2085652173914</v>
      </c>
      <c r="D10" s="26">
        <v>1868.242647826087</v>
      </c>
      <c r="E10" s="26">
        <v>2722.2548565217394</v>
      </c>
      <c r="F10" s="27"/>
      <c r="G10" s="35">
        <v>59.269904909205763</v>
      </c>
      <c r="H10" s="29">
        <v>45.712060459030454</v>
      </c>
    </row>
    <row r="11" spans="1:8" x14ac:dyDescent="0.2">
      <c r="A11" s="30" t="s">
        <v>19</v>
      </c>
      <c r="B11" s="31" t="s">
        <v>3</v>
      </c>
      <c r="C11" s="20">
        <v>6782.0657391304348</v>
      </c>
      <c r="D11" s="20">
        <v>8872.3980869565221</v>
      </c>
      <c r="E11" s="21">
        <v>8176.4307165659129</v>
      </c>
      <c r="F11" s="22" t="s">
        <v>237</v>
      </c>
      <c r="G11" s="37">
        <v>20.559591001756587</v>
      </c>
      <c r="H11" s="33">
        <v>-7.8441855693306195</v>
      </c>
    </row>
    <row r="12" spans="1:8" x14ac:dyDescent="0.2">
      <c r="A12" s="34"/>
      <c r="B12" s="25" t="s">
        <v>238</v>
      </c>
      <c r="C12" s="26">
        <v>1565.6952173913044</v>
      </c>
      <c r="D12" s="26">
        <v>1807.8088260869565</v>
      </c>
      <c r="E12" s="26">
        <v>1733.8495217391305</v>
      </c>
      <c r="F12" s="27"/>
      <c r="G12" s="28">
        <v>10.739913009889477</v>
      </c>
      <c r="H12" s="29">
        <v>-4.0911020723309832</v>
      </c>
    </row>
    <row r="13" spans="1:8" x14ac:dyDescent="0.2">
      <c r="A13" s="30" t="s">
        <v>20</v>
      </c>
      <c r="B13" s="31" t="s">
        <v>3</v>
      </c>
      <c r="C13" s="20">
        <v>22790.459875776396</v>
      </c>
      <c r="D13" s="20">
        <v>26709.618136645964</v>
      </c>
      <c r="E13" s="21">
        <v>33618.256414868847</v>
      </c>
      <c r="F13" s="22" t="s">
        <v>237</v>
      </c>
      <c r="G13" s="23">
        <v>47.510215230896392</v>
      </c>
      <c r="H13" s="24">
        <v>25.865732122707257</v>
      </c>
    </row>
    <row r="14" spans="1:8" x14ac:dyDescent="0.2">
      <c r="A14" s="34"/>
      <c r="B14" s="25" t="s">
        <v>238</v>
      </c>
      <c r="C14" s="26">
        <v>3568.3310559006213</v>
      </c>
      <c r="D14" s="26">
        <v>4700.3851552795031</v>
      </c>
      <c r="E14" s="26">
        <v>5681.404534161491</v>
      </c>
      <c r="F14" s="27"/>
      <c r="G14" s="38">
        <v>59.217416914461296</v>
      </c>
      <c r="H14" s="24">
        <v>20.871042403410286</v>
      </c>
    </row>
    <row r="15" spans="1:8" x14ac:dyDescent="0.2">
      <c r="A15" s="30" t="s">
        <v>21</v>
      </c>
      <c r="B15" s="31" t="s">
        <v>3</v>
      </c>
      <c r="C15" s="20">
        <v>1303.4257971014492</v>
      </c>
      <c r="D15" s="20">
        <v>1392.4719565217392</v>
      </c>
      <c r="E15" s="21">
        <v>1598.2411513602242</v>
      </c>
      <c r="F15" s="22" t="s">
        <v>237</v>
      </c>
      <c r="G15" s="37">
        <v>22.618499258982268</v>
      </c>
      <c r="H15" s="33">
        <v>14.777259525748491</v>
      </c>
    </row>
    <row r="16" spans="1:8" x14ac:dyDescent="0.2">
      <c r="A16" s="34"/>
      <c r="B16" s="25" t="s">
        <v>238</v>
      </c>
      <c r="C16" s="26">
        <v>228.09655797101451</v>
      </c>
      <c r="D16" s="26">
        <v>293.11233695652174</v>
      </c>
      <c r="E16" s="26">
        <v>315.11798913043481</v>
      </c>
      <c r="F16" s="27"/>
      <c r="G16" s="28">
        <v>38.151137366342283</v>
      </c>
      <c r="H16" s="29">
        <v>7.507583066071092</v>
      </c>
    </row>
    <row r="17" spans="1:8" x14ac:dyDescent="0.2">
      <c r="A17" s="30" t="s">
        <v>22</v>
      </c>
      <c r="B17" s="31" t="s">
        <v>3</v>
      </c>
      <c r="C17" s="20">
        <v>7081.4257971014495</v>
      </c>
      <c r="D17" s="20">
        <v>6695.4719565217392</v>
      </c>
      <c r="E17" s="21">
        <v>6824.4911908006534</v>
      </c>
      <c r="F17" s="22" t="s">
        <v>237</v>
      </c>
      <c r="G17" s="37">
        <v>-3.6282891844459328</v>
      </c>
      <c r="H17" s="33">
        <v>1.9269625071499661</v>
      </c>
    </row>
    <row r="18" spans="1:8" x14ac:dyDescent="0.2">
      <c r="A18" s="34"/>
      <c r="B18" s="25" t="s">
        <v>238</v>
      </c>
      <c r="C18" s="26">
        <v>1204.0965579710146</v>
      </c>
      <c r="D18" s="26">
        <v>1227.1123369565216</v>
      </c>
      <c r="E18" s="26">
        <v>1219.1179891304348</v>
      </c>
      <c r="F18" s="27"/>
      <c r="G18" s="28">
        <v>1.2475271239652272</v>
      </c>
      <c r="H18" s="29">
        <v>-0.65147644476579103</v>
      </c>
    </row>
    <row r="19" spans="1:8" x14ac:dyDescent="0.2">
      <c r="A19" s="30" t="s">
        <v>189</v>
      </c>
      <c r="B19" s="31" t="s">
        <v>3</v>
      </c>
      <c r="C19" s="20">
        <v>79580.649689440994</v>
      </c>
      <c r="D19" s="20">
        <v>142574.04534161492</v>
      </c>
      <c r="E19" s="21">
        <v>174147.41920937377</v>
      </c>
      <c r="F19" s="22" t="s">
        <v>237</v>
      </c>
      <c r="G19" s="23">
        <v>118.8313615043032</v>
      </c>
      <c r="H19" s="24">
        <v>22.145246557399261</v>
      </c>
    </row>
    <row r="20" spans="1:8" x14ac:dyDescent="0.2">
      <c r="A20" s="30"/>
      <c r="B20" s="25" t="s">
        <v>238</v>
      </c>
      <c r="C20" s="26">
        <v>18447.827639751551</v>
      </c>
      <c r="D20" s="26">
        <v>27108.962888198759</v>
      </c>
      <c r="E20" s="26">
        <v>35223.011335403731</v>
      </c>
      <c r="F20" s="27"/>
      <c r="G20" s="38">
        <v>90.933111601199357</v>
      </c>
      <c r="H20" s="24">
        <v>29.931238906735246</v>
      </c>
    </row>
    <row r="21" spans="1:8" x14ac:dyDescent="0.2">
      <c r="A21" s="39" t="s">
        <v>12</v>
      </c>
      <c r="B21" s="31" t="s">
        <v>3</v>
      </c>
      <c r="C21" s="20">
        <v>1491.2554782608695</v>
      </c>
      <c r="D21" s="20">
        <v>1460.2831739130434</v>
      </c>
      <c r="E21" s="21">
        <v>1730.0232854961616</v>
      </c>
      <c r="F21" s="22" t="s">
        <v>237</v>
      </c>
      <c r="G21" s="37">
        <v>16.011193971521749</v>
      </c>
      <c r="H21" s="33">
        <v>18.471767421678223</v>
      </c>
    </row>
    <row r="22" spans="1:8" x14ac:dyDescent="0.2">
      <c r="A22" s="34"/>
      <c r="B22" s="25" t="s">
        <v>238</v>
      </c>
      <c r="C22" s="26">
        <v>222.0579347826087</v>
      </c>
      <c r="D22" s="26">
        <v>270.06740217391302</v>
      </c>
      <c r="E22" s="26">
        <v>296.07079347826084</v>
      </c>
      <c r="F22" s="27"/>
      <c r="G22" s="28">
        <v>33.330427380633608</v>
      </c>
      <c r="H22" s="29">
        <v>9.6284820363483448</v>
      </c>
    </row>
    <row r="23" spans="1:8" x14ac:dyDescent="0.2">
      <c r="A23" s="39" t="s">
        <v>23</v>
      </c>
      <c r="B23" s="31" t="s">
        <v>3</v>
      </c>
      <c r="C23" s="20">
        <v>4781.4257971014495</v>
      </c>
      <c r="D23" s="20">
        <v>5200.4719565217392</v>
      </c>
      <c r="E23" s="21">
        <v>5165.1098628592936</v>
      </c>
      <c r="F23" s="22" t="s">
        <v>237</v>
      </c>
      <c r="G23" s="23">
        <v>8.0244697301469614</v>
      </c>
      <c r="H23" s="24">
        <v>-0.67997854729510721</v>
      </c>
    </row>
    <row r="24" spans="1:8" x14ac:dyDescent="0.2">
      <c r="A24" s="34"/>
      <c r="B24" s="25" t="s">
        <v>238</v>
      </c>
      <c r="C24" s="26">
        <v>1206.0965579710146</v>
      </c>
      <c r="D24" s="26">
        <v>1300.1123369565216</v>
      </c>
      <c r="E24" s="26">
        <v>1295.1179891304348</v>
      </c>
      <c r="F24" s="27"/>
      <c r="G24" s="28">
        <v>7.3809539187458313</v>
      </c>
      <c r="H24" s="29">
        <v>-0.38414740666013358</v>
      </c>
    </row>
    <row r="25" spans="1:8" x14ac:dyDescent="0.2">
      <c r="A25" s="30" t="s">
        <v>24</v>
      </c>
      <c r="B25" s="31" t="s">
        <v>3</v>
      </c>
      <c r="C25" s="20">
        <v>47693.851594202897</v>
      </c>
      <c r="D25" s="20">
        <v>10875.943913043478</v>
      </c>
      <c r="E25" s="21">
        <v>8188.6807880341157</v>
      </c>
      <c r="F25" s="22" t="s">
        <v>237</v>
      </c>
      <c r="G25" s="23">
        <v>-82.830741250032673</v>
      </c>
      <c r="H25" s="24">
        <v>-24.708320919038002</v>
      </c>
    </row>
    <row r="26" spans="1:8" ht="13.5" thickBot="1" x14ac:dyDescent="0.25">
      <c r="A26" s="41"/>
      <c r="B26" s="42" t="s">
        <v>238</v>
      </c>
      <c r="C26" s="43">
        <v>6918.1931159420292</v>
      </c>
      <c r="D26" s="43">
        <v>8030.2246739130433</v>
      </c>
      <c r="E26" s="43">
        <v>2558.2359782608696</v>
      </c>
      <c r="F26" s="44"/>
      <c r="G26" s="45">
        <v>-63.021616549474963</v>
      </c>
      <c r="H26" s="46">
        <v>-68.142410926912859</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42</v>
      </c>
      <c r="B35" s="19" t="s">
        <v>3</v>
      </c>
      <c r="C35" s="80">
        <v>1546.2412040680645</v>
      </c>
      <c r="D35" s="80">
        <v>1738.0038904658556</v>
      </c>
      <c r="E35" s="83">
        <v>1819.4156295652688</v>
      </c>
      <c r="F35" s="22" t="s">
        <v>237</v>
      </c>
      <c r="G35" s="23">
        <v>17.666999480967107</v>
      </c>
      <c r="H35" s="24">
        <v>4.6842092555725827</v>
      </c>
    </row>
    <row r="36" spans="1:8" ht="12.75" customHeight="1" x14ac:dyDescent="0.2">
      <c r="A36" s="201"/>
      <c r="B36" s="25" t="s">
        <v>238</v>
      </c>
      <c r="C36" s="82">
        <v>344.45237253732813</v>
      </c>
      <c r="D36" s="82">
        <v>344.29946626630209</v>
      </c>
      <c r="E36" s="82">
        <v>374.24037964300328</v>
      </c>
      <c r="F36" s="27"/>
      <c r="G36" s="28">
        <v>8.6479320453648683</v>
      </c>
      <c r="H36" s="29">
        <v>8.6961835001925465</v>
      </c>
    </row>
    <row r="37" spans="1:8" x14ac:dyDescent="0.2">
      <c r="A37" s="30" t="s">
        <v>18</v>
      </c>
      <c r="B37" s="31" t="s">
        <v>3</v>
      </c>
      <c r="C37" s="80">
        <v>492.17972909280644</v>
      </c>
      <c r="D37" s="80">
        <v>496.66997622316148</v>
      </c>
      <c r="E37" s="83">
        <v>513.14759279164423</v>
      </c>
      <c r="F37" s="22" t="s">
        <v>237</v>
      </c>
      <c r="G37" s="32">
        <v>4.2602046487136107</v>
      </c>
      <c r="H37" s="33">
        <v>3.3176188127544748</v>
      </c>
    </row>
    <row r="38" spans="1:8" x14ac:dyDescent="0.2">
      <c r="A38" s="34"/>
      <c r="B38" s="25" t="s">
        <v>238</v>
      </c>
      <c r="C38" s="82">
        <v>113.29664554787209</v>
      </c>
      <c r="D38" s="82">
        <v>98.129501649131043</v>
      </c>
      <c r="E38" s="82">
        <v>106.41127672641038</v>
      </c>
      <c r="F38" s="27"/>
      <c r="G38" s="35">
        <v>-6.0772927461055275</v>
      </c>
      <c r="H38" s="29">
        <v>8.4396383738821044</v>
      </c>
    </row>
    <row r="39" spans="1:8" x14ac:dyDescent="0.2">
      <c r="A39" s="30" t="s">
        <v>19</v>
      </c>
      <c r="B39" s="31" t="s">
        <v>3</v>
      </c>
      <c r="C39" s="80">
        <v>143.40503966759903</v>
      </c>
      <c r="D39" s="80">
        <v>225.58190716607882</v>
      </c>
      <c r="E39" s="83">
        <v>172.50337041573198</v>
      </c>
      <c r="F39" s="22" t="s">
        <v>237</v>
      </c>
      <c r="G39" s="37">
        <v>20.291009866585213</v>
      </c>
      <c r="H39" s="33">
        <v>-23.529607235419434</v>
      </c>
    </row>
    <row r="40" spans="1:8" x14ac:dyDescent="0.2">
      <c r="A40" s="34"/>
      <c r="B40" s="25" t="s">
        <v>238</v>
      </c>
      <c r="C40" s="82">
        <v>31.951442014591152</v>
      </c>
      <c r="D40" s="82">
        <v>28.721078275948692</v>
      </c>
      <c r="E40" s="82">
        <v>25.623530460507432</v>
      </c>
      <c r="F40" s="27"/>
      <c r="G40" s="28">
        <v>-19.804776107425681</v>
      </c>
      <c r="H40" s="29">
        <v>-10.784928705253989</v>
      </c>
    </row>
    <row r="41" spans="1:8" x14ac:dyDescent="0.2">
      <c r="A41" s="30" t="s">
        <v>20</v>
      </c>
      <c r="B41" s="31" t="s">
        <v>3</v>
      </c>
      <c r="C41" s="80">
        <v>244.72721945667442</v>
      </c>
      <c r="D41" s="80">
        <v>266.0323258711706</v>
      </c>
      <c r="E41" s="83">
        <v>313.07567939049915</v>
      </c>
      <c r="F41" s="22" t="s">
        <v>237</v>
      </c>
      <c r="G41" s="23">
        <v>27.928425814491334</v>
      </c>
      <c r="H41" s="24">
        <v>17.683322267426192</v>
      </c>
    </row>
    <row r="42" spans="1:8" x14ac:dyDescent="0.2">
      <c r="A42" s="34"/>
      <c r="B42" s="25" t="s">
        <v>238</v>
      </c>
      <c r="C42" s="82">
        <v>47.883413822441504</v>
      </c>
      <c r="D42" s="82">
        <v>47.453038908283283</v>
      </c>
      <c r="E42" s="82">
        <v>57.538887182624549</v>
      </c>
      <c r="F42" s="27"/>
      <c r="G42" s="38">
        <v>20.164546738432037</v>
      </c>
      <c r="H42" s="24">
        <v>21.254378025894354</v>
      </c>
    </row>
    <row r="43" spans="1:8" x14ac:dyDescent="0.2">
      <c r="A43" s="30" t="s">
        <v>21</v>
      </c>
      <c r="B43" s="31" t="s">
        <v>3</v>
      </c>
      <c r="C43" s="80">
        <v>9.2872953346467124</v>
      </c>
      <c r="D43" s="80">
        <v>9.1229695792220831</v>
      </c>
      <c r="E43" s="83">
        <v>13.964933781261182</v>
      </c>
      <c r="F43" s="22" t="s">
        <v>237</v>
      </c>
      <c r="G43" s="37">
        <v>50.365992229883233</v>
      </c>
      <c r="H43" s="33">
        <v>53.074431082910337</v>
      </c>
    </row>
    <row r="44" spans="1:8" x14ac:dyDescent="0.2">
      <c r="A44" s="34"/>
      <c r="B44" s="25" t="s">
        <v>238</v>
      </c>
      <c r="C44" s="82">
        <v>1.5918666355501776</v>
      </c>
      <c r="D44" s="82">
        <v>1.5070275796233941</v>
      </c>
      <c r="E44" s="82">
        <v>2.33508403699902</v>
      </c>
      <c r="F44" s="27"/>
      <c r="G44" s="28">
        <v>46.688421306849818</v>
      </c>
      <c r="H44" s="29">
        <v>54.946337318030857</v>
      </c>
    </row>
    <row r="45" spans="1:8" x14ac:dyDescent="0.2">
      <c r="A45" s="30" t="s">
        <v>22</v>
      </c>
      <c r="B45" s="31" t="s">
        <v>3</v>
      </c>
      <c r="C45" s="80">
        <v>33.964077106086407</v>
      </c>
      <c r="D45" s="80">
        <v>29.893299271651252</v>
      </c>
      <c r="E45" s="83">
        <v>32.555737667436297</v>
      </c>
      <c r="F45" s="22" t="s">
        <v>237</v>
      </c>
      <c r="G45" s="37">
        <v>-4.1465558868305976</v>
      </c>
      <c r="H45" s="33">
        <v>8.9064722217193264</v>
      </c>
    </row>
    <row r="46" spans="1:8" x14ac:dyDescent="0.2">
      <c r="A46" s="34"/>
      <c r="B46" s="25" t="s">
        <v>238</v>
      </c>
      <c r="C46" s="82">
        <v>5.7108980829126601</v>
      </c>
      <c r="D46" s="82">
        <v>5.3503491191873414</v>
      </c>
      <c r="E46" s="82">
        <v>5.7043357254563087</v>
      </c>
      <c r="F46" s="27"/>
      <c r="G46" s="28">
        <v>-0.11490937784350308</v>
      </c>
      <c r="H46" s="29">
        <v>6.6161403374502328</v>
      </c>
    </row>
    <row r="47" spans="1:8" x14ac:dyDescent="0.2">
      <c r="A47" s="30" t="s">
        <v>189</v>
      </c>
      <c r="B47" s="31" t="s">
        <v>3</v>
      </c>
      <c r="C47" s="80">
        <v>283.32529641478544</v>
      </c>
      <c r="D47" s="80">
        <v>475.55157261504689</v>
      </c>
      <c r="E47" s="83">
        <v>576.57436423956506</v>
      </c>
      <c r="F47" s="22" t="s">
        <v>237</v>
      </c>
      <c r="G47" s="23">
        <v>103.50260690999713</v>
      </c>
      <c r="H47" s="24">
        <v>21.243288308142098</v>
      </c>
    </row>
    <row r="48" spans="1:8" x14ac:dyDescent="0.2">
      <c r="A48" s="30"/>
      <c r="B48" s="25" t="s">
        <v>238</v>
      </c>
      <c r="C48" s="82">
        <v>74.594858659680824</v>
      </c>
      <c r="D48" s="82">
        <v>90.4038525691563</v>
      </c>
      <c r="E48" s="82">
        <v>120.80090815624388</v>
      </c>
      <c r="F48" s="27"/>
      <c r="G48" s="38">
        <v>61.942673163797849</v>
      </c>
      <c r="H48" s="24">
        <v>33.623628554806032</v>
      </c>
    </row>
    <row r="49" spans="1:8" x14ac:dyDescent="0.2">
      <c r="A49" s="39" t="s">
        <v>12</v>
      </c>
      <c r="B49" s="31" t="s">
        <v>3</v>
      </c>
      <c r="C49" s="80">
        <v>14.339730904194479</v>
      </c>
      <c r="D49" s="80">
        <v>25.186969873632854</v>
      </c>
      <c r="E49" s="83">
        <v>16.411761584187733</v>
      </c>
      <c r="F49" s="22" t="s">
        <v>237</v>
      </c>
      <c r="G49" s="37">
        <v>14.449578543954189</v>
      </c>
      <c r="H49" s="33">
        <v>-34.840269923185588</v>
      </c>
    </row>
    <row r="50" spans="1:8" x14ac:dyDescent="0.2">
      <c r="A50" s="34"/>
      <c r="B50" s="25" t="s">
        <v>238</v>
      </c>
      <c r="C50" s="82">
        <v>3.6378018979357667</v>
      </c>
      <c r="D50" s="82">
        <v>2.5604851890283977</v>
      </c>
      <c r="E50" s="82">
        <v>2.0848752470529246</v>
      </c>
      <c r="F50" s="27"/>
      <c r="G50" s="28">
        <v>-42.688598622262376</v>
      </c>
      <c r="H50" s="29">
        <v>-18.574992896402904</v>
      </c>
    </row>
    <row r="51" spans="1:8" x14ac:dyDescent="0.2">
      <c r="A51" s="39" t="s">
        <v>23</v>
      </c>
      <c r="B51" s="31" t="s">
        <v>3</v>
      </c>
      <c r="C51" s="80">
        <v>106.80605752157328</v>
      </c>
      <c r="D51" s="80">
        <v>107.90494900501409</v>
      </c>
      <c r="E51" s="83">
        <v>101.33168230309727</v>
      </c>
      <c r="F51" s="22" t="s">
        <v>237</v>
      </c>
      <c r="G51" s="23">
        <v>-5.1255287813336565</v>
      </c>
      <c r="H51" s="24">
        <v>-6.0917193905641653</v>
      </c>
    </row>
    <row r="52" spans="1:8" x14ac:dyDescent="0.2">
      <c r="A52" s="34"/>
      <c r="B52" s="25" t="s">
        <v>238</v>
      </c>
      <c r="C52" s="82">
        <v>24.289087507731342</v>
      </c>
      <c r="D52" s="82">
        <v>24.123991192685345</v>
      </c>
      <c r="E52" s="82">
        <v>22.782858408206998</v>
      </c>
      <c r="F52" s="27"/>
      <c r="G52" s="38">
        <v>-6.2012584830323618</v>
      </c>
      <c r="H52" s="24">
        <v>-5.5593320929622649</v>
      </c>
    </row>
    <row r="53" spans="1:8" x14ac:dyDescent="0.2">
      <c r="A53" s="30" t="s">
        <v>24</v>
      </c>
      <c r="B53" s="31" t="s">
        <v>3</v>
      </c>
      <c r="C53" s="80">
        <v>218.20675856969845</v>
      </c>
      <c r="D53" s="80">
        <v>102.05992086087726</v>
      </c>
      <c r="E53" s="83">
        <v>100.00679604809345</v>
      </c>
      <c r="F53" s="22" t="s">
        <v>237</v>
      </c>
      <c r="G53" s="37">
        <v>-54.168790781908889</v>
      </c>
      <c r="H53" s="33">
        <v>-2.0116856798101139</v>
      </c>
    </row>
    <row r="54" spans="1:8" ht="13.5" thickBot="1" x14ac:dyDescent="0.25">
      <c r="A54" s="41"/>
      <c r="B54" s="42" t="s">
        <v>238</v>
      </c>
      <c r="C54" s="86">
        <v>41.496358368612562</v>
      </c>
      <c r="D54" s="86">
        <v>46.050141783258212</v>
      </c>
      <c r="E54" s="86">
        <v>30.958623699501786</v>
      </c>
      <c r="F54" s="44"/>
      <c r="G54" s="45">
        <v>-25.394360091803662</v>
      </c>
      <c r="H54" s="46">
        <v>-32.771925339094253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5">
        <v>14</v>
      </c>
    </row>
    <row r="62" spans="1:8"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44</v>
      </c>
      <c r="B7" s="19" t="s">
        <v>3</v>
      </c>
      <c r="C7" s="20">
        <v>130489.07753884791</v>
      </c>
      <c r="D7" s="20">
        <v>131285.51443171315</v>
      </c>
      <c r="E7" s="21">
        <v>136522.4044700377</v>
      </c>
      <c r="F7" s="22" t="s">
        <v>237</v>
      </c>
      <c r="G7" s="23">
        <v>4.6236260114518757</v>
      </c>
      <c r="H7" s="24">
        <v>3.9889321080037945</v>
      </c>
    </row>
    <row r="8" spans="1:8" x14ac:dyDescent="0.2">
      <c r="A8" s="201"/>
      <c r="B8" s="25" t="s">
        <v>238</v>
      </c>
      <c r="C8" s="26">
        <v>33394.176842986446</v>
      </c>
      <c r="D8" s="26">
        <v>32150.909694972008</v>
      </c>
      <c r="E8" s="26">
        <v>33920.378607928287</v>
      </c>
      <c r="F8" s="27"/>
      <c r="G8" s="28">
        <v>1.5757291081494458</v>
      </c>
      <c r="H8" s="29">
        <v>5.5036356039188661</v>
      </c>
    </row>
    <row r="9" spans="1:8" x14ac:dyDescent="0.2">
      <c r="A9" s="30" t="s">
        <v>18</v>
      </c>
      <c r="B9" s="31" t="s">
        <v>3</v>
      </c>
      <c r="C9" s="20">
        <v>12430.674886956522</v>
      </c>
      <c r="D9" s="20">
        <v>14911.881165217392</v>
      </c>
      <c r="E9" s="21">
        <v>16216.780193779405</v>
      </c>
      <c r="F9" s="22" t="s">
        <v>237</v>
      </c>
      <c r="G9" s="32">
        <v>30.457761475168468</v>
      </c>
      <c r="H9" s="33">
        <v>8.750733821603589</v>
      </c>
    </row>
    <row r="10" spans="1:8" x14ac:dyDescent="0.2">
      <c r="A10" s="34"/>
      <c r="B10" s="25" t="s">
        <v>238</v>
      </c>
      <c r="C10" s="26">
        <v>3000.8494913043478</v>
      </c>
      <c r="D10" s="26">
        <v>2831.9024913043477</v>
      </c>
      <c r="E10" s="26">
        <v>3315.4702913043479</v>
      </c>
      <c r="F10" s="27"/>
      <c r="G10" s="35">
        <v>10.484391200281323</v>
      </c>
      <c r="H10" s="29">
        <v>17.075722115604108</v>
      </c>
    </row>
    <row r="11" spans="1:8" x14ac:dyDescent="0.2">
      <c r="A11" s="30" t="s">
        <v>19</v>
      </c>
      <c r="B11" s="31" t="s">
        <v>3</v>
      </c>
      <c r="C11" s="20">
        <v>56876.582956521743</v>
      </c>
      <c r="D11" s="20">
        <v>56415.9372173913</v>
      </c>
      <c r="E11" s="21">
        <v>53315.967741298358</v>
      </c>
      <c r="F11" s="22" t="s">
        <v>237</v>
      </c>
      <c r="G11" s="37">
        <v>-6.2602481199428439</v>
      </c>
      <c r="H11" s="33">
        <v>-5.4948470751228058</v>
      </c>
    </row>
    <row r="12" spans="1:8" x14ac:dyDescent="0.2">
      <c r="A12" s="34"/>
      <c r="B12" s="25" t="s">
        <v>238</v>
      </c>
      <c r="C12" s="26">
        <v>15884.498304347826</v>
      </c>
      <c r="D12" s="26">
        <v>14518.008304347826</v>
      </c>
      <c r="E12" s="26">
        <v>14089.234304347825</v>
      </c>
      <c r="F12" s="27"/>
      <c r="G12" s="28">
        <v>-11.301987419449119</v>
      </c>
      <c r="H12" s="29">
        <v>-2.9533940951913706</v>
      </c>
    </row>
    <row r="13" spans="1:8" x14ac:dyDescent="0.2">
      <c r="A13" s="30" t="s">
        <v>20</v>
      </c>
      <c r="B13" s="31" t="s">
        <v>3</v>
      </c>
      <c r="C13" s="20">
        <v>3234.7537888198758</v>
      </c>
      <c r="D13" s="20">
        <v>3652.7796273291924</v>
      </c>
      <c r="E13" s="21">
        <v>4389.530814253987</v>
      </c>
      <c r="F13" s="22" t="s">
        <v>237</v>
      </c>
      <c r="G13" s="23">
        <v>35.699070186587676</v>
      </c>
      <c r="H13" s="24">
        <v>20.169604030109141</v>
      </c>
    </row>
    <row r="14" spans="1:8" x14ac:dyDescent="0.2">
      <c r="A14" s="34"/>
      <c r="B14" s="25" t="s">
        <v>238</v>
      </c>
      <c r="C14" s="26">
        <v>548.28490683229813</v>
      </c>
      <c r="D14" s="26">
        <v>682.95633540372671</v>
      </c>
      <c r="E14" s="26">
        <v>793.4449068322981</v>
      </c>
      <c r="F14" s="27"/>
      <c r="G14" s="38">
        <v>44.713979346322986</v>
      </c>
      <c r="H14" s="24">
        <v>16.177984696965524</v>
      </c>
    </row>
    <row r="15" spans="1:8" x14ac:dyDescent="0.2">
      <c r="A15" s="30" t="s">
        <v>21</v>
      </c>
      <c r="B15" s="31" t="s">
        <v>3</v>
      </c>
      <c r="C15" s="20">
        <v>3121.8865217391303</v>
      </c>
      <c r="D15" s="20">
        <v>3363.6857246376812</v>
      </c>
      <c r="E15" s="21">
        <v>4251.6464548834092</v>
      </c>
      <c r="F15" s="22" t="s">
        <v>237</v>
      </c>
      <c r="G15" s="37">
        <v>36.188372808468245</v>
      </c>
      <c r="H15" s="33">
        <v>26.398445126480269</v>
      </c>
    </row>
    <row r="16" spans="1:8" x14ac:dyDescent="0.2">
      <c r="A16" s="34"/>
      <c r="B16" s="25" t="s">
        <v>238</v>
      </c>
      <c r="C16" s="26">
        <v>546.70809782608694</v>
      </c>
      <c r="D16" s="26">
        <v>691.1955978260869</v>
      </c>
      <c r="E16" s="26">
        <v>825.92143115942031</v>
      </c>
      <c r="F16" s="27"/>
      <c r="G16" s="28">
        <v>51.071739095065283</v>
      </c>
      <c r="H16" s="29">
        <v>19.491708824110887</v>
      </c>
    </row>
    <row r="17" spans="1:8" x14ac:dyDescent="0.2">
      <c r="A17" s="30" t="s">
        <v>22</v>
      </c>
      <c r="B17" s="31" t="s">
        <v>3</v>
      </c>
      <c r="C17" s="20">
        <v>548.88652173913044</v>
      </c>
      <c r="D17" s="20">
        <v>492.68572463768118</v>
      </c>
      <c r="E17" s="21">
        <v>590.32418442110611</v>
      </c>
      <c r="F17" s="22" t="s">
        <v>237</v>
      </c>
      <c r="G17" s="37">
        <v>7.5494043013994343</v>
      </c>
      <c r="H17" s="33">
        <v>19.817594645192486</v>
      </c>
    </row>
    <row r="18" spans="1:8" x14ac:dyDescent="0.2">
      <c r="A18" s="34"/>
      <c r="B18" s="25" t="s">
        <v>238</v>
      </c>
      <c r="C18" s="26">
        <v>91.708097826086956</v>
      </c>
      <c r="D18" s="26">
        <v>80.195597826086953</v>
      </c>
      <c r="E18" s="26">
        <v>96.921431159420294</v>
      </c>
      <c r="F18" s="27"/>
      <c r="G18" s="28">
        <v>5.6847033761618064</v>
      </c>
      <c r="H18" s="29">
        <v>20.856298583377566</v>
      </c>
    </row>
    <row r="19" spans="1:8" x14ac:dyDescent="0.2">
      <c r="A19" s="30" t="s">
        <v>189</v>
      </c>
      <c r="B19" s="31" t="s">
        <v>3</v>
      </c>
      <c r="C19" s="20">
        <v>38409.884472049685</v>
      </c>
      <c r="D19" s="20">
        <v>35585.449068322981</v>
      </c>
      <c r="E19" s="21">
        <v>36887.519904483575</v>
      </c>
      <c r="F19" s="22" t="s">
        <v>237</v>
      </c>
      <c r="G19" s="23">
        <v>-3.963470831769655</v>
      </c>
      <c r="H19" s="24">
        <v>3.6589979057469719</v>
      </c>
    </row>
    <row r="20" spans="1:8" x14ac:dyDescent="0.2">
      <c r="A20" s="30"/>
      <c r="B20" s="25" t="s">
        <v>238</v>
      </c>
      <c r="C20" s="26">
        <v>9249.2122670807457</v>
      </c>
      <c r="D20" s="26">
        <v>9120.3908385093164</v>
      </c>
      <c r="E20" s="26">
        <v>9255.6122670807454</v>
      </c>
      <c r="F20" s="27"/>
      <c r="G20" s="38">
        <v>6.9195081864208419E-2</v>
      </c>
      <c r="H20" s="24">
        <v>1.4826275646047975</v>
      </c>
    </row>
    <row r="21" spans="1:8" x14ac:dyDescent="0.2">
      <c r="A21" s="39" t="s">
        <v>12</v>
      </c>
      <c r="B21" s="31" t="s">
        <v>3</v>
      </c>
      <c r="C21" s="20">
        <v>407.13191304347828</v>
      </c>
      <c r="D21" s="20">
        <v>448.41143478260869</v>
      </c>
      <c r="E21" s="21">
        <v>510.69973442123666</v>
      </c>
      <c r="F21" s="22" t="s">
        <v>237</v>
      </c>
      <c r="G21" s="37">
        <v>25.438394304083502</v>
      </c>
      <c r="H21" s="33">
        <v>13.890881187904029</v>
      </c>
    </row>
    <row r="22" spans="1:8" x14ac:dyDescent="0.2">
      <c r="A22" s="34"/>
      <c r="B22" s="25" t="s">
        <v>238</v>
      </c>
      <c r="C22" s="26">
        <v>75.624858695652179</v>
      </c>
      <c r="D22" s="26">
        <v>97.917358695652183</v>
      </c>
      <c r="E22" s="26">
        <v>105.35285869565217</v>
      </c>
      <c r="F22" s="27"/>
      <c r="G22" s="28">
        <v>39.30982551602321</v>
      </c>
      <c r="H22" s="29">
        <v>7.5936484593207751</v>
      </c>
    </row>
    <row r="23" spans="1:8" x14ac:dyDescent="0.2">
      <c r="A23" s="39" t="s">
        <v>23</v>
      </c>
      <c r="B23" s="31" t="s">
        <v>3</v>
      </c>
      <c r="C23" s="20">
        <v>6115.8865217391303</v>
      </c>
      <c r="D23" s="20">
        <v>6141.6857246376812</v>
      </c>
      <c r="E23" s="21">
        <v>6479.0459341102342</v>
      </c>
      <c r="F23" s="22" t="s">
        <v>237</v>
      </c>
      <c r="G23" s="23">
        <v>5.9379684544544915</v>
      </c>
      <c r="H23" s="24">
        <v>5.4929578717975716</v>
      </c>
    </row>
    <row r="24" spans="1:8" x14ac:dyDescent="0.2">
      <c r="A24" s="34"/>
      <c r="B24" s="25" t="s">
        <v>238</v>
      </c>
      <c r="C24" s="26">
        <v>1547.7080978260869</v>
      </c>
      <c r="D24" s="26">
        <v>1515.1955978260871</v>
      </c>
      <c r="E24" s="26">
        <v>1611.9214311594203</v>
      </c>
      <c r="F24" s="27"/>
      <c r="G24" s="28">
        <v>4.1489305007531811</v>
      </c>
      <c r="H24" s="29">
        <v>6.3837192684633948</v>
      </c>
    </row>
    <row r="25" spans="1:8" x14ac:dyDescent="0.2">
      <c r="A25" s="30" t="s">
        <v>24</v>
      </c>
      <c r="B25" s="31" t="s">
        <v>3</v>
      </c>
      <c r="C25" s="20">
        <v>16033.773043478261</v>
      </c>
      <c r="D25" s="20">
        <v>17105.371449275364</v>
      </c>
      <c r="E25" s="21">
        <v>28121.419607467757</v>
      </c>
      <c r="F25" s="22" t="s">
        <v>237</v>
      </c>
      <c r="G25" s="23">
        <v>75.388659495253052</v>
      </c>
      <c r="H25" s="24">
        <v>64.401104593721442</v>
      </c>
    </row>
    <row r="26" spans="1:8" ht="13.5" thickBot="1" x14ac:dyDescent="0.25">
      <c r="A26" s="41"/>
      <c r="B26" s="42" t="s">
        <v>238</v>
      </c>
      <c r="C26" s="43">
        <v>3858.4161956521739</v>
      </c>
      <c r="D26" s="43">
        <v>4016.3911956521738</v>
      </c>
      <c r="E26" s="43">
        <v>6656.8428623188411</v>
      </c>
      <c r="F26" s="44"/>
      <c r="G26" s="45">
        <v>72.527859224208441</v>
      </c>
      <c r="H26" s="46">
        <v>65.741894602423457</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44</v>
      </c>
      <c r="B35" s="19" t="s">
        <v>3</v>
      </c>
      <c r="C35" s="80">
        <v>6096.2289068941482</v>
      </c>
      <c r="D35" s="80">
        <v>6018.8124026764308</v>
      </c>
      <c r="E35" s="83">
        <v>6718.6661774651702</v>
      </c>
      <c r="F35" s="22" t="s">
        <v>237</v>
      </c>
      <c r="G35" s="23">
        <v>10.210201750579202</v>
      </c>
      <c r="H35" s="24">
        <v>11.627771858739607</v>
      </c>
    </row>
    <row r="36" spans="1:8" ht="12.75" customHeight="1" x14ac:dyDescent="0.2">
      <c r="A36" s="201"/>
      <c r="B36" s="25" t="s">
        <v>238</v>
      </c>
      <c r="C36" s="82">
        <v>1547.3154032866826</v>
      </c>
      <c r="D36" s="82">
        <v>1403.7836117383802</v>
      </c>
      <c r="E36" s="82">
        <v>1610.5468108044668</v>
      </c>
      <c r="F36" s="27"/>
      <c r="G36" s="28">
        <v>4.0865234963390833</v>
      </c>
      <c r="H36" s="29">
        <v>14.728993652379273</v>
      </c>
    </row>
    <row r="37" spans="1:8" x14ac:dyDescent="0.2">
      <c r="A37" s="30" t="s">
        <v>18</v>
      </c>
      <c r="B37" s="31" t="s">
        <v>3</v>
      </c>
      <c r="C37" s="80">
        <v>2186.7087796288642</v>
      </c>
      <c r="D37" s="80">
        <v>1995.7239796712192</v>
      </c>
      <c r="E37" s="83">
        <v>2291.3363276594637</v>
      </c>
      <c r="F37" s="22" t="s">
        <v>237</v>
      </c>
      <c r="G37" s="32">
        <v>4.7847042553310217</v>
      </c>
      <c r="H37" s="33">
        <v>14.81228621790396</v>
      </c>
    </row>
    <row r="38" spans="1:8" x14ac:dyDescent="0.2">
      <c r="A38" s="34"/>
      <c r="B38" s="25" t="s">
        <v>238</v>
      </c>
      <c r="C38" s="82">
        <v>538.04542629886976</v>
      </c>
      <c r="D38" s="82">
        <v>443.82510941917701</v>
      </c>
      <c r="E38" s="82">
        <v>526.44298737555823</v>
      </c>
      <c r="F38" s="27"/>
      <c r="G38" s="35">
        <v>-2.1564050833259358</v>
      </c>
      <c r="H38" s="29">
        <v>18.614962561379471</v>
      </c>
    </row>
    <row r="39" spans="1:8" x14ac:dyDescent="0.2">
      <c r="A39" s="30" t="s">
        <v>19</v>
      </c>
      <c r="B39" s="31" t="s">
        <v>3</v>
      </c>
      <c r="C39" s="80">
        <v>2512.6743999063692</v>
      </c>
      <c r="D39" s="80">
        <v>2750.8206373646663</v>
      </c>
      <c r="E39" s="83">
        <v>2825.286605637215</v>
      </c>
      <c r="F39" s="22" t="s">
        <v>237</v>
      </c>
      <c r="G39" s="37">
        <v>12.441413250459135</v>
      </c>
      <c r="H39" s="33">
        <v>2.7070455725491485</v>
      </c>
    </row>
    <row r="40" spans="1:8" x14ac:dyDescent="0.2">
      <c r="A40" s="34"/>
      <c r="B40" s="25" t="s">
        <v>238</v>
      </c>
      <c r="C40" s="82">
        <v>647.99674455193781</v>
      </c>
      <c r="D40" s="82">
        <v>636.36605058217356</v>
      </c>
      <c r="E40" s="82">
        <v>676.82305618068597</v>
      </c>
      <c r="F40" s="27"/>
      <c r="G40" s="28">
        <v>4.4485272296669365</v>
      </c>
      <c r="H40" s="29">
        <v>6.3575053322691701</v>
      </c>
    </row>
    <row r="41" spans="1:8" x14ac:dyDescent="0.2">
      <c r="A41" s="30" t="s">
        <v>20</v>
      </c>
      <c r="B41" s="31" t="s">
        <v>3</v>
      </c>
      <c r="C41" s="80">
        <v>59.419368311101771</v>
      </c>
      <c r="D41" s="80">
        <v>65.364362678259369</v>
      </c>
      <c r="E41" s="83">
        <v>82.009122441300164</v>
      </c>
      <c r="F41" s="22" t="s">
        <v>237</v>
      </c>
      <c r="G41" s="23">
        <v>38.017492902188565</v>
      </c>
      <c r="H41" s="24">
        <v>25.464578986214079</v>
      </c>
    </row>
    <row r="42" spans="1:8" x14ac:dyDescent="0.2">
      <c r="A42" s="34"/>
      <c r="B42" s="25" t="s">
        <v>238</v>
      </c>
      <c r="C42" s="82">
        <v>14.046902396439281</v>
      </c>
      <c r="D42" s="82">
        <v>14.136097871582511</v>
      </c>
      <c r="E42" s="82">
        <v>18.25408582751448</v>
      </c>
      <c r="F42" s="27"/>
      <c r="G42" s="38">
        <v>29.950969347816283</v>
      </c>
      <c r="H42" s="24">
        <v>29.131009089929051</v>
      </c>
    </row>
    <row r="43" spans="1:8" x14ac:dyDescent="0.2">
      <c r="A43" s="30" t="s">
        <v>21</v>
      </c>
      <c r="B43" s="31" t="s">
        <v>3</v>
      </c>
      <c r="C43" s="80">
        <v>28.45107324222851</v>
      </c>
      <c r="D43" s="80">
        <v>34.491750088898648</v>
      </c>
      <c r="E43" s="83">
        <v>46.089481559816157</v>
      </c>
      <c r="F43" s="22" t="s">
        <v>237</v>
      </c>
      <c r="G43" s="37">
        <v>61.995581563537769</v>
      </c>
      <c r="H43" s="33">
        <v>33.62465355056105</v>
      </c>
    </row>
    <row r="44" spans="1:8" x14ac:dyDescent="0.2">
      <c r="A44" s="34"/>
      <c r="B44" s="25" t="s">
        <v>238</v>
      </c>
      <c r="C44" s="82">
        <v>5.9364705000032343</v>
      </c>
      <c r="D44" s="82">
        <v>6.9035713092532012</v>
      </c>
      <c r="E44" s="82">
        <v>9.3519233932246877</v>
      </c>
      <c r="F44" s="27"/>
      <c r="G44" s="28">
        <v>57.533392833664266</v>
      </c>
      <c r="H44" s="29">
        <v>35.465007519946056</v>
      </c>
    </row>
    <row r="45" spans="1:8" x14ac:dyDescent="0.2">
      <c r="A45" s="30" t="s">
        <v>22</v>
      </c>
      <c r="B45" s="31" t="s">
        <v>3</v>
      </c>
      <c r="C45" s="80">
        <v>3.8473118467760594</v>
      </c>
      <c r="D45" s="80">
        <v>3.611154297253091</v>
      </c>
      <c r="E45" s="83">
        <v>4.5948707005435079</v>
      </c>
      <c r="F45" s="22" t="s">
        <v>237</v>
      </c>
      <c r="G45" s="37">
        <v>19.430680005674134</v>
      </c>
      <c r="H45" s="33">
        <v>27.241051539633858</v>
      </c>
    </row>
    <row r="46" spans="1:8" x14ac:dyDescent="0.2">
      <c r="A46" s="34"/>
      <c r="B46" s="25" t="s">
        <v>238</v>
      </c>
      <c r="C46" s="82">
        <v>0.74612789422671766</v>
      </c>
      <c r="D46" s="82">
        <v>0.74857705803620245</v>
      </c>
      <c r="E46" s="82">
        <v>0.93111462775342402</v>
      </c>
      <c r="F46" s="27"/>
      <c r="G46" s="28">
        <v>24.792898772190441</v>
      </c>
      <c r="H46" s="29">
        <v>24.384606468716257</v>
      </c>
    </row>
    <row r="47" spans="1:8" x14ac:dyDescent="0.2">
      <c r="A47" s="30" t="s">
        <v>189</v>
      </c>
      <c r="B47" s="31" t="s">
        <v>3</v>
      </c>
      <c r="C47" s="80">
        <v>672.03403952948145</v>
      </c>
      <c r="D47" s="80">
        <v>516.77609510899015</v>
      </c>
      <c r="E47" s="83">
        <v>533.79618839849411</v>
      </c>
      <c r="F47" s="22" t="s">
        <v>237</v>
      </c>
      <c r="G47" s="23">
        <v>-20.570066841818502</v>
      </c>
      <c r="H47" s="24">
        <v>3.2935140480742149</v>
      </c>
    </row>
    <row r="48" spans="1:8" x14ac:dyDescent="0.2">
      <c r="A48" s="30"/>
      <c r="B48" s="25" t="s">
        <v>238</v>
      </c>
      <c r="C48" s="82">
        <v>189.74375386844088</v>
      </c>
      <c r="D48" s="82">
        <v>146.30104196695498</v>
      </c>
      <c r="E48" s="82">
        <v>150.98386084003445</v>
      </c>
      <c r="F48" s="27"/>
      <c r="G48" s="38">
        <v>-20.427493521225813</v>
      </c>
      <c r="H48" s="24">
        <v>3.200810336085766</v>
      </c>
    </row>
    <row r="49" spans="1:8" x14ac:dyDescent="0.2">
      <c r="A49" s="39" t="s">
        <v>12</v>
      </c>
      <c r="B49" s="31" t="s">
        <v>3</v>
      </c>
      <c r="C49" s="80">
        <v>6.6752799770858973</v>
      </c>
      <c r="D49" s="80">
        <v>9.1074185128509839</v>
      </c>
      <c r="E49" s="83">
        <v>8.2607142650066336</v>
      </c>
      <c r="F49" s="22" t="s">
        <v>237</v>
      </c>
      <c r="G49" s="37">
        <v>23.750828330242712</v>
      </c>
      <c r="H49" s="33">
        <v>-9.2968632840317156</v>
      </c>
    </row>
    <row r="50" spans="1:8" x14ac:dyDescent="0.2">
      <c r="A50" s="34"/>
      <c r="B50" s="25" t="s">
        <v>238</v>
      </c>
      <c r="C50" s="82">
        <v>1.1134230783070169</v>
      </c>
      <c r="D50" s="82">
        <v>1.491924216836632</v>
      </c>
      <c r="E50" s="82">
        <v>1.3613395648093167</v>
      </c>
      <c r="F50" s="27"/>
      <c r="G50" s="28">
        <v>22.266153031358215</v>
      </c>
      <c r="H50" s="29">
        <v>-8.7527671012806252</v>
      </c>
    </row>
    <row r="51" spans="1:8" x14ac:dyDescent="0.2">
      <c r="A51" s="39" t="s">
        <v>23</v>
      </c>
      <c r="B51" s="31" t="s">
        <v>3</v>
      </c>
      <c r="C51" s="80">
        <v>160.8923280870801</v>
      </c>
      <c r="D51" s="80">
        <v>160.26388859581525</v>
      </c>
      <c r="E51" s="83">
        <v>155.93613380229399</v>
      </c>
      <c r="F51" s="22" t="s">
        <v>237</v>
      </c>
      <c r="G51" s="23">
        <v>-3.0804416492150324</v>
      </c>
      <c r="H51" s="24">
        <v>-2.7003929777567208</v>
      </c>
    </row>
    <row r="52" spans="1:8" x14ac:dyDescent="0.2">
      <c r="A52" s="34"/>
      <c r="B52" s="25" t="s">
        <v>238</v>
      </c>
      <c r="C52" s="82">
        <v>37.924177029941745</v>
      </c>
      <c r="D52" s="82">
        <v>36.327409247850767</v>
      </c>
      <c r="E52" s="82">
        <v>35.804098777320732</v>
      </c>
      <c r="F52" s="27"/>
      <c r="G52" s="28">
        <v>-5.5903078686379359</v>
      </c>
      <c r="H52" s="29">
        <v>-1.4405389246440592</v>
      </c>
    </row>
    <row r="53" spans="1:8" x14ac:dyDescent="0.2">
      <c r="A53" s="30" t="s">
        <v>24</v>
      </c>
      <c r="B53" s="31" t="s">
        <v>3</v>
      </c>
      <c r="C53" s="80">
        <v>465.52632636516074</v>
      </c>
      <c r="D53" s="80">
        <v>482.65311635847695</v>
      </c>
      <c r="E53" s="83">
        <v>785.74815382797794</v>
      </c>
      <c r="F53" s="22" t="s">
        <v>237</v>
      </c>
      <c r="G53" s="23">
        <v>68.787050125202569</v>
      </c>
      <c r="H53" s="24">
        <v>62.797696150041162</v>
      </c>
    </row>
    <row r="54" spans="1:8" ht="13.5" thickBot="1" x14ac:dyDescent="0.25">
      <c r="A54" s="41"/>
      <c r="B54" s="42" t="s">
        <v>238</v>
      </c>
      <c r="C54" s="86">
        <v>111.76237766851617</v>
      </c>
      <c r="D54" s="86">
        <v>117.68383006651557</v>
      </c>
      <c r="E54" s="86">
        <v>190.59434421756563</v>
      </c>
      <c r="F54" s="44"/>
      <c r="G54" s="45">
        <v>70.53533415588447</v>
      </c>
      <c r="H54" s="46">
        <v>61.954572781868677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3">
        <v>15</v>
      </c>
    </row>
    <row r="62" spans="1:8"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ht="12.75" customHeight="1" x14ac:dyDescent="0.2">
      <c r="A7" s="200" t="s">
        <v>45</v>
      </c>
      <c r="B7" s="19" t="s">
        <v>3</v>
      </c>
      <c r="C7" s="20">
        <v>18679.167529953433</v>
      </c>
      <c r="D7" s="20">
        <v>16571.543347459843</v>
      </c>
      <c r="E7" s="21">
        <v>19018.887144733908</v>
      </c>
      <c r="F7" s="22" t="s">
        <v>237</v>
      </c>
      <c r="G7" s="23">
        <v>1.8187085384598021</v>
      </c>
      <c r="H7" s="24">
        <v>14.768351661399137</v>
      </c>
    </row>
    <row r="8" spans="1:8" ht="12.75" customHeight="1" x14ac:dyDescent="0.2">
      <c r="A8" s="201"/>
      <c r="B8" s="25" t="s">
        <v>238</v>
      </c>
      <c r="C8" s="26">
        <v>4327.0239104274578</v>
      </c>
      <c r="D8" s="26">
        <v>3154.2796002720661</v>
      </c>
      <c r="E8" s="26">
        <v>3848.8858368649608</v>
      </c>
      <c r="F8" s="27"/>
      <c r="G8" s="28">
        <v>-11.050044637152538</v>
      </c>
      <c r="H8" s="29">
        <v>22.021073735282798</v>
      </c>
    </row>
    <row r="9" spans="1:8" x14ac:dyDescent="0.2">
      <c r="A9" s="30" t="s">
        <v>18</v>
      </c>
      <c r="B9" s="31" t="s">
        <v>3</v>
      </c>
      <c r="C9" s="20">
        <v>2277.1434434782609</v>
      </c>
      <c r="D9" s="20">
        <v>2580.9849043478262</v>
      </c>
      <c r="E9" s="21">
        <v>3429.6480974998958</v>
      </c>
      <c r="F9" s="22" t="s">
        <v>237</v>
      </c>
      <c r="G9" s="32">
        <v>50.611860105800901</v>
      </c>
      <c r="H9" s="33">
        <v>32.881369888000705</v>
      </c>
    </row>
    <row r="10" spans="1:8" x14ac:dyDescent="0.2">
      <c r="A10" s="34"/>
      <c r="B10" s="25" t="s">
        <v>238</v>
      </c>
      <c r="C10" s="26">
        <v>412.98937391304344</v>
      </c>
      <c r="D10" s="26">
        <v>318.10206956521739</v>
      </c>
      <c r="E10" s="26">
        <v>473.24622608695654</v>
      </c>
      <c r="F10" s="27"/>
      <c r="G10" s="35">
        <v>14.590412243052157</v>
      </c>
      <c r="H10" s="29">
        <v>48.771816144984683</v>
      </c>
    </row>
    <row r="11" spans="1:8" x14ac:dyDescent="0.2">
      <c r="A11" s="30" t="s">
        <v>19</v>
      </c>
      <c r="B11" s="31" t="s">
        <v>3</v>
      </c>
      <c r="C11" s="20">
        <v>5894.81147826087</v>
      </c>
      <c r="D11" s="20">
        <v>4867.6163478260869</v>
      </c>
      <c r="E11" s="21">
        <v>4668.0291442219313</v>
      </c>
      <c r="F11" s="22" t="s">
        <v>237</v>
      </c>
      <c r="G11" s="37">
        <v>-20.81122252277477</v>
      </c>
      <c r="H11" s="33">
        <v>-4.1003067896526488</v>
      </c>
    </row>
    <row r="12" spans="1:8" x14ac:dyDescent="0.2">
      <c r="A12" s="34"/>
      <c r="B12" s="25" t="s">
        <v>238</v>
      </c>
      <c r="C12" s="26">
        <v>1775.2979130434783</v>
      </c>
      <c r="D12" s="26">
        <v>1100.6735652173913</v>
      </c>
      <c r="E12" s="26">
        <v>1151.1540869565217</v>
      </c>
      <c r="F12" s="27"/>
      <c r="G12" s="28">
        <v>-35.157131741171085</v>
      </c>
      <c r="H12" s="29">
        <v>4.5863299832371354</v>
      </c>
    </row>
    <row r="13" spans="1:8" x14ac:dyDescent="0.2">
      <c r="A13" s="30" t="s">
        <v>20</v>
      </c>
      <c r="B13" s="31" t="s">
        <v>3</v>
      </c>
      <c r="C13" s="20">
        <v>1345.5768944099379</v>
      </c>
      <c r="D13" s="20">
        <v>1141.9125465838511</v>
      </c>
      <c r="E13" s="21">
        <v>1002.4011843065025</v>
      </c>
      <c r="F13" s="22" t="s">
        <v>237</v>
      </c>
      <c r="G13" s="23">
        <v>-25.503983572334207</v>
      </c>
      <c r="H13" s="24">
        <v>-12.217342098106471</v>
      </c>
    </row>
    <row r="14" spans="1:8" x14ac:dyDescent="0.2">
      <c r="A14" s="34"/>
      <c r="B14" s="25" t="s">
        <v>238</v>
      </c>
      <c r="C14" s="26">
        <v>249.57043478260869</v>
      </c>
      <c r="D14" s="26">
        <v>255.74931677018634</v>
      </c>
      <c r="E14" s="26">
        <v>209.97813664596273</v>
      </c>
      <c r="F14" s="27"/>
      <c r="G14" s="38">
        <v>-15.864178051031288</v>
      </c>
      <c r="H14" s="24">
        <v>-17.89689243445882</v>
      </c>
    </row>
    <row r="15" spans="1:8" x14ac:dyDescent="0.2">
      <c r="A15" s="30" t="s">
        <v>21</v>
      </c>
      <c r="B15" s="31" t="s">
        <v>3</v>
      </c>
      <c r="C15" s="20">
        <v>407.91826086956519</v>
      </c>
      <c r="D15" s="20">
        <v>405.30782608695654</v>
      </c>
      <c r="E15" s="21">
        <v>430.94684327183984</v>
      </c>
      <c r="F15" s="22" t="s">
        <v>237</v>
      </c>
      <c r="G15" s="37">
        <v>5.6453913961057651</v>
      </c>
      <c r="H15" s="33">
        <v>6.3258135014107921</v>
      </c>
    </row>
    <row r="16" spans="1:8" x14ac:dyDescent="0.2">
      <c r="A16" s="34"/>
      <c r="B16" s="25" t="s">
        <v>238</v>
      </c>
      <c r="C16" s="26">
        <v>60.458043478260869</v>
      </c>
      <c r="D16" s="26">
        <v>62.510217391304352</v>
      </c>
      <c r="E16" s="26">
        <v>65.576956521739135</v>
      </c>
      <c r="F16" s="27"/>
      <c r="G16" s="28">
        <v>8.466885047841302</v>
      </c>
      <c r="H16" s="29">
        <v>4.9059805875213414</v>
      </c>
    </row>
    <row r="17" spans="1:8" x14ac:dyDescent="0.2">
      <c r="A17" s="30" t="s">
        <v>22</v>
      </c>
      <c r="B17" s="31" t="s">
        <v>3</v>
      </c>
      <c r="C17" s="20">
        <v>440.91826086956519</v>
      </c>
      <c r="D17" s="20">
        <v>382.30782608695654</v>
      </c>
      <c r="E17" s="21">
        <v>507.1728392750486</v>
      </c>
      <c r="F17" s="22" t="s">
        <v>237</v>
      </c>
      <c r="G17" s="37">
        <v>15.026499078268657</v>
      </c>
      <c r="H17" s="33">
        <v>32.660857211877044</v>
      </c>
    </row>
    <row r="18" spans="1:8" x14ac:dyDescent="0.2">
      <c r="A18" s="34"/>
      <c r="B18" s="25" t="s">
        <v>238</v>
      </c>
      <c r="C18" s="26">
        <v>67.458043478260876</v>
      </c>
      <c r="D18" s="26">
        <v>74.510217391304352</v>
      </c>
      <c r="E18" s="26">
        <v>90.576956521739135</v>
      </c>
      <c r="F18" s="27"/>
      <c r="G18" s="28">
        <v>34.271543987083732</v>
      </c>
      <c r="H18" s="29">
        <v>21.563135490609682</v>
      </c>
    </row>
    <row r="19" spans="1:8" x14ac:dyDescent="0.2">
      <c r="A19" s="30" t="s">
        <v>189</v>
      </c>
      <c r="B19" s="31" t="s">
        <v>3</v>
      </c>
      <c r="C19" s="20">
        <v>5269.4422360248445</v>
      </c>
      <c r="D19" s="20">
        <v>4367.781366459627</v>
      </c>
      <c r="E19" s="21">
        <v>5349.8139879763894</v>
      </c>
      <c r="F19" s="22" t="s">
        <v>237</v>
      </c>
      <c r="G19" s="23">
        <v>1.5252421101056797</v>
      </c>
      <c r="H19" s="24">
        <v>22.483557191251165</v>
      </c>
    </row>
    <row r="20" spans="1:8" x14ac:dyDescent="0.2">
      <c r="A20" s="30"/>
      <c r="B20" s="25" t="s">
        <v>238</v>
      </c>
      <c r="C20" s="26">
        <v>1057.9260869565219</v>
      </c>
      <c r="D20" s="26">
        <v>774.37329192546576</v>
      </c>
      <c r="E20" s="26">
        <v>986.94534161490685</v>
      </c>
      <c r="F20" s="27"/>
      <c r="G20" s="38">
        <v>-6.7094238639879791</v>
      </c>
      <c r="H20" s="24">
        <v>27.450849855743911</v>
      </c>
    </row>
    <row r="21" spans="1:8" x14ac:dyDescent="0.2">
      <c r="A21" s="39" t="s">
        <v>12</v>
      </c>
      <c r="B21" s="31" t="s">
        <v>3</v>
      </c>
      <c r="C21" s="20">
        <v>41.150956521739133</v>
      </c>
      <c r="D21" s="20">
        <v>47.384695652173917</v>
      </c>
      <c r="E21" s="21">
        <v>101.46284588537431</v>
      </c>
      <c r="F21" s="22" t="s">
        <v>237</v>
      </c>
      <c r="G21" s="37">
        <v>146.56254547029482</v>
      </c>
      <c r="H21" s="33">
        <v>114.12577307694366</v>
      </c>
    </row>
    <row r="22" spans="1:8" x14ac:dyDescent="0.2">
      <c r="A22" s="34"/>
      <c r="B22" s="25" t="s">
        <v>238</v>
      </c>
      <c r="C22" s="26">
        <v>4.274826086956522</v>
      </c>
      <c r="D22" s="26">
        <v>6.3061304347826086</v>
      </c>
      <c r="E22" s="26">
        <v>12.346173913043479</v>
      </c>
      <c r="F22" s="27"/>
      <c r="G22" s="28">
        <v>188.81113902421657</v>
      </c>
      <c r="H22" s="29">
        <v>95.780503443853831</v>
      </c>
    </row>
    <row r="23" spans="1:8" x14ac:dyDescent="0.2">
      <c r="A23" s="39" t="s">
        <v>23</v>
      </c>
      <c r="B23" s="31" t="s">
        <v>3</v>
      </c>
      <c r="C23" s="20">
        <v>1789.9182608695653</v>
      </c>
      <c r="D23" s="20">
        <v>1685.3078260869565</v>
      </c>
      <c r="E23" s="21">
        <v>1443.2929842217043</v>
      </c>
      <c r="F23" s="22" t="s">
        <v>237</v>
      </c>
      <c r="G23" s="23">
        <v>-19.365424903786717</v>
      </c>
      <c r="H23" s="24">
        <v>-14.360275204273876</v>
      </c>
    </row>
    <row r="24" spans="1:8" x14ac:dyDescent="0.2">
      <c r="A24" s="34"/>
      <c r="B24" s="25" t="s">
        <v>238</v>
      </c>
      <c r="C24" s="26">
        <v>450.45804347826089</v>
      </c>
      <c r="D24" s="26">
        <v>419.51021739130431</v>
      </c>
      <c r="E24" s="26">
        <v>360.57695652173913</v>
      </c>
      <c r="F24" s="27"/>
      <c r="G24" s="28">
        <v>-19.953264961703226</v>
      </c>
      <c r="H24" s="29">
        <v>-14.048110969987249</v>
      </c>
    </row>
    <row r="25" spans="1:8" x14ac:dyDescent="0.2">
      <c r="A25" s="30" t="s">
        <v>24</v>
      </c>
      <c r="B25" s="31" t="s">
        <v>3</v>
      </c>
      <c r="C25" s="20">
        <v>2014.8365217391304</v>
      </c>
      <c r="D25" s="20">
        <v>1670.6156521739131</v>
      </c>
      <c r="E25" s="21">
        <v>3178.9640975917005</v>
      </c>
      <c r="F25" s="22" t="s">
        <v>237</v>
      </c>
      <c r="G25" s="23">
        <v>57.777768235397048</v>
      </c>
      <c r="H25" s="24">
        <v>90.286981536119725</v>
      </c>
    </row>
    <row r="26" spans="1:8" ht="13.5" thickBot="1" x14ac:dyDescent="0.25">
      <c r="A26" s="41"/>
      <c r="B26" s="42" t="s">
        <v>238</v>
      </c>
      <c r="C26" s="43">
        <v>392.91608695652172</v>
      </c>
      <c r="D26" s="43">
        <v>388.02043478260873</v>
      </c>
      <c r="E26" s="43">
        <v>694.15391304347827</v>
      </c>
      <c r="F26" s="44"/>
      <c r="G26" s="45">
        <v>76.667216254825945</v>
      </c>
      <c r="H26" s="46">
        <v>78.896225770269837</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45</v>
      </c>
      <c r="B35" s="19" t="s">
        <v>3</v>
      </c>
      <c r="C35" s="80">
        <v>905.69526492151999</v>
      </c>
      <c r="D35" s="80">
        <v>854.86210765784256</v>
      </c>
      <c r="E35" s="83">
        <v>823.26139181570522</v>
      </c>
      <c r="F35" s="22" t="s">
        <v>237</v>
      </c>
      <c r="G35" s="23">
        <v>-9.1017228750729657</v>
      </c>
      <c r="H35" s="24">
        <v>-3.6965863335219353</v>
      </c>
    </row>
    <row r="36" spans="1:8" ht="12.75" customHeight="1" x14ac:dyDescent="0.2">
      <c r="A36" s="201"/>
      <c r="B36" s="25" t="s">
        <v>238</v>
      </c>
      <c r="C36" s="82">
        <v>214.25453182626987</v>
      </c>
      <c r="D36" s="82">
        <v>191.90666409115363</v>
      </c>
      <c r="E36" s="82">
        <v>188.01162458784114</v>
      </c>
      <c r="F36" s="27"/>
      <c r="G36" s="28">
        <v>-12.248472419574313</v>
      </c>
      <c r="H36" s="29">
        <v>-2.0296530721113299</v>
      </c>
    </row>
    <row r="37" spans="1:8" x14ac:dyDescent="0.2">
      <c r="A37" s="30" t="s">
        <v>18</v>
      </c>
      <c r="B37" s="31" t="s">
        <v>3</v>
      </c>
      <c r="C37" s="80">
        <v>346.73780852116778</v>
      </c>
      <c r="D37" s="80">
        <v>369.27527649632407</v>
      </c>
      <c r="E37" s="83">
        <v>322.18695337515783</v>
      </c>
      <c r="F37" s="22" t="s">
        <v>237</v>
      </c>
      <c r="G37" s="32">
        <v>-7.0805244027811796</v>
      </c>
      <c r="H37" s="33">
        <v>-12.751550433578771</v>
      </c>
    </row>
    <row r="38" spans="1:8" x14ac:dyDescent="0.2">
      <c r="A38" s="34"/>
      <c r="B38" s="25" t="s">
        <v>238</v>
      </c>
      <c r="C38" s="82">
        <v>71.577821936810537</v>
      </c>
      <c r="D38" s="82">
        <v>79.615881653202578</v>
      </c>
      <c r="E38" s="82">
        <v>68.450265703629029</v>
      </c>
      <c r="F38" s="27"/>
      <c r="G38" s="35">
        <v>-4.3694487322379558</v>
      </c>
      <c r="H38" s="29">
        <v>-14.024357600170362</v>
      </c>
    </row>
    <row r="39" spans="1:8" x14ac:dyDescent="0.2">
      <c r="A39" s="30" t="s">
        <v>19</v>
      </c>
      <c r="B39" s="31" t="s">
        <v>3</v>
      </c>
      <c r="C39" s="80">
        <v>273.02541210104232</v>
      </c>
      <c r="D39" s="80">
        <v>251.67091707511867</v>
      </c>
      <c r="E39" s="83">
        <v>223.86641007625198</v>
      </c>
      <c r="F39" s="22" t="s">
        <v>237</v>
      </c>
      <c r="G39" s="37">
        <v>-18.005284433596017</v>
      </c>
      <c r="H39" s="33">
        <v>-11.047961886898364</v>
      </c>
    </row>
    <row r="40" spans="1:8" x14ac:dyDescent="0.2">
      <c r="A40" s="34"/>
      <c r="B40" s="25" t="s">
        <v>238</v>
      </c>
      <c r="C40" s="82">
        <v>78.937912787502867</v>
      </c>
      <c r="D40" s="82">
        <v>61.41320502747601</v>
      </c>
      <c r="E40" s="82">
        <v>57.624640075962098</v>
      </c>
      <c r="F40" s="27"/>
      <c r="G40" s="28">
        <v>-27.000045933460498</v>
      </c>
      <c r="H40" s="29">
        <v>-6.1689744898005614</v>
      </c>
    </row>
    <row r="41" spans="1:8" x14ac:dyDescent="0.2">
      <c r="A41" s="30" t="s">
        <v>20</v>
      </c>
      <c r="B41" s="31" t="s">
        <v>3</v>
      </c>
      <c r="C41" s="80">
        <v>40.027541686244533</v>
      </c>
      <c r="D41" s="80">
        <v>36.015530267074276</v>
      </c>
      <c r="E41" s="83">
        <v>28.782285085274523</v>
      </c>
      <c r="F41" s="22" t="s">
        <v>237</v>
      </c>
      <c r="G41" s="23">
        <v>-28.093797738356841</v>
      </c>
      <c r="H41" s="24">
        <v>-20.083683700229869</v>
      </c>
    </row>
    <row r="42" spans="1:8" x14ac:dyDescent="0.2">
      <c r="A42" s="34"/>
      <c r="B42" s="25" t="s">
        <v>238</v>
      </c>
      <c r="C42" s="82">
        <v>10.187366468533952</v>
      </c>
      <c r="D42" s="82">
        <v>9.4405134113036269</v>
      </c>
      <c r="E42" s="82">
        <v>7.4700137684978234</v>
      </c>
      <c r="F42" s="27"/>
      <c r="G42" s="38">
        <v>-26.673750359617515</v>
      </c>
      <c r="H42" s="24">
        <v>-20.872801689433757</v>
      </c>
    </row>
    <row r="43" spans="1:8" x14ac:dyDescent="0.2">
      <c r="A43" s="30" t="s">
        <v>21</v>
      </c>
      <c r="B43" s="31" t="s">
        <v>3</v>
      </c>
      <c r="C43" s="80">
        <v>7.6017906677448961</v>
      </c>
      <c r="D43" s="80">
        <v>7.0481779669671765</v>
      </c>
      <c r="E43" s="83">
        <v>11.127407325364622</v>
      </c>
      <c r="F43" s="22" t="s">
        <v>237</v>
      </c>
      <c r="G43" s="37">
        <v>46.378765368786674</v>
      </c>
      <c r="H43" s="33">
        <v>57.876367162061513</v>
      </c>
    </row>
    <row r="44" spans="1:8" x14ac:dyDescent="0.2">
      <c r="A44" s="34"/>
      <c r="B44" s="25" t="s">
        <v>238</v>
      </c>
      <c r="C44" s="82">
        <v>1.4150984902177535</v>
      </c>
      <c r="D44" s="82">
        <v>1.0343896583305041</v>
      </c>
      <c r="E44" s="82">
        <v>1.756994175525191</v>
      </c>
      <c r="F44" s="27"/>
      <c r="G44" s="28">
        <v>24.160557563369807</v>
      </c>
      <c r="H44" s="29">
        <v>69.858057007352954</v>
      </c>
    </row>
    <row r="45" spans="1:8" x14ac:dyDescent="0.2">
      <c r="A45" s="30" t="s">
        <v>22</v>
      </c>
      <c r="B45" s="31" t="s">
        <v>3</v>
      </c>
      <c r="C45" s="80">
        <v>2.4576141366135209</v>
      </c>
      <c r="D45" s="80">
        <v>2.0929110289082646</v>
      </c>
      <c r="E45" s="83">
        <v>3.091458736735369</v>
      </c>
      <c r="F45" s="22" t="s">
        <v>237</v>
      </c>
      <c r="G45" s="37">
        <v>25.791054449062401</v>
      </c>
      <c r="H45" s="33">
        <v>47.710948723318722</v>
      </c>
    </row>
    <row r="46" spans="1:8" x14ac:dyDescent="0.2">
      <c r="A46" s="34"/>
      <c r="B46" s="25" t="s">
        <v>238</v>
      </c>
      <c r="C46" s="82">
        <v>0.46611573124030242</v>
      </c>
      <c r="D46" s="82">
        <v>0.37739840016788218</v>
      </c>
      <c r="E46" s="82">
        <v>0.56676190326793219</v>
      </c>
      <c r="F46" s="27"/>
      <c r="G46" s="28">
        <v>21.592528482104029</v>
      </c>
      <c r="H46" s="29">
        <v>50.17602168313735</v>
      </c>
    </row>
    <row r="47" spans="1:8" x14ac:dyDescent="0.2">
      <c r="A47" s="30" t="s">
        <v>189</v>
      </c>
      <c r="B47" s="31" t="s">
        <v>3</v>
      </c>
      <c r="C47" s="80">
        <v>137.86343215799474</v>
      </c>
      <c r="D47" s="80">
        <v>98.114514318619769</v>
      </c>
      <c r="E47" s="83">
        <v>113.60109787273555</v>
      </c>
      <c r="F47" s="22" t="s">
        <v>237</v>
      </c>
      <c r="G47" s="23">
        <v>-17.598817834053321</v>
      </c>
      <c r="H47" s="24">
        <v>15.784192238697955</v>
      </c>
    </row>
    <row r="48" spans="1:8" x14ac:dyDescent="0.2">
      <c r="A48" s="30"/>
      <c r="B48" s="25" t="s">
        <v>238</v>
      </c>
      <c r="C48" s="82">
        <v>28.254539183779372</v>
      </c>
      <c r="D48" s="82">
        <v>20.377258351765345</v>
      </c>
      <c r="E48" s="82">
        <v>23.488864972203341</v>
      </c>
      <c r="F48" s="27"/>
      <c r="G48" s="38">
        <v>-16.866933063668412</v>
      </c>
      <c r="H48" s="24">
        <v>15.269996418180696</v>
      </c>
    </row>
    <row r="49" spans="1:8" x14ac:dyDescent="0.2">
      <c r="A49" s="39" t="s">
        <v>12</v>
      </c>
      <c r="B49" s="31" t="s">
        <v>3</v>
      </c>
      <c r="C49" s="80">
        <v>1.5168175094124987</v>
      </c>
      <c r="D49" s="80">
        <v>0.94551141068839084</v>
      </c>
      <c r="E49" s="83">
        <v>1.5630775510013577</v>
      </c>
      <c r="F49" s="22" t="s">
        <v>237</v>
      </c>
      <c r="G49" s="37">
        <v>3.0498093080937991</v>
      </c>
      <c r="H49" s="33">
        <v>65.315567145122088</v>
      </c>
    </row>
    <row r="50" spans="1:8" x14ac:dyDescent="0.2">
      <c r="A50" s="34"/>
      <c r="B50" s="25" t="s">
        <v>238</v>
      </c>
      <c r="C50" s="82">
        <v>0.2004390886588871</v>
      </c>
      <c r="D50" s="82">
        <v>0.15707775024547954</v>
      </c>
      <c r="E50" s="82">
        <v>0.23917038278342895</v>
      </c>
      <c r="F50" s="27"/>
      <c r="G50" s="28">
        <v>19.323224019670064</v>
      </c>
      <c r="H50" s="29">
        <v>52.262419349434197</v>
      </c>
    </row>
    <row r="51" spans="1:8" x14ac:dyDescent="0.2">
      <c r="A51" s="39" t="s">
        <v>23</v>
      </c>
      <c r="B51" s="31" t="s">
        <v>3</v>
      </c>
      <c r="C51" s="80">
        <v>48.171002876129229</v>
      </c>
      <c r="D51" s="80">
        <v>45.637182320147758</v>
      </c>
      <c r="E51" s="83">
        <v>43.236337391836408</v>
      </c>
      <c r="F51" s="22" t="s">
        <v>237</v>
      </c>
      <c r="G51" s="23">
        <v>-10.244058021756814</v>
      </c>
      <c r="H51" s="24">
        <v>-5.2607212063822715</v>
      </c>
    </row>
    <row r="52" spans="1:8" x14ac:dyDescent="0.2">
      <c r="A52" s="34"/>
      <c r="B52" s="25" t="s">
        <v>238</v>
      </c>
      <c r="C52" s="82">
        <v>13.786633143321474</v>
      </c>
      <c r="D52" s="82">
        <v>9.2674766662347157</v>
      </c>
      <c r="E52" s="82">
        <v>9.7211809602446309</v>
      </c>
      <c r="F52" s="27"/>
      <c r="G52" s="28">
        <v>-29.488361232316024</v>
      </c>
      <c r="H52" s="29">
        <v>4.8956615738019451</v>
      </c>
    </row>
    <row r="53" spans="1:8" x14ac:dyDescent="0.2">
      <c r="A53" s="30" t="s">
        <v>24</v>
      </c>
      <c r="B53" s="31" t="s">
        <v>3</v>
      </c>
      <c r="C53" s="80">
        <v>48.293845265170518</v>
      </c>
      <c r="D53" s="80">
        <v>44.062086773994324</v>
      </c>
      <c r="E53" s="83">
        <v>85.628841431420838</v>
      </c>
      <c r="F53" s="22" t="s">
        <v>237</v>
      </c>
      <c r="G53" s="23">
        <v>77.307979849714485</v>
      </c>
      <c r="H53" s="24">
        <v>94.336781802080765</v>
      </c>
    </row>
    <row r="54" spans="1:8" ht="13.5" thickBot="1" x14ac:dyDescent="0.25">
      <c r="A54" s="41"/>
      <c r="B54" s="42" t="s">
        <v>238</v>
      </c>
      <c r="C54" s="86">
        <v>9.4286049962047525</v>
      </c>
      <c r="D54" s="86">
        <v>10.223463172427465</v>
      </c>
      <c r="E54" s="86">
        <v>18.693732645727643</v>
      </c>
      <c r="F54" s="44"/>
      <c r="G54" s="45">
        <v>98.266155526213396</v>
      </c>
      <c r="H54" s="46">
        <v>82.851273882849938</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5">
        <v>16</v>
      </c>
    </row>
    <row r="62" spans="1:8"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165</v>
      </c>
      <c r="B7" s="19" t="s">
        <v>3</v>
      </c>
      <c r="C7" s="20">
        <v>47104.096671444495</v>
      </c>
      <c r="D7" s="20">
        <v>46862.684981684979</v>
      </c>
      <c r="E7" s="79">
        <v>45088.254344172929</v>
      </c>
      <c r="F7" s="22" t="s">
        <v>237</v>
      </c>
      <c r="G7" s="23">
        <v>-4.2795477882364565</v>
      </c>
      <c r="H7" s="24">
        <v>-3.786446803476025</v>
      </c>
    </row>
    <row r="8" spans="1:8" x14ac:dyDescent="0.2">
      <c r="A8" s="201"/>
      <c r="B8" s="25" t="s">
        <v>238</v>
      </c>
      <c r="C8" s="26">
        <v>12011.183150183149</v>
      </c>
      <c r="D8" s="26">
        <v>12689.963847746456</v>
      </c>
      <c r="E8" s="26">
        <v>11962.421245421247</v>
      </c>
      <c r="F8" s="27"/>
      <c r="G8" s="28">
        <v>-0.405970870248197</v>
      </c>
      <c r="H8" s="29">
        <v>-5.7332125690366667</v>
      </c>
    </row>
    <row r="9" spans="1:8" x14ac:dyDescent="0.2">
      <c r="A9" s="30" t="s">
        <v>18</v>
      </c>
      <c r="B9" s="31" t="s">
        <v>3</v>
      </c>
      <c r="C9" s="20">
        <v>5019.7944202898552</v>
      </c>
      <c r="D9" s="20">
        <v>5139.9516666666668</v>
      </c>
      <c r="E9" s="36">
        <v>5502.4523602560012</v>
      </c>
      <c r="F9" s="22" t="s">
        <v>237</v>
      </c>
      <c r="G9" s="32">
        <v>9.6150937579287472</v>
      </c>
      <c r="H9" s="33">
        <v>7.0526089951429753</v>
      </c>
    </row>
    <row r="10" spans="1:8" x14ac:dyDescent="0.2">
      <c r="A10" s="34"/>
      <c r="B10" s="25" t="s">
        <v>238</v>
      </c>
      <c r="C10" s="26">
        <v>1146.4633333333334</v>
      </c>
      <c r="D10" s="26">
        <v>1178.8745289855071</v>
      </c>
      <c r="E10" s="26">
        <v>1260.2379166666667</v>
      </c>
      <c r="F10" s="27"/>
      <c r="G10" s="35">
        <v>9.9239618071809161</v>
      </c>
      <c r="H10" s="29">
        <v>6.9017851926258516</v>
      </c>
    </row>
    <row r="11" spans="1:8" x14ac:dyDescent="0.2">
      <c r="A11" s="30" t="s">
        <v>19</v>
      </c>
      <c r="B11" s="31" t="s">
        <v>3</v>
      </c>
      <c r="C11" s="20">
        <v>20725.509011857706</v>
      </c>
      <c r="D11" s="20">
        <v>20375.569090909092</v>
      </c>
      <c r="E11" s="36">
        <v>19833.140532262842</v>
      </c>
      <c r="F11" s="22" t="s">
        <v>237</v>
      </c>
      <c r="G11" s="37">
        <v>-4.3056528989677076</v>
      </c>
      <c r="H11" s="33">
        <v>-2.6621516985666176</v>
      </c>
    </row>
    <row r="12" spans="1:8" x14ac:dyDescent="0.2">
      <c r="A12" s="34"/>
      <c r="B12" s="25" t="s">
        <v>238</v>
      </c>
      <c r="C12" s="26">
        <v>5796.6072727272731</v>
      </c>
      <c r="D12" s="26">
        <v>5425.9530039525689</v>
      </c>
      <c r="E12" s="26">
        <v>5367.1422727272729</v>
      </c>
      <c r="F12" s="27"/>
      <c r="G12" s="28">
        <v>-7.408902825289033</v>
      </c>
      <c r="H12" s="29">
        <v>-1.0838783745906966</v>
      </c>
    </row>
    <row r="13" spans="1:8" x14ac:dyDescent="0.2">
      <c r="A13" s="30" t="s">
        <v>20</v>
      </c>
      <c r="B13" s="31" t="s">
        <v>3</v>
      </c>
      <c r="C13" s="20">
        <v>2919.2766521739131</v>
      </c>
      <c r="D13" s="20">
        <v>2841.5709999999999</v>
      </c>
      <c r="E13" s="36">
        <v>3495.2720697841237</v>
      </c>
      <c r="F13" s="22" t="s">
        <v>237</v>
      </c>
      <c r="G13" s="23">
        <v>19.730758206190586</v>
      </c>
      <c r="H13" s="24">
        <v>23.00491769461766</v>
      </c>
    </row>
    <row r="14" spans="1:8" x14ac:dyDescent="0.2">
      <c r="A14" s="34"/>
      <c r="B14" s="25" t="s">
        <v>238</v>
      </c>
      <c r="C14" s="26">
        <v>636.678</v>
      </c>
      <c r="D14" s="26">
        <v>727.92471739130428</v>
      </c>
      <c r="E14" s="26">
        <v>846.14274999999998</v>
      </c>
      <c r="F14" s="27"/>
      <c r="G14" s="38">
        <v>32.899636865102934</v>
      </c>
      <c r="H14" s="24">
        <v>16.240420167673221</v>
      </c>
    </row>
    <row r="15" spans="1:8" x14ac:dyDescent="0.2">
      <c r="A15" s="30" t="s">
        <v>21</v>
      </c>
      <c r="B15" s="31" t="s">
        <v>3</v>
      </c>
      <c r="C15" s="20">
        <v>1228.2766521739131</v>
      </c>
      <c r="D15" s="20">
        <v>1158.5709999999999</v>
      </c>
      <c r="E15" s="36">
        <v>1233.6075948654411</v>
      </c>
      <c r="F15" s="22" t="s">
        <v>237</v>
      </c>
      <c r="G15" s="37">
        <v>0.4340180758213279</v>
      </c>
      <c r="H15" s="33">
        <v>6.4766505346190542</v>
      </c>
    </row>
    <row r="16" spans="1:8" x14ac:dyDescent="0.2">
      <c r="A16" s="34"/>
      <c r="B16" s="25" t="s">
        <v>238</v>
      </c>
      <c r="C16" s="26">
        <v>243.678</v>
      </c>
      <c r="D16" s="26">
        <v>273.92471739130434</v>
      </c>
      <c r="E16" s="26">
        <v>274.14274999999998</v>
      </c>
      <c r="F16" s="27"/>
      <c r="G16" s="28">
        <v>12.502051888147463</v>
      </c>
      <c r="H16" s="29">
        <v>7.9595814051415914E-2</v>
      </c>
    </row>
    <row r="17" spans="1:8" x14ac:dyDescent="0.2">
      <c r="A17" s="30" t="s">
        <v>189</v>
      </c>
      <c r="B17" s="31" t="s">
        <v>3</v>
      </c>
      <c r="C17" s="20">
        <v>9925.7944202898543</v>
      </c>
      <c r="D17" s="20">
        <v>9831.9516666666677</v>
      </c>
      <c r="E17" s="36">
        <v>7743.9555838838714</v>
      </c>
      <c r="F17" s="22" t="s">
        <v>237</v>
      </c>
      <c r="G17" s="37">
        <v>-21.981503384212431</v>
      </c>
      <c r="H17" s="33">
        <v>-21.236842425311579</v>
      </c>
    </row>
    <row r="18" spans="1:8" x14ac:dyDescent="0.2">
      <c r="A18" s="34"/>
      <c r="B18" s="25" t="s">
        <v>238</v>
      </c>
      <c r="C18" s="26">
        <v>2460.4633333333331</v>
      </c>
      <c r="D18" s="26">
        <v>3053.8745289855069</v>
      </c>
      <c r="E18" s="26">
        <v>2218.2379166666669</v>
      </c>
      <c r="F18" s="27"/>
      <c r="G18" s="28">
        <v>-9.8447074331528199</v>
      </c>
      <c r="H18" s="29">
        <v>-27.363161268987611</v>
      </c>
    </row>
    <row r="19" spans="1:8" x14ac:dyDescent="0.2">
      <c r="A19" s="39" t="s">
        <v>12</v>
      </c>
      <c r="B19" s="31" t="s">
        <v>3</v>
      </c>
      <c r="C19" s="20">
        <v>522.27665217391302</v>
      </c>
      <c r="D19" s="20">
        <v>425.57100000000003</v>
      </c>
      <c r="E19" s="36">
        <v>277.99892871904569</v>
      </c>
      <c r="F19" s="22" t="s">
        <v>237</v>
      </c>
      <c r="G19" s="37">
        <v>-46.771710440834568</v>
      </c>
      <c r="H19" s="33">
        <v>-34.676251737302195</v>
      </c>
    </row>
    <row r="20" spans="1:8" x14ac:dyDescent="0.2">
      <c r="A20" s="34"/>
      <c r="B20" s="25" t="s">
        <v>238</v>
      </c>
      <c r="C20" s="26">
        <v>131.678</v>
      </c>
      <c r="D20" s="26">
        <v>148.92471739130434</v>
      </c>
      <c r="E20" s="26">
        <v>86.142750000000007</v>
      </c>
      <c r="F20" s="27"/>
      <c r="G20" s="28">
        <v>-34.580757605674435</v>
      </c>
      <c r="H20" s="29">
        <v>-42.156848433925688</v>
      </c>
    </row>
    <row r="21" spans="1:8" x14ac:dyDescent="0.2">
      <c r="A21" s="39" t="s">
        <v>23</v>
      </c>
      <c r="B21" s="31" t="s">
        <v>3</v>
      </c>
      <c r="C21" s="20">
        <v>670.51776811594209</v>
      </c>
      <c r="D21" s="20">
        <v>720.38066666666668</v>
      </c>
      <c r="E21" s="36">
        <v>749.3434928923881</v>
      </c>
      <c r="F21" s="22" t="s">
        <v>237</v>
      </c>
      <c r="G21" s="23">
        <v>11.755948689910923</v>
      </c>
      <c r="H21" s="24">
        <v>4.0204891060913184</v>
      </c>
    </row>
    <row r="22" spans="1:8" x14ac:dyDescent="0.2">
      <c r="A22" s="34"/>
      <c r="B22" s="25" t="s">
        <v>238</v>
      </c>
      <c r="C22" s="26">
        <v>164.78533333333334</v>
      </c>
      <c r="D22" s="26">
        <v>176.94981159420291</v>
      </c>
      <c r="E22" s="26">
        <v>184.09516666666667</v>
      </c>
      <c r="F22" s="27"/>
      <c r="G22" s="38">
        <v>11.718174756653085</v>
      </c>
      <c r="H22" s="24">
        <v>4.0380687654249243</v>
      </c>
    </row>
    <row r="23" spans="1:8" x14ac:dyDescent="0.2">
      <c r="A23" s="30" t="s">
        <v>24</v>
      </c>
      <c r="B23" s="31" t="s">
        <v>3</v>
      </c>
      <c r="C23" s="20">
        <v>7429.382995652174</v>
      </c>
      <c r="D23" s="20">
        <v>7460.7713000000003</v>
      </c>
      <c r="E23" s="36">
        <v>7738.951313378654</v>
      </c>
      <c r="F23" s="22" t="s">
        <v>237</v>
      </c>
      <c r="G23" s="37">
        <v>4.1668105939301654</v>
      </c>
      <c r="H23" s="33">
        <v>3.7285691008737132</v>
      </c>
    </row>
    <row r="24" spans="1:8" ht="13.5" thickBot="1" x14ac:dyDescent="0.25">
      <c r="A24" s="41"/>
      <c r="B24" s="42" t="s">
        <v>238</v>
      </c>
      <c r="C24" s="43">
        <v>1724.8034</v>
      </c>
      <c r="D24" s="43">
        <v>1958.8774152173912</v>
      </c>
      <c r="E24" s="43">
        <v>1946.9428250000001</v>
      </c>
      <c r="F24" s="44"/>
      <c r="G24" s="45">
        <v>12.879115671965863</v>
      </c>
      <c r="H24" s="46">
        <v>-0.6092566142566227</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165</v>
      </c>
      <c r="B35" s="19" t="s">
        <v>3</v>
      </c>
      <c r="C35" s="80">
        <v>6748.8583414238083</v>
      </c>
      <c r="D35" s="80">
        <v>5905.40679865111</v>
      </c>
      <c r="E35" s="81">
        <v>7139.8785862043942</v>
      </c>
      <c r="F35" s="22" t="s">
        <v>237</v>
      </c>
      <c r="G35" s="23">
        <v>5.7938724595913271</v>
      </c>
      <c r="H35" s="24">
        <v>20.904093987822449</v>
      </c>
    </row>
    <row r="36" spans="1:8" ht="12.75" customHeight="1" x14ac:dyDescent="0.2">
      <c r="A36" s="201"/>
      <c r="B36" s="25" t="s">
        <v>238</v>
      </c>
      <c r="C36" s="82">
        <v>1550.2525616949954</v>
      </c>
      <c r="D36" s="82">
        <v>1824.3973235769663</v>
      </c>
      <c r="E36" s="82">
        <v>1978.315469269394</v>
      </c>
      <c r="F36" s="27"/>
      <c r="G36" s="28">
        <v>27.612462520711389</v>
      </c>
      <c r="H36" s="29">
        <v>8.4366570649561936</v>
      </c>
    </row>
    <row r="37" spans="1:8" x14ac:dyDescent="0.2">
      <c r="A37" s="30" t="s">
        <v>18</v>
      </c>
      <c r="B37" s="31" t="s">
        <v>3</v>
      </c>
      <c r="C37" s="80">
        <v>2971.2041967401638</v>
      </c>
      <c r="D37" s="80">
        <v>2576.6457160675841</v>
      </c>
      <c r="E37" s="83">
        <v>4349.8815321377269</v>
      </c>
      <c r="F37" s="22" t="s">
        <v>237</v>
      </c>
      <c r="G37" s="32">
        <v>46.401298736390089</v>
      </c>
      <c r="H37" s="33">
        <v>68.819543370378966</v>
      </c>
    </row>
    <row r="38" spans="1:8" x14ac:dyDescent="0.2">
      <c r="A38" s="34"/>
      <c r="B38" s="25" t="s">
        <v>238</v>
      </c>
      <c r="C38" s="82">
        <v>537.01660852140969</v>
      </c>
      <c r="D38" s="82">
        <v>774.500081063023</v>
      </c>
      <c r="E38" s="82">
        <v>1070.828116588785</v>
      </c>
      <c r="F38" s="27"/>
      <c r="G38" s="35">
        <v>99.403165488147721</v>
      </c>
      <c r="H38" s="29">
        <v>38.260555779289717</v>
      </c>
    </row>
    <row r="39" spans="1:8" x14ac:dyDescent="0.2">
      <c r="A39" s="30" t="s">
        <v>19</v>
      </c>
      <c r="B39" s="31" t="s">
        <v>3</v>
      </c>
      <c r="C39" s="80">
        <v>1607.9893875149669</v>
      </c>
      <c r="D39" s="80">
        <v>1645.1894379127916</v>
      </c>
      <c r="E39" s="83">
        <v>1602.8349162828415</v>
      </c>
      <c r="F39" s="22" t="s">
        <v>237</v>
      </c>
      <c r="G39" s="37">
        <v>-0.3205538091324911</v>
      </c>
      <c r="H39" s="33">
        <v>-2.5744464834204166</v>
      </c>
    </row>
    <row r="40" spans="1:8" x14ac:dyDescent="0.2">
      <c r="A40" s="34"/>
      <c r="B40" s="25" t="s">
        <v>238</v>
      </c>
      <c r="C40" s="82">
        <v>414.25134925127463</v>
      </c>
      <c r="D40" s="82">
        <v>443.18526178475338</v>
      </c>
      <c r="E40" s="82">
        <v>425.30321162841045</v>
      </c>
      <c r="F40" s="27"/>
      <c r="G40" s="28">
        <v>2.6679122221596003</v>
      </c>
      <c r="H40" s="29">
        <v>-4.0348927859942876</v>
      </c>
    </row>
    <row r="41" spans="1:8" x14ac:dyDescent="0.2">
      <c r="A41" s="30" t="s">
        <v>20</v>
      </c>
      <c r="B41" s="31" t="s">
        <v>3</v>
      </c>
      <c r="C41" s="80">
        <v>142.96204945125851</v>
      </c>
      <c r="D41" s="80">
        <v>143.94542710324436</v>
      </c>
      <c r="E41" s="83">
        <v>182.97835330931687</v>
      </c>
      <c r="F41" s="22" t="s">
        <v>237</v>
      </c>
      <c r="G41" s="23">
        <v>27.990857721791059</v>
      </c>
      <c r="H41" s="24">
        <v>27.116475313992638</v>
      </c>
    </row>
    <row r="42" spans="1:8" x14ac:dyDescent="0.2">
      <c r="A42" s="34"/>
      <c r="B42" s="25" t="s">
        <v>238</v>
      </c>
      <c r="C42" s="82">
        <v>38.47354708473086</v>
      </c>
      <c r="D42" s="82">
        <v>46.126937070392323</v>
      </c>
      <c r="E42" s="82">
        <v>55.129863530039884</v>
      </c>
      <c r="F42" s="27"/>
      <c r="G42" s="38">
        <v>43.29290566483661</v>
      </c>
      <c r="H42" s="24">
        <v>19.517720081670674</v>
      </c>
    </row>
    <row r="43" spans="1:8" x14ac:dyDescent="0.2">
      <c r="A43" s="30" t="s">
        <v>21</v>
      </c>
      <c r="B43" s="31" t="s">
        <v>3</v>
      </c>
      <c r="C43" s="80">
        <v>18.466083758181643</v>
      </c>
      <c r="D43" s="80">
        <v>30.028634972271501</v>
      </c>
      <c r="E43" s="83">
        <v>31.192295992197668</v>
      </c>
      <c r="F43" s="22" t="s">
        <v>237</v>
      </c>
      <c r="G43" s="37">
        <v>68.916682067888416</v>
      </c>
      <c r="H43" s="33">
        <v>3.8751712190737067</v>
      </c>
    </row>
    <row r="44" spans="1:8" x14ac:dyDescent="0.2">
      <c r="A44" s="34"/>
      <c r="B44" s="25" t="s">
        <v>238</v>
      </c>
      <c r="C44" s="82">
        <v>4.0748570702658302</v>
      </c>
      <c r="D44" s="82">
        <v>4.3474714477496024</v>
      </c>
      <c r="E44" s="82">
        <v>5.1006664197878653</v>
      </c>
      <c r="F44" s="27"/>
      <c r="G44" s="28">
        <v>25.174118547797676</v>
      </c>
      <c r="H44" s="29">
        <v>17.324897497098959</v>
      </c>
    </row>
    <row r="45" spans="1:8" x14ac:dyDescent="0.2">
      <c r="A45" s="30" t="s">
        <v>189</v>
      </c>
      <c r="B45" s="31" t="s">
        <v>3</v>
      </c>
      <c r="C45" s="80">
        <v>1108.4103109400965</v>
      </c>
      <c r="D45" s="80">
        <v>778.23145115395801</v>
      </c>
      <c r="E45" s="83">
        <v>652.14550831662154</v>
      </c>
      <c r="F45" s="22" t="s">
        <v>237</v>
      </c>
      <c r="G45" s="37">
        <v>-41.163890133473643</v>
      </c>
      <c r="H45" s="33">
        <v>-16.201599492076141</v>
      </c>
    </row>
    <row r="46" spans="1:8" x14ac:dyDescent="0.2">
      <c r="A46" s="34"/>
      <c r="B46" s="25" t="s">
        <v>238</v>
      </c>
      <c r="C46" s="82">
        <v>392.36196633058762</v>
      </c>
      <c r="D46" s="82">
        <v>233.95438800311135</v>
      </c>
      <c r="E46" s="82">
        <v>206.42270662249112</v>
      </c>
      <c r="F46" s="27"/>
      <c r="G46" s="28">
        <v>-47.389725728775645</v>
      </c>
      <c r="H46" s="29">
        <v>-11.767969652381169</v>
      </c>
    </row>
    <row r="47" spans="1:8" x14ac:dyDescent="0.2">
      <c r="A47" s="39" t="s">
        <v>12</v>
      </c>
      <c r="B47" s="31" t="s">
        <v>3</v>
      </c>
      <c r="C47" s="80">
        <v>22.158456164608786</v>
      </c>
      <c r="D47" s="80">
        <v>14.599101522754498</v>
      </c>
      <c r="E47" s="83">
        <v>13.662586096563839</v>
      </c>
      <c r="F47" s="22" t="s">
        <v>237</v>
      </c>
      <c r="G47" s="37">
        <v>-38.341435003104806</v>
      </c>
      <c r="H47" s="33">
        <v>-6.4148839894769196</v>
      </c>
    </row>
    <row r="48" spans="1:8" x14ac:dyDescent="0.2">
      <c r="A48" s="34"/>
      <c r="B48" s="25" t="s">
        <v>238</v>
      </c>
      <c r="C48" s="82">
        <v>4.1607823402255049</v>
      </c>
      <c r="D48" s="82">
        <v>4.3015485691843836</v>
      </c>
      <c r="E48" s="82">
        <v>3.3836748334443705</v>
      </c>
      <c r="F48" s="27"/>
      <c r="G48" s="28">
        <v>-18.67695647686817</v>
      </c>
      <c r="H48" s="29">
        <v>-21.338216248806674</v>
      </c>
    </row>
    <row r="49" spans="1:8" x14ac:dyDescent="0.2">
      <c r="A49" s="39" t="s">
        <v>23</v>
      </c>
      <c r="B49" s="31" t="s">
        <v>3</v>
      </c>
      <c r="C49" s="80">
        <v>35.592461416346289</v>
      </c>
      <c r="D49" s="80">
        <v>29.990324041124722</v>
      </c>
      <c r="E49" s="83">
        <v>35.368318542299818</v>
      </c>
      <c r="F49" s="22" t="s">
        <v>237</v>
      </c>
      <c r="G49" s="23">
        <v>-0.62974816892975127</v>
      </c>
      <c r="H49" s="24">
        <v>17.932432119774461</v>
      </c>
    </row>
    <row r="50" spans="1:8" x14ac:dyDescent="0.2">
      <c r="A50" s="34"/>
      <c r="B50" s="25" t="s">
        <v>238</v>
      </c>
      <c r="C50" s="82">
        <v>6.7975976284259962</v>
      </c>
      <c r="D50" s="82">
        <v>7.0679664638831152</v>
      </c>
      <c r="E50" s="82">
        <v>7.7322999960451195</v>
      </c>
      <c r="F50" s="27"/>
      <c r="G50" s="38">
        <v>13.750480959779267</v>
      </c>
      <c r="H50" s="24">
        <v>9.3992173782474708</v>
      </c>
    </row>
    <row r="51" spans="1:8" x14ac:dyDescent="0.2">
      <c r="A51" s="30" t="s">
        <v>24</v>
      </c>
      <c r="B51" s="31" t="s">
        <v>3</v>
      </c>
      <c r="C51" s="80">
        <v>842.075395438187</v>
      </c>
      <c r="D51" s="80">
        <v>686.77670587738157</v>
      </c>
      <c r="E51" s="83">
        <v>675.75441039849011</v>
      </c>
      <c r="F51" s="22" t="s">
        <v>237</v>
      </c>
      <c r="G51" s="37">
        <v>-19.751317511557161</v>
      </c>
      <c r="H51" s="33">
        <v>-1.6049314696557957</v>
      </c>
    </row>
    <row r="52" spans="1:8" ht="13.5" thickBot="1" x14ac:dyDescent="0.25">
      <c r="A52" s="41"/>
      <c r="B52" s="42" t="s">
        <v>238</v>
      </c>
      <c r="C52" s="86">
        <v>153.1158534680751</v>
      </c>
      <c r="D52" s="86">
        <v>310.91366917486897</v>
      </c>
      <c r="E52" s="86">
        <v>204.41492965039021</v>
      </c>
      <c r="F52" s="44"/>
      <c r="G52" s="45">
        <v>33.50343874941143</v>
      </c>
      <c r="H52" s="46">
        <v>-34.253476152114771</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3">
        <v>17</v>
      </c>
    </row>
    <row r="62" spans="1:8"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198" t="s">
        <v>1</v>
      </c>
      <c r="H5" s="199"/>
    </row>
    <row r="6" spans="1:9" x14ac:dyDescent="0.2">
      <c r="A6" s="12"/>
      <c r="B6" s="13"/>
      <c r="C6" s="14" t="s">
        <v>232</v>
      </c>
      <c r="D6" s="15" t="s">
        <v>233</v>
      </c>
      <c r="E6" s="15" t="s">
        <v>234</v>
      </c>
      <c r="F6" s="16"/>
      <c r="G6" s="17" t="s">
        <v>235</v>
      </c>
      <c r="H6" s="18" t="s">
        <v>236</v>
      </c>
    </row>
    <row r="7" spans="1:9" x14ac:dyDescent="0.2">
      <c r="A7" s="200" t="s">
        <v>58</v>
      </c>
      <c r="B7" s="19" t="s">
        <v>3</v>
      </c>
      <c r="C7" s="20">
        <v>10868.335804081633</v>
      </c>
      <c r="D7" s="20">
        <v>9550.4275265306132</v>
      </c>
      <c r="E7" s="79">
        <v>9081.4891909468424</v>
      </c>
      <c r="F7" s="22" t="s">
        <v>237</v>
      </c>
      <c r="G7" s="23">
        <v>-16.440848399841812</v>
      </c>
      <c r="H7" s="24">
        <v>-4.9101292510841432</v>
      </c>
    </row>
    <row r="8" spans="1:9" x14ac:dyDescent="0.2">
      <c r="A8" s="201"/>
      <c r="B8" s="25" t="s">
        <v>238</v>
      </c>
      <c r="C8" s="26">
        <v>3000.3396244897958</v>
      </c>
      <c r="D8" s="26">
        <v>2645.6721469387753</v>
      </c>
      <c r="E8" s="26">
        <v>2512.8568816326533</v>
      </c>
      <c r="F8" s="27"/>
      <c r="G8" s="28">
        <v>-16.247585402603832</v>
      </c>
      <c r="H8" s="29">
        <v>-5.02009538331491</v>
      </c>
    </row>
    <row r="9" spans="1:9" x14ac:dyDescent="0.2">
      <c r="A9" s="30" t="s">
        <v>9</v>
      </c>
      <c r="B9" s="31" t="s">
        <v>3</v>
      </c>
      <c r="C9" s="20">
        <v>10478.467885714286</v>
      </c>
      <c r="D9" s="20">
        <v>9153.4100571428571</v>
      </c>
      <c r="E9" s="21">
        <v>8709.2322942232204</v>
      </c>
      <c r="F9" s="22" t="s">
        <v>237</v>
      </c>
      <c r="G9" s="32">
        <v>-16.884487415408657</v>
      </c>
      <c r="H9" s="33">
        <v>-4.8525932974347938</v>
      </c>
    </row>
    <row r="10" spans="1:9" x14ac:dyDescent="0.2">
      <c r="A10" s="34"/>
      <c r="B10" s="25" t="s">
        <v>238</v>
      </c>
      <c r="C10" s="26">
        <v>2902.1561142857145</v>
      </c>
      <c r="D10" s="26">
        <v>2556.4430857142856</v>
      </c>
      <c r="E10" s="26">
        <v>2425.6025142857143</v>
      </c>
      <c r="F10" s="27"/>
      <c r="G10" s="35">
        <v>-16.420674189585796</v>
      </c>
      <c r="H10" s="29">
        <v>-5.1180709697675013</v>
      </c>
    </row>
    <row r="11" spans="1:9" x14ac:dyDescent="0.2">
      <c r="A11" s="30" t="s">
        <v>46</v>
      </c>
      <c r="B11" s="31" t="s">
        <v>3</v>
      </c>
      <c r="C11" s="20">
        <v>392.86791836734693</v>
      </c>
      <c r="D11" s="20">
        <v>399.01746938775511</v>
      </c>
      <c r="E11" s="21">
        <v>376.50346015363925</v>
      </c>
      <c r="F11" s="22" t="s">
        <v>237</v>
      </c>
      <c r="G11" s="37">
        <v>-4.1653842038601567</v>
      </c>
      <c r="H11" s="33">
        <v>-5.6423617914927178</v>
      </c>
    </row>
    <row r="12" spans="1:9" ht="13.5" thickBot="1" x14ac:dyDescent="0.25">
      <c r="A12" s="56"/>
      <c r="B12" s="42" t="s">
        <v>238</v>
      </c>
      <c r="C12" s="43">
        <v>98.183510204081628</v>
      </c>
      <c r="D12" s="43">
        <v>89.229061224489797</v>
      </c>
      <c r="E12" s="43">
        <v>87.254367346938778</v>
      </c>
      <c r="F12" s="44"/>
      <c r="G12" s="57">
        <v>-11.131342558873499</v>
      </c>
      <c r="H12" s="46">
        <v>-2.2130613619064263</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58</v>
      </c>
      <c r="B35" s="19" t="s">
        <v>3</v>
      </c>
      <c r="C35" s="80">
        <v>1876.3099251303952</v>
      </c>
      <c r="D35" s="80">
        <v>2097.286501513945</v>
      </c>
      <c r="E35" s="81">
        <v>1934.3953659082672</v>
      </c>
      <c r="F35" s="22" t="s">
        <v>237</v>
      </c>
      <c r="G35" s="23">
        <v>3.0957274168783755</v>
      </c>
      <c r="H35" s="24">
        <v>-7.7667564964583278</v>
      </c>
    </row>
    <row r="36" spans="1:9" ht="12.75" customHeight="1" x14ac:dyDescent="0.2">
      <c r="A36" s="201"/>
      <c r="B36" s="25" t="s">
        <v>238</v>
      </c>
      <c r="C36" s="82">
        <v>444.42031264470154</v>
      </c>
      <c r="D36" s="82">
        <v>545.64501203044756</v>
      </c>
      <c r="E36" s="82">
        <v>487.28217775198442</v>
      </c>
      <c r="F36" s="27"/>
      <c r="G36" s="28">
        <v>9.6444433091314323</v>
      </c>
      <c r="H36" s="29">
        <v>-10.696117987276025</v>
      </c>
    </row>
    <row r="37" spans="1:9" x14ac:dyDescent="0.2">
      <c r="A37" s="30" t="s">
        <v>9</v>
      </c>
      <c r="B37" s="31" t="s">
        <v>3</v>
      </c>
      <c r="C37" s="80">
        <v>1426.8212853098757</v>
      </c>
      <c r="D37" s="80">
        <v>1504.8281474900598</v>
      </c>
      <c r="E37" s="83">
        <v>1423.4740382079706</v>
      </c>
      <c r="F37" s="22" t="s">
        <v>237</v>
      </c>
      <c r="G37" s="32">
        <v>-0.23459469916572573</v>
      </c>
      <c r="H37" s="33">
        <v>-5.4062059789206955</v>
      </c>
    </row>
    <row r="38" spans="1:9" x14ac:dyDescent="0.2">
      <c r="A38" s="34"/>
      <c r="B38" s="25" t="s">
        <v>238</v>
      </c>
      <c r="C38" s="82">
        <v>322.08845939939999</v>
      </c>
      <c r="D38" s="82">
        <v>387.22446619242839</v>
      </c>
      <c r="E38" s="82">
        <v>349.96900698914294</v>
      </c>
      <c r="F38" s="27"/>
      <c r="G38" s="35">
        <v>8.6561771389549165</v>
      </c>
      <c r="H38" s="29">
        <v>-9.6211532214422704</v>
      </c>
    </row>
    <row r="39" spans="1:9" x14ac:dyDescent="0.2">
      <c r="A39" s="30" t="s">
        <v>46</v>
      </c>
      <c r="B39" s="31" t="s">
        <v>3</v>
      </c>
      <c r="C39" s="80">
        <v>449.48863982051921</v>
      </c>
      <c r="D39" s="80">
        <v>592.45835402388514</v>
      </c>
      <c r="E39" s="83">
        <v>510.52593473284196</v>
      </c>
      <c r="F39" s="22" t="s">
        <v>237</v>
      </c>
      <c r="G39" s="37">
        <v>13.579274202946465</v>
      </c>
      <c r="H39" s="33">
        <v>-13.829228457084099</v>
      </c>
    </row>
    <row r="40" spans="1:9" ht="13.5" thickBot="1" x14ac:dyDescent="0.25">
      <c r="A40" s="56"/>
      <c r="B40" s="42" t="s">
        <v>238</v>
      </c>
      <c r="C40" s="86">
        <v>122.33185324530159</v>
      </c>
      <c r="D40" s="86">
        <v>158.42054583801908</v>
      </c>
      <c r="E40" s="86">
        <v>137.31317076284145</v>
      </c>
      <c r="F40" s="44"/>
      <c r="G40" s="57">
        <v>12.246456765025144</v>
      </c>
      <c r="H40" s="46">
        <v>-13.323634862841189</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5">
        <v>18</v>
      </c>
    </row>
    <row r="62" spans="1:9"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198" t="s">
        <v>1</v>
      </c>
      <c r="H5" s="199"/>
    </row>
    <row r="6" spans="1:9" x14ac:dyDescent="0.2">
      <c r="A6" s="12"/>
      <c r="B6" s="13"/>
      <c r="C6" s="14" t="s">
        <v>232</v>
      </c>
      <c r="D6" s="15" t="s">
        <v>233</v>
      </c>
      <c r="E6" s="15" t="s">
        <v>234</v>
      </c>
      <c r="F6" s="16"/>
      <c r="G6" s="17" t="s">
        <v>235</v>
      </c>
      <c r="H6" s="18" t="s">
        <v>236</v>
      </c>
    </row>
    <row r="7" spans="1:9" x14ac:dyDescent="0.2">
      <c r="A7" s="200" t="s">
        <v>57</v>
      </c>
      <c r="B7" s="19" t="s">
        <v>3</v>
      </c>
      <c r="C7" s="20">
        <v>4525</v>
      </c>
      <c r="D7" s="20">
        <v>5250</v>
      </c>
      <c r="E7" s="79">
        <v>5828.6409376469537</v>
      </c>
      <c r="F7" s="22" t="s">
        <v>237</v>
      </c>
      <c r="G7" s="23">
        <v>28.80974447838571</v>
      </c>
      <c r="H7" s="24">
        <v>11.021732145656273</v>
      </c>
    </row>
    <row r="8" spans="1:9" x14ac:dyDescent="0.2">
      <c r="A8" s="201"/>
      <c r="B8" s="25" t="s">
        <v>238</v>
      </c>
      <c r="C8" s="26">
        <v>1237</v>
      </c>
      <c r="D8" s="26">
        <v>1224</v>
      </c>
      <c r="E8" s="26">
        <v>1429</v>
      </c>
      <c r="F8" s="27"/>
      <c r="G8" s="28">
        <v>15.521422797089727</v>
      </c>
      <c r="H8" s="29">
        <v>16.748366013071902</v>
      </c>
    </row>
    <row r="9" spans="1:9" x14ac:dyDescent="0.2">
      <c r="A9" s="30" t="s">
        <v>9</v>
      </c>
      <c r="B9" s="31" t="s">
        <v>3</v>
      </c>
      <c r="C9" s="20">
        <v>1807</v>
      </c>
      <c r="D9" s="20">
        <v>1759</v>
      </c>
      <c r="E9" s="21">
        <v>1629.1975286374279</v>
      </c>
      <c r="F9" s="22" t="s">
        <v>237</v>
      </c>
      <c r="G9" s="32">
        <v>-9.8396497710333222</v>
      </c>
      <c r="H9" s="33">
        <v>-7.3793332212946012</v>
      </c>
    </row>
    <row r="10" spans="1:9" x14ac:dyDescent="0.2">
      <c r="A10" s="34"/>
      <c r="B10" s="25" t="s">
        <v>238</v>
      </c>
      <c r="C10" s="26">
        <v>460</v>
      </c>
      <c r="D10" s="26">
        <v>458</v>
      </c>
      <c r="E10" s="26">
        <v>421</v>
      </c>
      <c r="F10" s="27"/>
      <c r="G10" s="35">
        <v>-8.4782608695652186</v>
      </c>
      <c r="H10" s="29">
        <v>-8.078602620087338</v>
      </c>
    </row>
    <row r="11" spans="1:9" x14ac:dyDescent="0.2">
      <c r="A11" s="30" t="s">
        <v>46</v>
      </c>
      <c r="B11" s="31" t="s">
        <v>3</v>
      </c>
      <c r="C11" s="20">
        <v>1729</v>
      </c>
      <c r="D11" s="20">
        <v>2718</v>
      </c>
      <c r="E11" s="21">
        <v>3499.2512692606142</v>
      </c>
      <c r="F11" s="22" t="s">
        <v>237</v>
      </c>
      <c r="G11" s="37">
        <v>102.3858455327134</v>
      </c>
      <c r="H11" s="33">
        <v>28.743608140567119</v>
      </c>
    </row>
    <row r="12" spans="1:9" x14ac:dyDescent="0.2">
      <c r="A12" s="34"/>
      <c r="B12" s="25" t="s">
        <v>238</v>
      </c>
      <c r="C12" s="26">
        <v>434</v>
      </c>
      <c r="D12" s="26">
        <v>485</v>
      </c>
      <c r="E12" s="26">
        <v>691</v>
      </c>
      <c r="F12" s="27"/>
      <c r="G12" s="28">
        <v>59.216589861751146</v>
      </c>
      <c r="H12" s="29">
        <v>42.474226804123703</v>
      </c>
    </row>
    <row r="13" spans="1:9" x14ac:dyDescent="0.2">
      <c r="A13" s="30" t="s">
        <v>24</v>
      </c>
      <c r="B13" s="31" t="s">
        <v>3</v>
      </c>
      <c r="C13" s="20">
        <v>1082</v>
      </c>
      <c r="D13" s="20">
        <v>861</v>
      </c>
      <c r="E13" s="21">
        <v>984.28846503862974</v>
      </c>
      <c r="F13" s="22" t="s">
        <v>237</v>
      </c>
      <c r="G13" s="23">
        <v>-9.0306409391284888</v>
      </c>
      <c r="H13" s="24">
        <v>14.319217774521448</v>
      </c>
    </row>
    <row r="14" spans="1:9" ht="13.5" thickBot="1" x14ac:dyDescent="0.25">
      <c r="A14" s="56"/>
      <c r="B14" s="42" t="s">
        <v>238</v>
      </c>
      <c r="C14" s="43">
        <v>346</v>
      </c>
      <c r="D14" s="43">
        <v>307</v>
      </c>
      <c r="E14" s="43">
        <v>338</v>
      </c>
      <c r="F14" s="44"/>
      <c r="G14" s="57">
        <v>-2.3121387283237027</v>
      </c>
      <c r="H14" s="46">
        <v>10.09771986970685</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57</v>
      </c>
      <c r="B35" s="19" t="s">
        <v>3</v>
      </c>
      <c r="C35" s="80">
        <v>1723.7394637740251</v>
      </c>
      <c r="D35" s="80">
        <v>1715.0155545624009</v>
      </c>
      <c r="E35" s="81">
        <v>2037.7785541474798</v>
      </c>
      <c r="F35" s="22" t="s">
        <v>237</v>
      </c>
      <c r="G35" s="23">
        <v>18.218477732469182</v>
      </c>
      <c r="H35" s="24">
        <v>18.819829285305474</v>
      </c>
    </row>
    <row r="36" spans="1:9" ht="12.75" customHeight="1" x14ac:dyDescent="0.2">
      <c r="A36" s="201"/>
      <c r="B36" s="25" t="s">
        <v>238</v>
      </c>
      <c r="C36" s="82">
        <v>451.13826828194635</v>
      </c>
      <c r="D36" s="82">
        <v>421.08048263052808</v>
      </c>
      <c r="E36" s="82">
        <v>510.86431403512228</v>
      </c>
      <c r="F36" s="27"/>
      <c r="G36" s="28">
        <v>13.238966842832568</v>
      </c>
      <c r="H36" s="29">
        <v>21.322249571793606</v>
      </c>
    </row>
    <row r="37" spans="1:9" x14ac:dyDescent="0.2">
      <c r="A37" s="30" t="s">
        <v>9</v>
      </c>
      <c r="B37" s="31" t="s">
        <v>3</v>
      </c>
      <c r="C37" s="80">
        <v>358.18675231131635</v>
      </c>
      <c r="D37" s="80">
        <v>315.9177483922968</v>
      </c>
      <c r="E37" s="83">
        <v>343.91743576747848</v>
      </c>
      <c r="F37" s="22" t="s">
        <v>237</v>
      </c>
      <c r="G37" s="32">
        <v>-3.983764461348855</v>
      </c>
      <c r="H37" s="33">
        <v>8.8629675026717933</v>
      </c>
    </row>
    <row r="38" spans="1:9" x14ac:dyDescent="0.2">
      <c r="A38" s="34"/>
      <c r="B38" s="25" t="s">
        <v>238</v>
      </c>
      <c r="C38" s="82">
        <v>90.839325586182326</v>
      </c>
      <c r="D38" s="82">
        <v>83.297869070844669</v>
      </c>
      <c r="E38" s="82">
        <v>89.497084391789485</v>
      </c>
      <c r="F38" s="27"/>
      <c r="G38" s="35">
        <v>-1.4775992509096909</v>
      </c>
      <c r="H38" s="29">
        <v>7.4422255816321012</v>
      </c>
    </row>
    <row r="39" spans="1:9" x14ac:dyDescent="0.2">
      <c r="A39" s="30" t="s">
        <v>46</v>
      </c>
      <c r="B39" s="31" t="s">
        <v>3</v>
      </c>
      <c r="C39" s="80">
        <v>949.23993611656874</v>
      </c>
      <c r="D39" s="80">
        <v>1004.6419565647177</v>
      </c>
      <c r="E39" s="83">
        <v>1242.9093400784129</v>
      </c>
      <c r="F39" s="22" t="s">
        <v>237</v>
      </c>
      <c r="G39" s="37">
        <v>30.93732077511126</v>
      </c>
      <c r="H39" s="33">
        <v>23.716646707492586</v>
      </c>
    </row>
    <row r="40" spans="1:9" x14ac:dyDescent="0.2">
      <c r="A40" s="34"/>
      <c r="B40" s="25" t="s">
        <v>238</v>
      </c>
      <c r="C40" s="82">
        <v>246.67274313086577</v>
      </c>
      <c r="D40" s="82">
        <v>246.28656827633446</v>
      </c>
      <c r="E40" s="82">
        <v>310.55931517688089</v>
      </c>
      <c r="F40" s="27"/>
      <c r="G40" s="28">
        <v>25.89932362819745</v>
      </c>
      <c r="H40" s="29">
        <v>26.096732497580689</v>
      </c>
    </row>
    <row r="41" spans="1:9" x14ac:dyDescent="0.2">
      <c r="A41" s="30" t="s">
        <v>24</v>
      </c>
      <c r="B41" s="31" t="s">
        <v>3</v>
      </c>
      <c r="C41" s="80">
        <v>416.31277534613997</v>
      </c>
      <c r="D41" s="80">
        <v>394.45584960538633</v>
      </c>
      <c r="E41" s="83">
        <v>453.80415807060973</v>
      </c>
      <c r="F41" s="22" t="s">
        <v>237</v>
      </c>
      <c r="G41" s="23">
        <v>9.0055806462575845</v>
      </c>
      <c r="H41" s="24">
        <v>15.045614997114498</v>
      </c>
    </row>
    <row r="42" spans="1:9" ht="13.5" thickBot="1" x14ac:dyDescent="0.25">
      <c r="A42" s="56"/>
      <c r="B42" s="42" t="s">
        <v>238</v>
      </c>
      <c r="C42" s="86">
        <v>113.62619956489824</v>
      </c>
      <c r="D42" s="86">
        <v>91.49604528334892</v>
      </c>
      <c r="E42" s="86">
        <v>110.80791446645208</v>
      </c>
      <c r="F42" s="44"/>
      <c r="G42" s="57">
        <v>-2.4803127353005294</v>
      </c>
      <c r="H42" s="46">
        <v>21.106780214704713</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3">
        <v>19</v>
      </c>
    </row>
    <row r="62" spans="1:9"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198" t="s">
        <v>1</v>
      </c>
      <c r="H5" s="199"/>
    </row>
    <row r="6" spans="1:9" x14ac:dyDescent="0.2">
      <c r="A6" s="12"/>
      <c r="B6" s="13"/>
      <c r="C6" s="14" t="s">
        <v>232</v>
      </c>
      <c r="D6" s="15" t="s">
        <v>233</v>
      </c>
      <c r="E6" s="15" t="s">
        <v>234</v>
      </c>
      <c r="F6" s="16"/>
      <c r="G6" s="17" t="s">
        <v>235</v>
      </c>
      <c r="H6" s="18" t="s">
        <v>236</v>
      </c>
    </row>
    <row r="7" spans="1:9" ht="12.75" customHeight="1" x14ac:dyDescent="0.2">
      <c r="A7" s="200" t="s">
        <v>60</v>
      </c>
      <c r="B7" s="19" t="s">
        <v>3</v>
      </c>
      <c r="C7" s="20">
        <v>24026.283333333333</v>
      </c>
      <c r="D7" s="20">
        <v>27254.799999999999</v>
      </c>
      <c r="E7" s="79">
        <v>28281.388601228249</v>
      </c>
      <c r="F7" s="22" t="s">
        <v>237</v>
      </c>
      <c r="G7" s="23">
        <v>17.710210143037443</v>
      </c>
      <c r="H7" s="24">
        <v>3.7666341386774178</v>
      </c>
    </row>
    <row r="8" spans="1:9" ht="13.7" customHeight="1" thickBot="1" x14ac:dyDescent="0.25">
      <c r="A8" s="206"/>
      <c r="B8" s="42" t="s">
        <v>238</v>
      </c>
      <c r="C8" s="43">
        <v>6360.0533333333333</v>
      </c>
      <c r="D8" s="43">
        <v>7597.1933333333336</v>
      </c>
      <c r="E8" s="43">
        <v>7746.45</v>
      </c>
      <c r="F8" s="44"/>
      <c r="G8" s="57">
        <v>21.798506930759487</v>
      </c>
      <c r="H8" s="46">
        <v>1.9646290428307225</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60</v>
      </c>
      <c r="B35" s="19" t="s">
        <v>3</v>
      </c>
      <c r="C35" s="80">
        <v>573.57984776658566</v>
      </c>
      <c r="D35" s="80">
        <v>750.93103671113704</v>
      </c>
      <c r="E35" s="81">
        <v>982.15937122716662</v>
      </c>
      <c r="F35" s="22" t="s">
        <v>237</v>
      </c>
      <c r="G35" s="23">
        <v>71.233242425010985</v>
      </c>
      <c r="H35" s="24">
        <v>30.792219686210274</v>
      </c>
    </row>
    <row r="36" spans="1:9" ht="12.75" customHeight="1" thickBot="1" x14ac:dyDescent="0.25">
      <c r="A36" s="206"/>
      <c r="B36" s="42" t="s">
        <v>238</v>
      </c>
      <c r="C36" s="86">
        <v>138.62619982034983</v>
      </c>
      <c r="D36" s="86">
        <v>160.97506029357837</v>
      </c>
      <c r="E36" s="86">
        <v>218.78626308048578</v>
      </c>
      <c r="F36" s="44"/>
      <c r="G36" s="57">
        <v>57.824612781723772</v>
      </c>
      <c r="H36" s="46">
        <v>35.91314249640547</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5">
        <v>20</v>
      </c>
    </row>
    <row r="62" spans="1:9"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212</v>
      </c>
      <c r="B4" s="118"/>
      <c r="C4" s="118"/>
      <c r="D4" s="118"/>
      <c r="E4" s="118"/>
      <c r="F4" s="118"/>
      <c r="G4" s="118"/>
      <c r="H4" s="119"/>
    </row>
    <row r="5" spans="1:8" x14ac:dyDescent="0.2">
      <c r="A5" s="120"/>
      <c r="B5" s="121"/>
      <c r="C5" s="122"/>
      <c r="D5" s="121"/>
      <c r="E5" s="123"/>
      <c r="F5" s="124"/>
      <c r="G5" s="209" t="s">
        <v>1</v>
      </c>
      <c r="H5" s="210"/>
    </row>
    <row r="6" spans="1:8" x14ac:dyDescent="0.2">
      <c r="A6" s="125"/>
      <c r="B6" s="126"/>
      <c r="C6" s="127" t="s">
        <v>232</v>
      </c>
      <c r="D6" s="128" t="s">
        <v>233</v>
      </c>
      <c r="E6" s="128" t="s">
        <v>234</v>
      </c>
      <c r="F6" s="129"/>
      <c r="G6" s="130" t="s">
        <v>235</v>
      </c>
      <c r="H6" s="131" t="s">
        <v>236</v>
      </c>
    </row>
    <row r="7" spans="1:8" ht="12.75" customHeight="1" x14ac:dyDescent="0.2">
      <c r="A7" s="211" t="s">
        <v>193</v>
      </c>
      <c r="B7" s="132" t="s">
        <v>3</v>
      </c>
      <c r="C7" s="20">
        <v>5769</v>
      </c>
      <c r="D7" s="20">
        <v>6375</v>
      </c>
      <c r="E7" s="79">
        <v>7175.2011109283367</v>
      </c>
      <c r="F7" s="22" t="s">
        <v>237</v>
      </c>
      <c r="G7" s="133">
        <v>24.375127594528294</v>
      </c>
      <c r="H7" s="134">
        <v>12.552174289071942</v>
      </c>
    </row>
    <row r="8" spans="1:8" ht="12.75" customHeight="1" x14ac:dyDescent="0.2">
      <c r="A8" s="212"/>
      <c r="B8" s="135" t="s">
        <v>238</v>
      </c>
      <c r="C8" s="26">
        <v>1511</v>
      </c>
      <c r="D8" s="26">
        <v>1730</v>
      </c>
      <c r="E8" s="26">
        <v>1924</v>
      </c>
      <c r="F8" s="27"/>
      <c r="G8" s="136">
        <v>27.332892124420908</v>
      </c>
      <c r="H8" s="137">
        <v>11.213872832369944</v>
      </c>
    </row>
    <row r="9" spans="1:8" x14ac:dyDescent="0.2">
      <c r="A9" s="138" t="s">
        <v>194</v>
      </c>
      <c r="B9" s="139" t="s">
        <v>3</v>
      </c>
      <c r="C9" s="20">
        <v>1690</v>
      </c>
      <c r="D9" s="20">
        <v>2249</v>
      </c>
      <c r="E9" s="20">
        <v>2743.1354200849846</v>
      </c>
      <c r="F9" s="22" t="s">
        <v>237</v>
      </c>
      <c r="G9" s="140">
        <v>62.315705330472468</v>
      </c>
      <c r="H9" s="141">
        <v>21.971339265672938</v>
      </c>
    </row>
    <row r="10" spans="1:8" x14ac:dyDescent="0.2">
      <c r="A10" s="142"/>
      <c r="B10" s="135" t="s">
        <v>238</v>
      </c>
      <c r="C10" s="26">
        <v>417</v>
      </c>
      <c r="D10" s="26">
        <v>570</v>
      </c>
      <c r="E10" s="26">
        <v>689</v>
      </c>
      <c r="F10" s="27"/>
      <c r="G10" s="143">
        <v>65.22781774580335</v>
      </c>
      <c r="H10" s="137">
        <v>20.877192982456137</v>
      </c>
    </row>
    <row r="11" spans="1:8" x14ac:dyDescent="0.2">
      <c r="A11" s="138" t="s">
        <v>195</v>
      </c>
      <c r="B11" s="139" t="s">
        <v>3</v>
      </c>
      <c r="C11" s="20">
        <v>492</v>
      </c>
      <c r="D11" s="20">
        <v>545</v>
      </c>
      <c r="E11" s="20">
        <v>749.5428571428572</v>
      </c>
      <c r="F11" s="22" t="s">
        <v>237</v>
      </c>
      <c r="G11" s="144">
        <v>52.346109175377478</v>
      </c>
      <c r="H11" s="141">
        <v>37.530799475753611</v>
      </c>
    </row>
    <row r="12" spans="1:8" x14ac:dyDescent="0.2">
      <c r="A12" s="142"/>
      <c r="B12" s="135" t="s">
        <v>238</v>
      </c>
      <c r="C12" s="26">
        <v>175</v>
      </c>
      <c r="D12" s="26">
        <v>125</v>
      </c>
      <c r="E12" s="26">
        <v>195</v>
      </c>
      <c r="F12" s="27"/>
      <c r="G12" s="136">
        <v>11.428571428571431</v>
      </c>
      <c r="H12" s="137">
        <v>56</v>
      </c>
    </row>
    <row r="13" spans="1:8" x14ac:dyDescent="0.2">
      <c r="A13" s="138" t="s">
        <v>228</v>
      </c>
      <c r="B13" s="139" t="s">
        <v>3</v>
      </c>
      <c r="C13" s="20">
        <v>128</v>
      </c>
      <c r="D13" s="20">
        <v>166</v>
      </c>
      <c r="E13" s="20">
        <v>166.45559038662483</v>
      </c>
      <c r="F13" s="22" t="s">
        <v>237</v>
      </c>
      <c r="G13" s="133">
        <v>30.043429989550646</v>
      </c>
      <c r="H13" s="134">
        <v>0.27445204013545776</v>
      </c>
    </row>
    <row r="14" spans="1:8" x14ac:dyDescent="0.2">
      <c r="A14" s="142"/>
      <c r="B14" s="135" t="s">
        <v>238</v>
      </c>
      <c r="C14" s="26">
        <v>58</v>
      </c>
      <c r="D14" s="26">
        <v>66</v>
      </c>
      <c r="E14" s="26">
        <v>69</v>
      </c>
      <c r="F14" s="27"/>
      <c r="G14" s="145">
        <v>18.965517241379317</v>
      </c>
      <c r="H14" s="134">
        <v>4.5454545454545467</v>
      </c>
    </row>
    <row r="15" spans="1:8" x14ac:dyDescent="0.2">
      <c r="A15" s="138" t="s">
        <v>196</v>
      </c>
      <c r="B15" s="139" t="s">
        <v>3</v>
      </c>
      <c r="C15" s="20">
        <v>2440</v>
      </c>
      <c r="D15" s="20">
        <v>2468</v>
      </c>
      <c r="E15" s="20">
        <v>2434.5707764907766</v>
      </c>
      <c r="F15" s="22" t="s">
        <v>237</v>
      </c>
      <c r="G15" s="144">
        <v>-0.22250916021407363</v>
      </c>
      <c r="H15" s="141">
        <v>-1.3545066251711262</v>
      </c>
    </row>
    <row r="16" spans="1:8" x14ac:dyDescent="0.2">
      <c r="A16" s="142"/>
      <c r="B16" s="135" t="s">
        <v>238</v>
      </c>
      <c r="C16" s="26">
        <v>555</v>
      </c>
      <c r="D16" s="26">
        <v>700</v>
      </c>
      <c r="E16" s="26">
        <v>638</v>
      </c>
      <c r="F16" s="27"/>
      <c r="G16" s="136">
        <v>14.954954954954957</v>
      </c>
      <c r="H16" s="137">
        <v>-8.857142857142847</v>
      </c>
    </row>
    <row r="17" spans="1:9" x14ac:dyDescent="0.2">
      <c r="A17" s="138" t="s">
        <v>197</v>
      </c>
      <c r="B17" s="139" t="s">
        <v>3</v>
      </c>
      <c r="C17" s="20">
        <v>502</v>
      </c>
      <c r="D17" s="20">
        <v>478</v>
      </c>
      <c r="E17" s="20">
        <v>656.91316907391661</v>
      </c>
      <c r="F17" s="22" t="s">
        <v>237</v>
      </c>
      <c r="G17" s="144">
        <v>30.859197026676611</v>
      </c>
      <c r="H17" s="141">
        <v>37.429533279062042</v>
      </c>
    </row>
    <row r="18" spans="1:9" x14ac:dyDescent="0.2">
      <c r="A18" s="138"/>
      <c r="B18" s="135" t="s">
        <v>238</v>
      </c>
      <c r="C18" s="26">
        <v>110</v>
      </c>
      <c r="D18" s="26">
        <v>107</v>
      </c>
      <c r="E18" s="26">
        <v>146</v>
      </c>
      <c r="F18" s="27"/>
      <c r="G18" s="136">
        <v>32.727272727272748</v>
      </c>
      <c r="H18" s="137">
        <v>36.448598130841106</v>
      </c>
    </row>
    <row r="19" spans="1:9" x14ac:dyDescent="0.2">
      <c r="A19" s="146" t="s">
        <v>198</v>
      </c>
      <c r="B19" s="139" t="s">
        <v>3</v>
      </c>
      <c r="C19" s="20">
        <v>31</v>
      </c>
      <c r="D19" s="20">
        <v>34</v>
      </c>
      <c r="E19" s="20">
        <v>18.914141414141415</v>
      </c>
      <c r="F19" s="22" t="s">
        <v>237</v>
      </c>
      <c r="G19" s="133">
        <v>-38.986640599543819</v>
      </c>
      <c r="H19" s="134">
        <v>-44.370172311348774</v>
      </c>
    </row>
    <row r="20" spans="1:9" x14ac:dyDescent="0.2">
      <c r="A20" s="142"/>
      <c r="B20" s="135" t="s">
        <v>238</v>
      </c>
      <c r="C20" s="26">
        <v>6</v>
      </c>
      <c r="D20" s="26">
        <v>11</v>
      </c>
      <c r="E20" s="26">
        <v>5</v>
      </c>
      <c r="F20" s="27"/>
      <c r="G20" s="145">
        <v>-16.666666666666657</v>
      </c>
      <c r="H20" s="134">
        <v>-54.545454545454547</v>
      </c>
    </row>
    <row r="21" spans="1:9" x14ac:dyDescent="0.2">
      <c r="A21" s="146" t="s">
        <v>199</v>
      </c>
      <c r="B21" s="139" t="s">
        <v>3</v>
      </c>
      <c r="C21" s="20">
        <v>9</v>
      </c>
      <c r="D21" s="20">
        <v>17</v>
      </c>
      <c r="E21" s="20">
        <v>13.333333333333332</v>
      </c>
      <c r="F21" s="22" t="s">
        <v>237</v>
      </c>
      <c r="G21" s="144">
        <v>48.148148148148152</v>
      </c>
      <c r="H21" s="141">
        <v>-21.568627450980401</v>
      </c>
    </row>
    <row r="22" spans="1:9" x14ac:dyDescent="0.2">
      <c r="A22" s="142"/>
      <c r="B22" s="135" t="s">
        <v>238</v>
      </c>
      <c r="C22" s="26">
        <v>3</v>
      </c>
      <c r="D22" s="26">
        <v>2</v>
      </c>
      <c r="E22" s="26">
        <v>2</v>
      </c>
      <c r="F22" s="27"/>
      <c r="G22" s="136">
        <v>-33.333333333333343</v>
      </c>
      <c r="H22" s="137">
        <v>0</v>
      </c>
    </row>
    <row r="23" spans="1:9" x14ac:dyDescent="0.2">
      <c r="A23" s="146" t="s">
        <v>200</v>
      </c>
      <c r="B23" s="139" t="s">
        <v>3</v>
      </c>
      <c r="C23" s="20">
        <v>213</v>
      </c>
      <c r="D23" s="20">
        <v>396</v>
      </c>
      <c r="E23" s="20">
        <v>659.09909909909902</v>
      </c>
      <c r="F23" s="22" t="s">
        <v>237</v>
      </c>
      <c r="G23" s="144">
        <v>209.43619676014038</v>
      </c>
      <c r="H23" s="141">
        <v>66.439166439166428</v>
      </c>
    </row>
    <row r="24" spans="1:9" x14ac:dyDescent="0.2">
      <c r="A24" s="142"/>
      <c r="B24" s="135" t="s">
        <v>238</v>
      </c>
      <c r="C24" s="26">
        <v>37</v>
      </c>
      <c r="D24" s="26">
        <v>72</v>
      </c>
      <c r="E24" s="26">
        <v>118</v>
      </c>
      <c r="F24" s="27"/>
      <c r="G24" s="136">
        <v>218.91891891891891</v>
      </c>
      <c r="H24" s="137">
        <v>63.888888888888886</v>
      </c>
    </row>
    <row r="25" spans="1:9" x14ac:dyDescent="0.2">
      <c r="A25" s="138" t="s">
        <v>24</v>
      </c>
      <c r="B25" s="139" t="s">
        <v>3</v>
      </c>
      <c r="C25" s="20">
        <v>1588</v>
      </c>
      <c r="D25" s="20">
        <v>1581</v>
      </c>
      <c r="E25" s="20">
        <v>1698.4341141116765</v>
      </c>
      <c r="F25" s="22" t="s">
        <v>237</v>
      </c>
      <c r="G25" s="133">
        <v>6.9542893017428469</v>
      </c>
      <c r="H25" s="134">
        <v>7.4278377047233732</v>
      </c>
      <c r="I25" s="147"/>
    </row>
    <row r="26" spans="1:9" ht="13.5" thickBot="1" x14ac:dyDescent="0.25">
      <c r="A26" s="148"/>
      <c r="B26" s="149" t="s">
        <v>238</v>
      </c>
      <c r="C26" s="43">
        <v>439</v>
      </c>
      <c r="D26" s="43">
        <v>449</v>
      </c>
      <c r="E26" s="43">
        <v>478</v>
      </c>
      <c r="F26" s="44"/>
      <c r="G26" s="150">
        <v>8.8838268792710693</v>
      </c>
      <c r="H26" s="151">
        <v>6.4587973273942083</v>
      </c>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213</v>
      </c>
      <c r="B32" s="118"/>
      <c r="C32" s="118"/>
      <c r="D32" s="118"/>
      <c r="E32" s="118"/>
      <c r="F32" s="118"/>
      <c r="G32" s="118"/>
      <c r="H32" s="119"/>
    </row>
    <row r="33" spans="1:8" x14ac:dyDescent="0.2">
      <c r="A33" s="120"/>
      <c r="B33" s="121"/>
      <c r="C33" s="213" t="s">
        <v>16</v>
      </c>
      <c r="D33" s="209"/>
      <c r="E33" s="209"/>
      <c r="F33" s="214"/>
      <c r="G33" s="209" t="s">
        <v>1</v>
      </c>
      <c r="H33" s="210"/>
    </row>
    <row r="34" spans="1:8" x14ac:dyDescent="0.2">
      <c r="A34" s="125"/>
      <c r="B34" s="126"/>
      <c r="C34" s="127" t="s">
        <v>232</v>
      </c>
      <c r="D34" s="128" t="s">
        <v>233</v>
      </c>
      <c r="E34" s="128" t="s">
        <v>234</v>
      </c>
      <c r="F34" s="129"/>
      <c r="G34" s="130" t="s">
        <v>235</v>
      </c>
      <c r="H34" s="131" t="s">
        <v>236</v>
      </c>
    </row>
    <row r="35" spans="1:8" ht="12.75" customHeight="1" x14ac:dyDescent="0.2">
      <c r="A35" s="211" t="s">
        <v>193</v>
      </c>
      <c r="B35" s="132" t="s">
        <v>3</v>
      </c>
      <c r="C35" s="80">
        <v>1042.4939548825184</v>
      </c>
      <c r="D35" s="80">
        <v>1135.0357251820453</v>
      </c>
      <c r="E35" s="81">
        <v>1532.1149757621106</v>
      </c>
      <c r="F35" s="22" t="s">
        <v>237</v>
      </c>
      <c r="G35" s="133">
        <v>46.96631751066306</v>
      </c>
      <c r="H35" s="134">
        <v>34.983854848831186</v>
      </c>
    </row>
    <row r="36" spans="1:8" ht="12.75" customHeight="1" x14ac:dyDescent="0.2">
      <c r="A36" s="212"/>
      <c r="B36" s="135" t="s">
        <v>238</v>
      </c>
      <c r="C36" s="82">
        <v>244.31042890380004</v>
      </c>
      <c r="D36" s="82">
        <v>280.10127821508109</v>
      </c>
      <c r="E36" s="82">
        <v>371.52526909084605</v>
      </c>
      <c r="F36" s="27"/>
      <c r="G36" s="136">
        <v>52.070982298155712</v>
      </c>
      <c r="H36" s="137">
        <v>32.639619304258702</v>
      </c>
    </row>
    <row r="37" spans="1:8" x14ac:dyDescent="0.2">
      <c r="A37" s="138" t="s">
        <v>194</v>
      </c>
      <c r="B37" s="139" t="s">
        <v>3</v>
      </c>
      <c r="C37" s="80">
        <v>518.22745944305632</v>
      </c>
      <c r="D37" s="80">
        <v>554.71764030581448</v>
      </c>
      <c r="E37" s="80">
        <v>765.98355760691993</v>
      </c>
      <c r="F37" s="22" t="s">
        <v>237</v>
      </c>
      <c r="G37" s="140">
        <v>47.808369404070049</v>
      </c>
      <c r="H37" s="141">
        <v>38.085307181620379</v>
      </c>
    </row>
    <row r="38" spans="1:8" x14ac:dyDescent="0.2">
      <c r="A38" s="142"/>
      <c r="B38" s="135" t="s">
        <v>238</v>
      </c>
      <c r="C38" s="82">
        <v>115.62260186612804</v>
      </c>
      <c r="D38" s="82">
        <v>153.66422628980763</v>
      </c>
      <c r="E38" s="82">
        <v>196.37369406527384</v>
      </c>
      <c r="F38" s="27"/>
      <c r="G38" s="143">
        <v>69.840230972005173</v>
      </c>
      <c r="H38" s="137">
        <v>27.79402129349026</v>
      </c>
    </row>
    <row r="39" spans="1:8" x14ac:dyDescent="0.2">
      <c r="A39" s="138" t="s">
        <v>195</v>
      </c>
      <c r="B39" s="139" t="s">
        <v>3</v>
      </c>
      <c r="C39" s="80">
        <v>61.751132220382033</v>
      </c>
      <c r="D39" s="80">
        <v>74.505171291976794</v>
      </c>
      <c r="E39" s="80">
        <v>132.45241252469711</v>
      </c>
      <c r="F39" s="22" t="s">
        <v>237</v>
      </c>
      <c r="G39" s="144">
        <v>114.49390118385375</v>
      </c>
      <c r="H39" s="141">
        <v>77.776133156760409</v>
      </c>
    </row>
    <row r="40" spans="1:8" x14ac:dyDescent="0.2">
      <c r="A40" s="142"/>
      <c r="B40" s="135" t="s">
        <v>238</v>
      </c>
      <c r="C40" s="82">
        <v>12.875210233266003</v>
      </c>
      <c r="D40" s="82">
        <v>17.296826186225957</v>
      </c>
      <c r="E40" s="82">
        <v>29.629155883159232</v>
      </c>
      <c r="F40" s="27"/>
      <c r="G40" s="136">
        <v>130.12560840836323</v>
      </c>
      <c r="H40" s="137">
        <v>71.298222946553778</v>
      </c>
    </row>
    <row r="41" spans="1:8" x14ac:dyDescent="0.2">
      <c r="A41" s="138" t="s">
        <v>228</v>
      </c>
      <c r="B41" s="139" t="s">
        <v>3</v>
      </c>
      <c r="C41" s="80">
        <v>90.457023977797775</v>
      </c>
      <c r="D41" s="80">
        <v>101.38107377481735</v>
      </c>
      <c r="E41" s="80">
        <v>129.30252596482757</v>
      </c>
      <c r="F41" s="22" t="s">
        <v>237</v>
      </c>
      <c r="G41" s="133">
        <v>42.94359937882129</v>
      </c>
      <c r="H41" s="134">
        <v>27.541089426639886</v>
      </c>
    </row>
    <row r="42" spans="1:8" x14ac:dyDescent="0.2">
      <c r="A42" s="142"/>
      <c r="B42" s="135" t="s">
        <v>238</v>
      </c>
      <c r="C42" s="82">
        <v>27.937355828456006</v>
      </c>
      <c r="D42" s="82">
        <v>27.963216847815925</v>
      </c>
      <c r="E42" s="82">
        <v>36.982735279701537</v>
      </c>
      <c r="F42" s="27"/>
      <c r="G42" s="145">
        <v>32.377364224398889</v>
      </c>
      <c r="H42" s="134">
        <v>32.254938625167824</v>
      </c>
    </row>
    <row r="43" spans="1:8" x14ac:dyDescent="0.2">
      <c r="A43" s="138" t="s">
        <v>196</v>
      </c>
      <c r="B43" s="139" t="s">
        <v>3</v>
      </c>
      <c r="C43" s="80">
        <v>41.031011127415738</v>
      </c>
      <c r="D43" s="80">
        <v>38.81883812284056</v>
      </c>
      <c r="E43" s="80">
        <v>54.146746170948987</v>
      </c>
      <c r="F43" s="22" t="s">
        <v>237</v>
      </c>
      <c r="G43" s="144">
        <v>31.965420015617639</v>
      </c>
      <c r="H43" s="141">
        <v>39.485746584181413</v>
      </c>
    </row>
    <row r="44" spans="1:8" x14ac:dyDescent="0.2">
      <c r="A44" s="142"/>
      <c r="B44" s="135" t="s">
        <v>238</v>
      </c>
      <c r="C44" s="82">
        <v>9.9539155951900042</v>
      </c>
      <c r="D44" s="82">
        <v>11.590015561589968</v>
      </c>
      <c r="E44" s="82">
        <v>15.011897716542308</v>
      </c>
      <c r="F44" s="27"/>
      <c r="G44" s="136">
        <v>50.813994482698376</v>
      </c>
      <c r="H44" s="137">
        <v>29.524396552949156</v>
      </c>
    </row>
    <row r="45" spans="1:8" x14ac:dyDescent="0.2">
      <c r="A45" s="138" t="s">
        <v>197</v>
      </c>
      <c r="B45" s="139" t="s">
        <v>3</v>
      </c>
      <c r="C45" s="80">
        <v>18.109262481483146</v>
      </c>
      <c r="D45" s="80">
        <v>16.811149084568115</v>
      </c>
      <c r="E45" s="80">
        <v>24.26471914941364</v>
      </c>
      <c r="F45" s="22" t="s">
        <v>237</v>
      </c>
      <c r="G45" s="144">
        <v>33.9906535355843</v>
      </c>
      <c r="H45" s="141">
        <v>44.337064809493427</v>
      </c>
    </row>
    <row r="46" spans="1:8" x14ac:dyDescent="0.2">
      <c r="A46" s="138"/>
      <c r="B46" s="135" t="s">
        <v>238</v>
      </c>
      <c r="C46" s="82">
        <v>5.0406883190380007</v>
      </c>
      <c r="D46" s="82">
        <v>3.1317270523179932</v>
      </c>
      <c r="E46" s="82">
        <v>5.0803251533084604</v>
      </c>
      <c r="F46" s="27"/>
      <c r="G46" s="136">
        <v>0.78633773329639212</v>
      </c>
      <c r="H46" s="137">
        <v>62.221198349587468</v>
      </c>
    </row>
    <row r="47" spans="1:8" x14ac:dyDescent="0.2">
      <c r="A47" s="146" t="s">
        <v>198</v>
      </c>
      <c r="B47" s="139" t="s">
        <v>3</v>
      </c>
      <c r="C47" s="80">
        <v>7.8396207614831468</v>
      </c>
      <c r="D47" s="80">
        <v>7.9401496045681137</v>
      </c>
      <c r="E47" s="80">
        <v>10.125497433690969</v>
      </c>
      <c r="F47" s="22" t="s">
        <v>237</v>
      </c>
      <c r="G47" s="133">
        <v>29.158000645114953</v>
      </c>
      <c r="H47" s="134">
        <v>27.522753826522163</v>
      </c>
    </row>
    <row r="48" spans="1:8" x14ac:dyDescent="0.2">
      <c r="A48" s="142"/>
      <c r="B48" s="135" t="s">
        <v>238</v>
      </c>
      <c r="C48" s="82">
        <v>1.8034463190380008</v>
      </c>
      <c r="D48" s="82">
        <v>2.1783833123179934</v>
      </c>
      <c r="E48" s="82">
        <v>2.6103439833084612</v>
      </c>
      <c r="F48" s="27"/>
      <c r="G48" s="145">
        <v>44.741984042024484</v>
      </c>
      <c r="H48" s="134">
        <v>19.829415169859303</v>
      </c>
    </row>
    <row r="49" spans="1:9" x14ac:dyDescent="0.2">
      <c r="A49" s="146" t="s">
        <v>199</v>
      </c>
      <c r="B49" s="139" t="s">
        <v>3</v>
      </c>
      <c r="C49" s="80">
        <v>5.8936577614831469</v>
      </c>
      <c r="D49" s="80">
        <v>6.4212137045681139</v>
      </c>
      <c r="E49" s="80">
        <v>9.5853317427968712</v>
      </c>
      <c r="F49" s="22" t="s">
        <v>237</v>
      </c>
      <c r="G49" s="144">
        <v>62.638078604426966</v>
      </c>
      <c r="H49" s="141">
        <v>49.276012040804261</v>
      </c>
    </row>
    <row r="50" spans="1:9" x14ac:dyDescent="0.2">
      <c r="A50" s="142"/>
      <c r="B50" s="135" t="s">
        <v>238</v>
      </c>
      <c r="C50" s="82">
        <v>1.5034463190380007</v>
      </c>
      <c r="D50" s="82">
        <v>1.4876173123179937</v>
      </c>
      <c r="E50" s="82">
        <v>2.2907699833084614</v>
      </c>
      <c r="F50" s="27"/>
      <c r="G50" s="136">
        <v>52.367926563167202</v>
      </c>
      <c r="H50" s="137">
        <v>53.989198992246315</v>
      </c>
    </row>
    <row r="51" spans="1:9" x14ac:dyDescent="0.2">
      <c r="A51" s="146" t="s">
        <v>200</v>
      </c>
      <c r="B51" s="139" t="s">
        <v>3</v>
      </c>
      <c r="C51" s="80">
        <v>69.598649807415725</v>
      </c>
      <c r="D51" s="80">
        <v>118.30875302284058</v>
      </c>
      <c r="E51" s="80">
        <v>174.88070949429905</v>
      </c>
      <c r="F51" s="22" t="s">
        <v>237</v>
      </c>
      <c r="G51" s="144">
        <v>151.2702616763487</v>
      </c>
      <c r="H51" s="141">
        <v>47.817219796524057</v>
      </c>
    </row>
    <row r="52" spans="1:9" x14ac:dyDescent="0.2">
      <c r="A52" s="142"/>
      <c r="B52" s="135" t="s">
        <v>238</v>
      </c>
      <c r="C52" s="82">
        <v>12.353231595190003</v>
      </c>
      <c r="D52" s="82">
        <v>20.140443561589969</v>
      </c>
      <c r="E52" s="82">
        <v>30.182340916542312</v>
      </c>
      <c r="F52" s="27"/>
      <c r="G52" s="136">
        <v>144.32749183051388</v>
      </c>
      <c r="H52" s="137">
        <v>49.859365431769049</v>
      </c>
    </row>
    <row r="53" spans="1:9" x14ac:dyDescent="0.2">
      <c r="A53" s="138" t="s">
        <v>24</v>
      </c>
      <c r="B53" s="139" t="s">
        <v>3</v>
      </c>
      <c r="C53" s="80">
        <v>229.58613730200128</v>
      </c>
      <c r="D53" s="80">
        <v>216.13173627005131</v>
      </c>
      <c r="E53" s="80">
        <v>251.65962725993271</v>
      </c>
      <c r="F53" s="22" t="s">
        <v>237</v>
      </c>
      <c r="G53" s="133">
        <v>9.6144698531582549</v>
      </c>
      <c r="H53" s="134">
        <v>16.438072262321612</v>
      </c>
      <c r="I53" s="147"/>
    </row>
    <row r="54" spans="1:9" ht="13.5" thickBot="1" x14ac:dyDescent="0.25">
      <c r="A54" s="148"/>
      <c r="B54" s="149" t="s">
        <v>238</v>
      </c>
      <c r="C54" s="86">
        <v>57.220532828456008</v>
      </c>
      <c r="D54" s="86">
        <v>42.648822091097621</v>
      </c>
      <c r="E54" s="86">
        <v>53.364006109701535</v>
      </c>
      <c r="F54" s="44"/>
      <c r="G54" s="150">
        <v>-6.739760236620171</v>
      </c>
      <c r="H54" s="151">
        <v>25.124220302535775</v>
      </c>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07">
        <v>21</v>
      </c>
    </row>
    <row r="62" spans="1:9" ht="12.75" customHeight="1" x14ac:dyDescent="0.2">
      <c r="A62" s="161" t="s">
        <v>240</v>
      </c>
      <c r="G62" s="162"/>
      <c r="H62" s="208"/>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214</v>
      </c>
      <c r="B4" s="118"/>
      <c r="C4" s="118"/>
      <c r="D4" s="118"/>
      <c r="E4" s="118"/>
      <c r="F4" s="118"/>
      <c r="G4" s="118"/>
      <c r="H4" s="119"/>
    </row>
    <row r="5" spans="1:8" x14ac:dyDescent="0.2">
      <c r="A5" s="120"/>
      <c r="B5" s="121"/>
      <c r="C5" s="122"/>
      <c r="D5" s="121"/>
      <c r="E5" s="123"/>
      <c r="F5" s="124"/>
      <c r="G5" s="209" t="s">
        <v>1</v>
      </c>
      <c r="H5" s="210"/>
    </row>
    <row r="6" spans="1:8" x14ac:dyDescent="0.2">
      <c r="A6" s="125"/>
      <c r="B6" s="126"/>
      <c r="C6" s="127" t="s">
        <v>232</v>
      </c>
      <c r="D6" s="128" t="s">
        <v>233</v>
      </c>
      <c r="E6" s="128" t="s">
        <v>234</v>
      </c>
      <c r="F6" s="129"/>
      <c r="G6" s="130" t="s">
        <v>235</v>
      </c>
      <c r="H6" s="131" t="s">
        <v>236</v>
      </c>
    </row>
    <row r="7" spans="1:8" ht="12.75" customHeight="1" x14ac:dyDescent="0.2">
      <c r="A7" s="211" t="s">
        <v>201</v>
      </c>
      <c r="B7" s="132" t="s">
        <v>3</v>
      </c>
      <c r="C7" s="20">
        <v>1154</v>
      </c>
      <c r="D7" s="20">
        <v>1628</v>
      </c>
      <c r="E7" s="79">
        <v>1952.1496603698743</v>
      </c>
      <c r="F7" s="22" t="s">
        <v>237</v>
      </c>
      <c r="G7" s="133">
        <v>69.163748732224803</v>
      </c>
      <c r="H7" s="134">
        <v>19.910912799132333</v>
      </c>
    </row>
    <row r="8" spans="1:8" ht="12.75" customHeight="1" x14ac:dyDescent="0.2">
      <c r="A8" s="212"/>
      <c r="B8" s="135" t="s">
        <v>238</v>
      </c>
      <c r="C8" s="26">
        <v>332</v>
      </c>
      <c r="D8" s="26">
        <v>324</v>
      </c>
      <c r="E8" s="26">
        <v>433</v>
      </c>
      <c r="F8" s="27"/>
      <c r="G8" s="136">
        <v>30.421686746987945</v>
      </c>
      <c r="H8" s="137">
        <v>33.641975308641975</v>
      </c>
    </row>
    <row r="9" spans="1:8" x14ac:dyDescent="0.2">
      <c r="A9" s="138" t="s">
        <v>202</v>
      </c>
      <c r="B9" s="139" t="s">
        <v>3</v>
      </c>
      <c r="C9" s="20">
        <v>395</v>
      </c>
      <c r="D9" s="20">
        <v>545</v>
      </c>
      <c r="E9" s="20">
        <v>748.80243612596541</v>
      </c>
      <c r="F9" s="22" t="s">
        <v>237</v>
      </c>
      <c r="G9" s="140">
        <v>89.570236993915273</v>
      </c>
      <c r="H9" s="141">
        <v>37.394942408434019</v>
      </c>
    </row>
    <row r="10" spans="1:8" x14ac:dyDescent="0.2">
      <c r="A10" s="142"/>
      <c r="B10" s="135" t="s">
        <v>238</v>
      </c>
      <c r="C10" s="26">
        <v>102</v>
      </c>
      <c r="D10" s="26">
        <v>110</v>
      </c>
      <c r="E10" s="26">
        <v>163</v>
      </c>
      <c r="F10" s="27"/>
      <c r="G10" s="143">
        <v>59.803921568627459</v>
      </c>
      <c r="H10" s="137">
        <v>48.181818181818187</v>
      </c>
    </row>
    <row r="11" spans="1:8" x14ac:dyDescent="0.2">
      <c r="A11" s="138" t="s">
        <v>203</v>
      </c>
      <c r="B11" s="139" t="s">
        <v>3</v>
      </c>
      <c r="C11" s="20">
        <v>114</v>
      </c>
      <c r="D11" s="20">
        <v>145</v>
      </c>
      <c r="E11" s="20">
        <v>116.58119658119656</v>
      </c>
      <c r="F11" s="22" t="s">
        <v>237</v>
      </c>
      <c r="G11" s="144">
        <v>2.2642075273654001</v>
      </c>
      <c r="H11" s="141">
        <v>-19.599174771588579</v>
      </c>
    </row>
    <row r="12" spans="1:8" x14ac:dyDescent="0.2">
      <c r="A12" s="142"/>
      <c r="B12" s="135" t="s">
        <v>238</v>
      </c>
      <c r="C12" s="26">
        <v>27</v>
      </c>
      <c r="D12" s="26">
        <v>39</v>
      </c>
      <c r="E12" s="26">
        <v>30</v>
      </c>
      <c r="F12" s="27"/>
      <c r="G12" s="136">
        <v>11.111111111111114</v>
      </c>
      <c r="H12" s="137">
        <v>-23.076923076923066</v>
      </c>
    </row>
    <row r="13" spans="1:8" x14ac:dyDescent="0.2">
      <c r="A13" s="138" t="s">
        <v>204</v>
      </c>
      <c r="B13" s="139" t="s">
        <v>3</v>
      </c>
      <c r="C13" s="20">
        <v>74</v>
      </c>
      <c r="D13" s="20">
        <v>61</v>
      </c>
      <c r="E13" s="20">
        <v>88.805228758169932</v>
      </c>
      <c r="F13" s="22" t="s">
        <v>237</v>
      </c>
      <c r="G13" s="133">
        <v>20.007065889418826</v>
      </c>
      <c r="H13" s="134">
        <v>45.582342226508075</v>
      </c>
    </row>
    <row r="14" spans="1:8" x14ac:dyDescent="0.2">
      <c r="A14" s="142"/>
      <c r="B14" s="135" t="s">
        <v>238</v>
      </c>
      <c r="C14" s="26">
        <v>15</v>
      </c>
      <c r="D14" s="26">
        <v>17</v>
      </c>
      <c r="E14" s="26">
        <v>22</v>
      </c>
      <c r="F14" s="27"/>
      <c r="G14" s="145">
        <v>46.666666666666657</v>
      </c>
      <c r="H14" s="134">
        <v>29.411764705882348</v>
      </c>
    </row>
    <row r="15" spans="1:8" x14ac:dyDescent="0.2">
      <c r="A15" s="138" t="s">
        <v>205</v>
      </c>
      <c r="B15" s="139" t="s">
        <v>3</v>
      </c>
      <c r="C15" s="20">
        <v>7</v>
      </c>
      <c r="D15" s="20">
        <v>10</v>
      </c>
      <c r="E15" s="20">
        <v>14.888888888888888</v>
      </c>
      <c r="F15" s="22" t="s">
        <v>237</v>
      </c>
      <c r="G15" s="144">
        <v>112.69841269841271</v>
      </c>
      <c r="H15" s="141">
        <v>48.888888888888857</v>
      </c>
    </row>
    <row r="16" spans="1:8" x14ac:dyDescent="0.2">
      <c r="A16" s="142"/>
      <c r="B16" s="135" t="s">
        <v>238</v>
      </c>
      <c r="C16" s="26">
        <v>3</v>
      </c>
      <c r="D16" s="26">
        <v>1</v>
      </c>
      <c r="E16" s="26">
        <v>2</v>
      </c>
      <c r="F16" s="27"/>
      <c r="G16" s="136">
        <v>-33.333333333333343</v>
      </c>
      <c r="H16" s="137">
        <v>100</v>
      </c>
    </row>
    <row r="17" spans="1:9" x14ac:dyDescent="0.2">
      <c r="A17" s="138" t="s">
        <v>206</v>
      </c>
      <c r="B17" s="139" t="s">
        <v>3</v>
      </c>
      <c r="C17" s="20">
        <v>46</v>
      </c>
      <c r="D17" s="20">
        <v>69</v>
      </c>
      <c r="E17" s="20">
        <v>136.93846153846152</v>
      </c>
      <c r="F17" s="22" t="s">
        <v>237</v>
      </c>
      <c r="G17" s="144">
        <v>197.69230769230768</v>
      </c>
      <c r="H17" s="141">
        <v>98.461538461538453</v>
      </c>
    </row>
    <row r="18" spans="1:9" x14ac:dyDescent="0.2">
      <c r="A18" s="142"/>
      <c r="B18" s="135" t="s">
        <v>238</v>
      </c>
      <c r="C18" s="26">
        <v>10</v>
      </c>
      <c r="D18" s="26">
        <v>13</v>
      </c>
      <c r="E18" s="26">
        <v>27</v>
      </c>
      <c r="F18" s="27"/>
      <c r="G18" s="136">
        <v>170</v>
      </c>
      <c r="H18" s="137">
        <v>107.69230769230771</v>
      </c>
    </row>
    <row r="19" spans="1:9" x14ac:dyDescent="0.2">
      <c r="A19" s="138" t="s">
        <v>207</v>
      </c>
      <c r="B19" s="139" t="s">
        <v>3</v>
      </c>
      <c r="C19" s="20">
        <v>546</v>
      </c>
      <c r="D19" s="20">
        <v>809</v>
      </c>
      <c r="E19" s="20">
        <v>903.18991640543356</v>
      </c>
      <c r="F19" s="22" t="s">
        <v>237</v>
      </c>
      <c r="G19" s="133">
        <v>65.419398609053758</v>
      </c>
      <c r="H19" s="134">
        <v>11.642758517358899</v>
      </c>
    </row>
    <row r="20" spans="1:9" ht="13.5" thickBot="1" x14ac:dyDescent="0.25">
      <c r="A20" s="148"/>
      <c r="B20" s="149" t="s">
        <v>238</v>
      </c>
      <c r="C20" s="43">
        <v>176</v>
      </c>
      <c r="D20" s="43">
        <v>145</v>
      </c>
      <c r="E20" s="43">
        <v>190</v>
      </c>
      <c r="F20" s="44"/>
      <c r="G20" s="150">
        <v>7.9545454545454533</v>
      </c>
      <c r="H20" s="151">
        <v>31.034482758620697</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215</v>
      </c>
      <c r="B32" s="118"/>
      <c r="C32" s="118"/>
      <c r="D32" s="118"/>
      <c r="E32" s="118"/>
      <c r="F32" s="118"/>
      <c r="G32" s="118"/>
      <c r="H32" s="119"/>
    </row>
    <row r="33" spans="1:8" x14ac:dyDescent="0.2">
      <c r="A33" s="120"/>
      <c r="B33" s="121"/>
      <c r="C33" s="213" t="s">
        <v>16</v>
      </c>
      <c r="D33" s="209"/>
      <c r="E33" s="209"/>
      <c r="F33" s="214"/>
      <c r="G33" s="209" t="s">
        <v>1</v>
      </c>
      <c r="H33" s="210"/>
    </row>
    <row r="34" spans="1:8" x14ac:dyDescent="0.2">
      <c r="A34" s="125"/>
      <c r="B34" s="126"/>
      <c r="C34" s="127" t="s">
        <v>232</v>
      </c>
      <c r="D34" s="128" t="s">
        <v>233</v>
      </c>
      <c r="E34" s="128" t="s">
        <v>234</v>
      </c>
      <c r="F34" s="129"/>
      <c r="G34" s="130" t="s">
        <v>235</v>
      </c>
      <c r="H34" s="131" t="s">
        <v>236</v>
      </c>
    </row>
    <row r="35" spans="1:8" ht="12.75" customHeight="1" x14ac:dyDescent="0.2">
      <c r="A35" s="211" t="s">
        <v>201</v>
      </c>
      <c r="B35" s="132" t="s">
        <v>3</v>
      </c>
      <c r="C35" s="80">
        <v>442.39533603703228</v>
      </c>
      <c r="D35" s="80">
        <v>454.12308686202277</v>
      </c>
      <c r="E35" s="81">
        <v>652.71532673715058</v>
      </c>
      <c r="F35" s="22" t="s">
        <v>237</v>
      </c>
      <c r="G35" s="133">
        <v>47.541186257558707</v>
      </c>
      <c r="H35" s="134">
        <v>43.730927940130584</v>
      </c>
    </row>
    <row r="36" spans="1:8" ht="12.75" customHeight="1" x14ac:dyDescent="0.2">
      <c r="A36" s="212"/>
      <c r="B36" s="135" t="s">
        <v>238</v>
      </c>
      <c r="C36" s="82">
        <v>172.87738500174586</v>
      </c>
      <c r="D36" s="82">
        <v>124.44408206001874</v>
      </c>
      <c r="E36" s="82">
        <v>198.64649855446476</v>
      </c>
      <c r="F36" s="27"/>
      <c r="G36" s="136">
        <v>14.906006099327954</v>
      </c>
      <c r="H36" s="137">
        <v>59.627115461110122</v>
      </c>
    </row>
    <row r="37" spans="1:8" x14ac:dyDescent="0.2">
      <c r="A37" s="138" t="s">
        <v>202</v>
      </c>
      <c r="B37" s="139" t="s">
        <v>3</v>
      </c>
      <c r="C37" s="80">
        <v>232.1911615007381</v>
      </c>
      <c r="D37" s="80">
        <v>231.35037240273275</v>
      </c>
      <c r="E37" s="80">
        <v>353.1758590203043</v>
      </c>
      <c r="F37" s="22" t="s">
        <v>237</v>
      </c>
      <c r="G37" s="140">
        <v>52.105642926973161</v>
      </c>
      <c r="H37" s="141">
        <v>52.658435494324067</v>
      </c>
    </row>
    <row r="38" spans="1:8" x14ac:dyDescent="0.2">
      <c r="A38" s="142"/>
      <c r="B38" s="135" t="s">
        <v>238</v>
      </c>
      <c r="C38" s="82">
        <v>82.994918080977669</v>
      </c>
      <c r="D38" s="82">
        <v>60.168202313610514</v>
      </c>
      <c r="E38" s="82">
        <v>101.02500083050029</v>
      </c>
      <c r="F38" s="27"/>
      <c r="G38" s="143">
        <v>21.724321399932904</v>
      </c>
      <c r="H38" s="137">
        <v>67.904303179833676</v>
      </c>
    </row>
    <row r="39" spans="1:8" x14ac:dyDescent="0.2">
      <c r="A39" s="138" t="s">
        <v>203</v>
      </c>
      <c r="B39" s="139" t="s">
        <v>3</v>
      </c>
      <c r="C39" s="80">
        <v>61.2755973662955</v>
      </c>
      <c r="D39" s="80">
        <v>51.983363836543859</v>
      </c>
      <c r="E39" s="80">
        <v>73.015803132736295</v>
      </c>
      <c r="F39" s="22" t="s">
        <v>237</v>
      </c>
      <c r="G39" s="144">
        <v>19.159675745402808</v>
      </c>
      <c r="H39" s="141">
        <v>40.459942843111691</v>
      </c>
    </row>
    <row r="40" spans="1:8" x14ac:dyDescent="0.2">
      <c r="A40" s="142"/>
      <c r="B40" s="135" t="s">
        <v>238</v>
      </c>
      <c r="C40" s="82">
        <v>22.703921560296795</v>
      </c>
      <c r="D40" s="82">
        <v>16.565601220203192</v>
      </c>
      <c r="E40" s="82">
        <v>24.406503984259018</v>
      </c>
      <c r="F40" s="27"/>
      <c r="G40" s="136">
        <v>7.4990675925325405</v>
      </c>
      <c r="H40" s="137">
        <v>47.332437017095174</v>
      </c>
    </row>
    <row r="41" spans="1:8" x14ac:dyDescent="0.2">
      <c r="A41" s="138" t="s">
        <v>204</v>
      </c>
      <c r="B41" s="139" t="s">
        <v>3</v>
      </c>
      <c r="C41" s="80">
        <v>32.595159562592265</v>
      </c>
      <c r="D41" s="80">
        <v>24.609239050341596</v>
      </c>
      <c r="E41" s="80">
        <v>44.850044337117943</v>
      </c>
      <c r="F41" s="22" t="s">
        <v>237</v>
      </c>
      <c r="G41" s="133">
        <v>37.597253515488092</v>
      </c>
      <c r="H41" s="134">
        <v>82.248806008877352</v>
      </c>
    </row>
    <row r="42" spans="1:8" x14ac:dyDescent="0.2">
      <c r="A42" s="142"/>
      <c r="B42" s="135" t="s">
        <v>238</v>
      </c>
      <c r="C42" s="82">
        <v>9.6326147601222072</v>
      </c>
      <c r="D42" s="82">
        <v>10.723775914201314</v>
      </c>
      <c r="E42" s="82">
        <v>16.874680228812537</v>
      </c>
      <c r="F42" s="27"/>
      <c r="G42" s="145">
        <v>75.182758254503796</v>
      </c>
      <c r="H42" s="134">
        <v>57.357635629682335</v>
      </c>
    </row>
    <row r="43" spans="1:8" x14ac:dyDescent="0.2">
      <c r="A43" s="138" t="s">
        <v>205</v>
      </c>
      <c r="B43" s="139" t="s">
        <v>3</v>
      </c>
      <c r="C43" s="80">
        <v>3.1888580803703235</v>
      </c>
      <c r="D43" s="80">
        <v>3.7942195786202273</v>
      </c>
      <c r="E43" s="80">
        <v>6.4065041395156657</v>
      </c>
      <c r="F43" s="22" t="s">
        <v>237</v>
      </c>
      <c r="G43" s="144">
        <v>100.90276763811565</v>
      </c>
      <c r="H43" s="141">
        <v>68.849061230278039</v>
      </c>
    </row>
    <row r="44" spans="1:8" x14ac:dyDescent="0.2">
      <c r="A44" s="142"/>
      <c r="B44" s="135" t="s">
        <v>238</v>
      </c>
      <c r="C44" s="82">
        <v>0.91523068001745833</v>
      </c>
      <c r="D44" s="82">
        <v>1.0528251306001877</v>
      </c>
      <c r="E44" s="82">
        <v>1.797576175544648</v>
      </c>
      <c r="F44" s="27"/>
      <c r="G44" s="136">
        <v>96.406896620899829</v>
      </c>
      <c r="H44" s="137">
        <v>70.738342322803163</v>
      </c>
    </row>
    <row r="45" spans="1:8" x14ac:dyDescent="0.2">
      <c r="A45" s="138" t="s">
        <v>206</v>
      </c>
      <c r="B45" s="139" t="s">
        <v>3</v>
      </c>
      <c r="C45" s="80">
        <v>21.25976840185162</v>
      </c>
      <c r="D45" s="80">
        <v>29.722355893101138</v>
      </c>
      <c r="E45" s="80">
        <v>44.044948840692193</v>
      </c>
      <c r="F45" s="22" t="s">
        <v>237</v>
      </c>
      <c r="G45" s="144">
        <v>107.17511126252955</v>
      </c>
      <c r="H45" s="141">
        <v>48.187946470674888</v>
      </c>
    </row>
    <row r="46" spans="1:8" x14ac:dyDescent="0.2">
      <c r="A46" s="142"/>
      <c r="B46" s="135" t="s">
        <v>238</v>
      </c>
      <c r="C46" s="82">
        <v>7.3031534000872922</v>
      </c>
      <c r="D46" s="82">
        <v>7.0961256530009376</v>
      </c>
      <c r="E46" s="82">
        <v>11.705670877723239</v>
      </c>
      <c r="F46" s="27"/>
      <c r="G46" s="136">
        <v>60.282418243923587</v>
      </c>
      <c r="H46" s="137">
        <v>64.958618972212435</v>
      </c>
    </row>
    <row r="47" spans="1:8" x14ac:dyDescent="0.2">
      <c r="A47" s="138" t="s">
        <v>207</v>
      </c>
      <c r="B47" s="139" t="s">
        <v>3</v>
      </c>
      <c r="C47" s="80">
        <v>91.884791125184535</v>
      </c>
      <c r="D47" s="80">
        <v>112.66353610068317</v>
      </c>
      <c r="E47" s="80">
        <v>138.16976720661762</v>
      </c>
      <c r="F47" s="22" t="s">
        <v>237</v>
      </c>
      <c r="G47" s="133">
        <v>50.37283702193335</v>
      </c>
      <c r="H47" s="134">
        <v>22.63929571954894</v>
      </c>
    </row>
    <row r="48" spans="1:8" ht="13.5" thickBot="1" x14ac:dyDescent="0.25">
      <c r="A48" s="148"/>
      <c r="B48" s="149" t="s">
        <v>238</v>
      </c>
      <c r="C48" s="86">
        <v>49.327546520244418</v>
      </c>
      <c r="D48" s="86">
        <v>28.837551828402624</v>
      </c>
      <c r="E48" s="86">
        <v>42.837066457625077</v>
      </c>
      <c r="F48" s="44"/>
      <c r="G48" s="150">
        <v>-13.157921933043227</v>
      </c>
      <c r="H48" s="151">
        <v>48.546127329137846</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07">
        <v>22</v>
      </c>
    </row>
    <row r="62" spans="1:9" ht="12.75" customHeight="1" x14ac:dyDescent="0.2">
      <c r="A62" s="161" t="s">
        <v>240</v>
      </c>
      <c r="G62" s="162"/>
      <c r="H62" s="208"/>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216</v>
      </c>
      <c r="B4" s="118"/>
      <c r="C4" s="118"/>
      <c r="D4" s="118"/>
      <c r="E4" s="118"/>
      <c r="F4" s="118"/>
      <c r="G4" s="118"/>
      <c r="H4" s="119"/>
    </row>
    <row r="5" spans="1:8" x14ac:dyDescent="0.2">
      <c r="A5" s="120"/>
      <c r="B5" s="121"/>
      <c r="C5" s="122"/>
      <c r="D5" s="121"/>
      <c r="E5" s="123"/>
      <c r="F5" s="124"/>
      <c r="G5" s="209" t="s">
        <v>1</v>
      </c>
      <c r="H5" s="210"/>
    </row>
    <row r="6" spans="1:8" x14ac:dyDescent="0.2">
      <c r="A6" s="125"/>
      <c r="B6" s="126"/>
      <c r="C6" s="127" t="s">
        <v>232</v>
      </c>
      <c r="D6" s="128" t="s">
        <v>233</v>
      </c>
      <c r="E6" s="128" t="s">
        <v>234</v>
      </c>
      <c r="F6" s="129"/>
      <c r="G6" s="130" t="s">
        <v>235</v>
      </c>
      <c r="H6" s="131" t="s">
        <v>236</v>
      </c>
    </row>
    <row r="7" spans="1:8" ht="12.75" customHeight="1" x14ac:dyDescent="0.2">
      <c r="A7" s="211" t="s">
        <v>208</v>
      </c>
      <c r="B7" s="132" t="s">
        <v>3</v>
      </c>
      <c r="C7" s="20">
        <v>281786.98794041621</v>
      </c>
      <c r="D7" s="20">
        <v>335300.03885714285</v>
      </c>
      <c r="E7" s="79">
        <v>411861.53732981428</v>
      </c>
      <c r="F7" s="22" t="s">
        <v>237</v>
      </c>
      <c r="G7" s="133">
        <v>46.160594688957843</v>
      </c>
      <c r="H7" s="134">
        <v>22.833727885516609</v>
      </c>
    </row>
    <row r="8" spans="1:8" ht="12.75" customHeight="1" x14ac:dyDescent="0.2">
      <c r="A8" s="212"/>
      <c r="B8" s="135" t="s">
        <v>238</v>
      </c>
      <c r="C8" s="26">
        <v>44836.882464880895</v>
      </c>
      <c r="D8" s="26">
        <v>61043.472000000002</v>
      </c>
      <c r="E8" s="26">
        <v>71543.779428571434</v>
      </c>
      <c r="F8" s="27"/>
      <c r="G8" s="136">
        <v>59.564571610457278</v>
      </c>
      <c r="H8" s="137">
        <v>17.201360087400388</v>
      </c>
    </row>
    <row r="9" spans="1:8" x14ac:dyDescent="0.2">
      <c r="A9" s="138" t="s">
        <v>227</v>
      </c>
      <c r="B9" s="139" t="s">
        <v>3</v>
      </c>
      <c r="C9" s="20">
        <v>11206.538595687682</v>
      </c>
      <c r="D9" s="20">
        <v>13975.547999999999</v>
      </c>
      <c r="E9" s="20">
        <v>13764.101079662383</v>
      </c>
      <c r="F9" s="22" t="s">
        <v>237</v>
      </c>
      <c r="G9" s="140">
        <v>22.822055732345945</v>
      </c>
      <c r="H9" s="141">
        <v>-1.5129776688371521</v>
      </c>
    </row>
    <row r="10" spans="1:8" x14ac:dyDescent="0.2">
      <c r="A10" s="142"/>
      <c r="B10" s="135" t="s">
        <v>238</v>
      </c>
      <c r="C10" s="26">
        <v>2408.947631426176</v>
      </c>
      <c r="D10" s="26">
        <v>3579.9360000000001</v>
      </c>
      <c r="E10" s="26">
        <v>3314.0540000000001</v>
      </c>
      <c r="F10" s="27"/>
      <c r="G10" s="143">
        <v>37.57268762368119</v>
      </c>
      <c r="H10" s="137">
        <v>-7.4270042816407909</v>
      </c>
    </row>
    <row r="11" spans="1:8" x14ac:dyDescent="0.2">
      <c r="A11" s="138" t="s">
        <v>230</v>
      </c>
      <c r="B11" s="139" t="s">
        <v>3</v>
      </c>
      <c r="C11" s="20">
        <v>165152.23248157973</v>
      </c>
      <c r="D11" s="20">
        <v>180322.87040000001</v>
      </c>
      <c r="E11" s="20">
        <v>211544.38656817749</v>
      </c>
      <c r="F11" s="22" t="s">
        <v>237</v>
      </c>
      <c r="G11" s="144">
        <v>28.090540097162858</v>
      </c>
      <c r="H11" s="141">
        <v>17.314229802864475</v>
      </c>
    </row>
    <row r="12" spans="1:8" x14ac:dyDescent="0.2">
      <c r="A12" s="142"/>
      <c r="B12" s="135" t="s">
        <v>238</v>
      </c>
      <c r="C12" s="26">
        <v>22313.889160249841</v>
      </c>
      <c r="D12" s="26">
        <v>29335.572800000002</v>
      </c>
      <c r="E12" s="26">
        <v>32222.859199999999</v>
      </c>
      <c r="F12" s="27"/>
      <c r="G12" s="136">
        <v>44.40718499849001</v>
      </c>
      <c r="H12" s="137">
        <v>9.8422704055739274</v>
      </c>
    </row>
    <row r="13" spans="1:8" x14ac:dyDescent="0.2">
      <c r="A13" s="138" t="s">
        <v>209</v>
      </c>
      <c r="B13" s="139" t="s">
        <v>3</v>
      </c>
      <c r="C13" s="20">
        <v>102402.04104909507</v>
      </c>
      <c r="D13" s="20">
        <v>129041.1704</v>
      </c>
      <c r="E13" s="20">
        <v>143808.72920215898</v>
      </c>
      <c r="F13" s="22" t="s">
        <v>237</v>
      </c>
      <c r="G13" s="133">
        <v>40.435412935970788</v>
      </c>
      <c r="H13" s="134">
        <v>11.444067623056057</v>
      </c>
    </row>
    <row r="14" spans="1:8" x14ac:dyDescent="0.2">
      <c r="A14" s="142"/>
      <c r="B14" s="135" t="s">
        <v>238</v>
      </c>
      <c r="C14" s="26">
        <v>19933.291923170651</v>
      </c>
      <c r="D14" s="26">
        <v>28333.1728</v>
      </c>
      <c r="E14" s="26">
        <v>30283.859199999999</v>
      </c>
      <c r="F14" s="27"/>
      <c r="G14" s="145">
        <v>51.926030666303291</v>
      </c>
      <c r="H14" s="134">
        <v>6.8848145379609491</v>
      </c>
    </row>
    <row r="15" spans="1:8" x14ac:dyDescent="0.2">
      <c r="A15" s="138" t="s">
        <v>210</v>
      </c>
      <c r="B15" s="139" t="s">
        <v>3</v>
      </c>
      <c r="C15" s="20">
        <v>9250</v>
      </c>
      <c r="D15" s="20">
        <v>14239.4784</v>
      </c>
      <c r="E15" s="20">
        <v>16824.051374407863</v>
      </c>
      <c r="F15" s="22" t="s">
        <v>237</v>
      </c>
      <c r="G15" s="144">
        <v>81.881636480085007</v>
      </c>
      <c r="H15" s="141">
        <v>18.150755960329732</v>
      </c>
    </row>
    <row r="16" spans="1:8" x14ac:dyDescent="0.2">
      <c r="A16" s="142"/>
      <c r="B16" s="135" t="s">
        <v>238</v>
      </c>
      <c r="C16" s="26">
        <v>1297</v>
      </c>
      <c r="D16" s="26">
        <v>2939.4288000000001</v>
      </c>
      <c r="E16" s="26">
        <v>3000.6432</v>
      </c>
      <c r="F16" s="27"/>
      <c r="G16" s="136">
        <v>131.35259830377794</v>
      </c>
      <c r="H16" s="137">
        <v>2.0825270542358396</v>
      </c>
    </row>
    <row r="17" spans="1:9" x14ac:dyDescent="0.2">
      <c r="A17" s="138" t="s">
        <v>211</v>
      </c>
      <c r="B17" s="139" t="s">
        <v>3</v>
      </c>
      <c r="C17" s="20">
        <v>10383.175814053724</v>
      </c>
      <c r="D17" s="20">
        <v>15982.9568</v>
      </c>
      <c r="E17" s="20">
        <v>34714.088479652972</v>
      </c>
      <c r="F17" s="22" t="s">
        <v>237</v>
      </c>
      <c r="G17" s="133">
        <v>234.33016161266511</v>
      </c>
      <c r="H17" s="134">
        <v>117.19440848174582</v>
      </c>
    </row>
    <row r="18" spans="1:9" ht="13.5" thickBot="1" x14ac:dyDescent="0.25">
      <c r="A18" s="148"/>
      <c r="B18" s="149" t="s">
        <v>238</v>
      </c>
      <c r="C18" s="43">
        <v>1756.753750034228</v>
      </c>
      <c r="D18" s="43">
        <v>3255.8576000000003</v>
      </c>
      <c r="E18" s="43">
        <v>6621.2864</v>
      </c>
      <c r="F18" s="44"/>
      <c r="G18" s="150">
        <v>276.90464015636758</v>
      </c>
      <c r="H18" s="151">
        <v>103.36535602785574</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217</v>
      </c>
      <c r="B32" s="118"/>
      <c r="C32" s="118"/>
      <c r="D32" s="118"/>
      <c r="E32" s="118"/>
      <c r="F32" s="118"/>
      <c r="G32" s="118"/>
      <c r="H32" s="119"/>
    </row>
    <row r="33" spans="1:8" x14ac:dyDescent="0.2">
      <c r="A33" s="120"/>
      <c r="B33" s="121"/>
      <c r="C33" s="213" t="s">
        <v>16</v>
      </c>
      <c r="D33" s="209"/>
      <c r="E33" s="209"/>
      <c r="F33" s="214"/>
      <c r="G33" s="209" t="s">
        <v>1</v>
      </c>
      <c r="H33" s="210"/>
    </row>
    <row r="34" spans="1:8" x14ac:dyDescent="0.2">
      <c r="A34" s="125"/>
      <c r="B34" s="126"/>
      <c r="C34" s="127" t="s">
        <v>232</v>
      </c>
      <c r="D34" s="128" t="s">
        <v>233</v>
      </c>
      <c r="E34" s="128" t="s">
        <v>234</v>
      </c>
      <c r="F34" s="129"/>
      <c r="G34" s="130" t="s">
        <v>235</v>
      </c>
      <c r="H34" s="131" t="s">
        <v>236</v>
      </c>
    </row>
    <row r="35" spans="1:8" ht="12.75" customHeight="1" x14ac:dyDescent="0.2">
      <c r="A35" s="211" t="s">
        <v>208</v>
      </c>
      <c r="B35" s="132" t="s">
        <v>3</v>
      </c>
      <c r="C35" s="80">
        <v>1097.9182333987903</v>
      </c>
      <c r="D35" s="80">
        <v>1333.798795413061</v>
      </c>
      <c r="E35" s="81">
        <v>1436.430697320279</v>
      </c>
      <c r="F35" s="22" t="s">
        <v>237</v>
      </c>
      <c r="G35" s="133">
        <v>30.832210780721482</v>
      </c>
      <c r="H35" s="134">
        <v>7.6947064474918818</v>
      </c>
    </row>
    <row r="36" spans="1:8" ht="12.75" customHeight="1" x14ac:dyDescent="0.2">
      <c r="A36" s="212"/>
      <c r="B36" s="135" t="s">
        <v>238</v>
      </c>
      <c r="C36" s="82">
        <v>235.30161855054615</v>
      </c>
      <c r="D36" s="82">
        <v>381.33060114785957</v>
      </c>
      <c r="E36" s="82">
        <v>369.53147691398095</v>
      </c>
      <c r="F36" s="27"/>
      <c r="G36" s="136">
        <v>57.045871248267815</v>
      </c>
      <c r="H36" s="137">
        <v>-3.0941981048364795</v>
      </c>
    </row>
    <row r="37" spans="1:8" x14ac:dyDescent="0.2">
      <c r="A37" s="138" t="s">
        <v>227</v>
      </c>
      <c r="B37" s="139" t="s">
        <v>3</v>
      </c>
      <c r="C37" s="80">
        <v>326.23983367946352</v>
      </c>
      <c r="D37" s="80">
        <v>384.05710009564029</v>
      </c>
      <c r="E37" s="80">
        <v>421.02818368651054</v>
      </c>
      <c r="F37" s="22" t="s">
        <v>237</v>
      </c>
      <c r="G37" s="140">
        <v>29.054805766048275</v>
      </c>
      <c r="H37" s="141">
        <v>9.6264549156007035</v>
      </c>
    </row>
    <row r="38" spans="1:8" x14ac:dyDescent="0.2">
      <c r="A38" s="142"/>
      <c r="B38" s="135" t="s">
        <v>238</v>
      </c>
      <c r="C38" s="82">
        <v>71.641493094612471</v>
      </c>
      <c r="D38" s="82">
        <v>106.06428469707227</v>
      </c>
      <c r="E38" s="82">
        <v>107.07961500495372</v>
      </c>
      <c r="F38" s="27"/>
      <c r="G38" s="143">
        <v>49.465917556380816</v>
      </c>
      <c r="H38" s="137">
        <v>0.95727823063278095</v>
      </c>
    </row>
    <row r="39" spans="1:8" x14ac:dyDescent="0.2">
      <c r="A39" s="138" t="s">
        <v>230</v>
      </c>
      <c r="B39" s="139" t="s">
        <v>3</v>
      </c>
      <c r="C39" s="80">
        <v>256.23559530104427</v>
      </c>
      <c r="D39" s="80">
        <v>273.20901626826992</v>
      </c>
      <c r="E39" s="80">
        <v>245.34124498422847</v>
      </c>
      <c r="F39" s="22" t="s">
        <v>237</v>
      </c>
      <c r="G39" s="144">
        <v>-4.2516927845314854</v>
      </c>
      <c r="H39" s="141">
        <v>-10.200165303723892</v>
      </c>
    </row>
    <row r="40" spans="1:8" x14ac:dyDescent="0.2">
      <c r="A40" s="142"/>
      <c r="B40" s="135" t="s">
        <v>238</v>
      </c>
      <c r="C40" s="82">
        <v>57.028485108391664</v>
      </c>
      <c r="D40" s="82">
        <v>91.51304196696492</v>
      </c>
      <c r="E40" s="82">
        <v>70.338346135994456</v>
      </c>
      <c r="F40" s="27"/>
      <c r="G40" s="136">
        <v>23.338969994214807</v>
      </c>
      <c r="H40" s="137">
        <v>-23.138446035499811</v>
      </c>
    </row>
    <row r="41" spans="1:8" x14ac:dyDescent="0.2">
      <c r="A41" s="138" t="s">
        <v>209</v>
      </c>
      <c r="B41" s="139" t="s">
        <v>3</v>
      </c>
      <c r="C41" s="80">
        <v>345.55780100399943</v>
      </c>
      <c r="D41" s="80">
        <v>448.97767258984476</v>
      </c>
      <c r="E41" s="80">
        <v>514.66005855441006</v>
      </c>
      <c r="F41" s="22" t="s">
        <v>237</v>
      </c>
      <c r="G41" s="133">
        <v>48.936026638407014</v>
      </c>
      <c r="H41" s="134">
        <v>14.629321227866086</v>
      </c>
    </row>
    <row r="42" spans="1:8" x14ac:dyDescent="0.2">
      <c r="A42" s="142"/>
      <c r="B42" s="135" t="s">
        <v>238</v>
      </c>
      <c r="C42" s="82">
        <v>76.475962252428516</v>
      </c>
      <c r="D42" s="82">
        <v>122.20476957703647</v>
      </c>
      <c r="E42" s="82">
        <v>130.11282495863446</v>
      </c>
      <c r="F42" s="27"/>
      <c r="G42" s="145">
        <v>70.135583948801752</v>
      </c>
      <c r="H42" s="134">
        <v>6.4711511743515331</v>
      </c>
    </row>
    <row r="43" spans="1:8" x14ac:dyDescent="0.2">
      <c r="A43" s="138" t="s">
        <v>210</v>
      </c>
      <c r="B43" s="139" t="s">
        <v>3</v>
      </c>
      <c r="C43" s="80">
        <v>50.626081812198294</v>
      </c>
      <c r="D43" s="80">
        <v>82.138112313861413</v>
      </c>
      <c r="E43" s="80">
        <v>96.529452346922824</v>
      </c>
      <c r="F43" s="22" t="s">
        <v>237</v>
      </c>
      <c r="G43" s="144">
        <v>90.671386944395465</v>
      </c>
      <c r="H43" s="141">
        <v>17.520904276531283</v>
      </c>
    </row>
    <row r="44" spans="1:8" x14ac:dyDescent="0.2">
      <c r="A44" s="142"/>
      <c r="B44" s="135" t="s">
        <v>238</v>
      </c>
      <c r="C44" s="82">
        <v>10.330940893410922</v>
      </c>
      <c r="D44" s="82">
        <v>21.161057073357192</v>
      </c>
      <c r="E44" s="82">
        <v>22.867826250879727</v>
      </c>
      <c r="F44" s="27"/>
      <c r="G44" s="136">
        <v>121.35279338849801</v>
      </c>
      <c r="H44" s="137">
        <v>8.0656139795182611</v>
      </c>
    </row>
    <row r="45" spans="1:8" x14ac:dyDescent="0.2">
      <c r="A45" s="138" t="s">
        <v>211</v>
      </c>
      <c r="B45" s="139" t="s">
        <v>3</v>
      </c>
      <c r="C45" s="80">
        <v>119.25892160208494</v>
      </c>
      <c r="D45" s="80">
        <v>145.41689414544481</v>
      </c>
      <c r="E45" s="80">
        <v>172.4031699293526</v>
      </c>
      <c r="F45" s="22" t="s">
        <v>237</v>
      </c>
      <c r="G45" s="133">
        <v>44.562073523175769</v>
      </c>
      <c r="H45" s="134">
        <v>18.557868356696105</v>
      </c>
    </row>
    <row r="46" spans="1:8" ht="13.5" thickBot="1" x14ac:dyDescent="0.25">
      <c r="A46" s="148"/>
      <c r="B46" s="149" t="s">
        <v>238</v>
      </c>
      <c r="C46" s="86">
        <v>19.824737201702565</v>
      </c>
      <c r="D46" s="86">
        <v>40.387447833428773</v>
      </c>
      <c r="E46" s="86">
        <v>39.132864563518531</v>
      </c>
      <c r="F46" s="44"/>
      <c r="G46" s="150">
        <v>97.394115066290851</v>
      </c>
      <c r="H46" s="151">
        <v>-3.1063692736529447</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07">
        <v>23</v>
      </c>
    </row>
    <row r="62" spans="1:9" ht="12.75" customHeight="1" x14ac:dyDescent="0.2">
      <c r="A62" s="161" t="s">
        <v>240</v>
      </c>
      <c r="G62" s="162"/>
      <c r="H62" s="208"/>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zoomScaleSheetLayoutView="5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2020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5">
        <v>1</v>
      </c>
      <c r="I61" s="77"/>
    </row>
    <row r="62" spans="1:14" ht="12.75" customHeight="1" x14ac:dyDescent="0.2">
      <c r="B62" s="54" t="str">
        <f>+B124</f>
        <v>Skadestatistikk for landbasert forsikring 1. kvartal 2020</v>
      </c>
      <c r="H62" s="196"/>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5">
        <v>2</v>
      </c>
      <c r="I123"/>
      <c r="J123" s="69"/>
      <c r="K123" s="69"/>
      <c r="L123" s="69"/>
    </row>
    <row r="124" spans="2:13" ht="12.75" customHeight="1" x14ac:dyDescent="0.2">
      <c r="B124" s="54" t="str">
        <f>"Skadestatistikk for landbasert forsikring 1. kvartal 2020"</f>
        <v>Skadestatistikk for landbasert forsikring 1. kvartal 2020</v>
      </c>
      <c r="H124" s="196"/>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61</v>
      </c>
      <c r="B7" s="19" t="s">
        <v>3</v>
      </c>
      <c r="C7" s="20">
        <v>333492</v>
      </c>
      <c r="D7" s="20">
        <v>351332</v>
      </c>
      <c r="E7" s="79">
        <v>699122.58631924214</v>
      </c>
      <c r="F7" s="22" t="s">
        <v>237</v>
      </c>
      <c r="G7" s="23">
        <v>109.63698868915662</v>
      </c>
      <c r="H7" s="24">
        <v>98.992003665832357</v>
      </c>
    </row>
    <row r="8" spans="1:8" x14ac:dyDescent="0.2">
      <c r="A8" s="201"/>
      <c r="B8" s="25" t="s">
        <v>238</v>
      </c>
      <c r="C8" s="26">
        <v>76206</v>
      </c>
      <c r="D8" s="26">
        <v>81899</v>
      </c>
      <c r="E8" s="26">
        <v>161886</v>
      </c>
      <c r="F8" s="27"/>
      <c r="G8" s="28">
        <v>112.43209196126293</v>
      </c>
      <c r="H8" s="29">
        <v>97.665417160160672</v>
      </c>
    </row>
    <row r="9" spans="1:8" x14ac:dyDescent="0.2">
      <c r="A9" s="30" t="s">
        <v>62</v>
      </c>
      <c r="B9" s="31" t="s">
        <v>3</v>
      </c>
      <c r="C9" s="20">
        <v>93851</v>
      </c>
      <c r="D9" s="20">
        <v>103744</v>
      </c>
      <c r="E9" s="21">
        <v>107896.37312411929</v>
      </c>
      <c r="F9" s="22" t="s">
        <v>237</v>
      </c>
      <c r="G9" s="32">
        <v>14.96560838362862</v>
      </c>
      <c r="H9" s="33">
        <v>4.0025188195165811</v>
      </c>
    </row>
    <row r="10" spans="1:8" x14ac:dyDescent="0.2">
      <c r="A10" s="34"/>
      <c r="B10" s="25" t="s">
        <v>238</v>
      </c>
      <c r="C10" s="26">
        <v>19256</v>
      </c>
      <c r="D10" s="26">
        <v>21029</v>
      </c>
      <c r="E10" s="26">
        <v>21959</v>
      </c>
      <c r="F10" s="27"/>
      <c r="G10" s="35">
        <v>14.037183215621113</v>
      </c>
      <c r="H10" s="29">
        <v>4.4224642160825454</v>
      </c>
    </row>
    <row r="11" spans="1:8" x14ac:dyDescent="0.2">
      <c r="A11" s="30" t="s">
        <v>47</v>
      </c>
      <c r="B11" s="31" t="s">
        <v>3</v>
      </c>
      <c r="C11" s="20">
        <v>11771</v>
      </c>
      <c r="D11" s="20">
        <v>12745</v>
      </c>
      <c r="E11" s="21">
        <v>13270.844248908443</v>
      </c>
      <c r="F11" s="22" t="s">
        <v>237</v>
      </c>
      <c r="G11" s="37">
        <v>12.741859221038496</v>
      </c>
      <c r="H11" s="33">
        <v>4.1258866136401906</v>
      </c>
    </row>
    <row r="12" spans="1:8" x14ac:dyDescent="0.2">
      <c r="A12" s="34"/>
      <c r="B12" s="25" t="s">
        <v>238</v>
      </c>
      <c r="C12" s="26">
        <v>3151</v>
      </c>
      <c r="D12" s="26">
        <v>3358</v>
      </c>
      <c r="E12" s="26">
        <v>3515</v>
      </c>
      <c r="F12" s="27"/>
      <c r="G12" s="28">
        <v>11.551888289431929</v>
      </c>
      <c r="H12" s="29">
        <v>4.6754020250148898</v>
      </c>
    </row>
    <row r="13" spans="1:8" x14ac:dyDescent="0.2">
      <c r="A13" s="30" t="s">
        <v>48</v>
      </c>
      <c r="B13" s="31" t="s">
        <v>3</v>
      </c>
      <c r="C13" s="20">
        <v>97865</v>
      </c>
      <c r="D13" s="20">
        <v>103618</v>
      </c>
      <c r="E13" s="21">
        <v>161025.3441169092</v>
      </c>
      <c r="F13" s="22" t="s">
        <v>237</v>
      </c>
      <c r="G13" s="23">
        <v>64.538235443630697</v>
      </c>
      <c r="H13" s="24">
        <v>55.402868340355155</v>
      </c>
    </row>
    <row r="14" spans="1:8" x14ac:dyDescent="0.2">
      <c r="A14" s="34"/>
      <c r="B14" s="25" t="s">
        <v>238</v>
      </c>
      <c r="C14" s="26">
        <v>24096</v>
      </c>
      <c r="D14" s="26">
        <v>26196</v>
      </c>
      <c r="E14" s="26">
        <v>40349</v>
      </c>
      <c r="F14" s="27"/>
      <c r="G14" s="38">
        <v>67.451029216467475</v>
      </c>
      <c r="H14" s="24">
        <v>54.027332417162938</v>
      </c>
    </row>
    <row r="15" spans="1:8" x14ac:dyDescent="0.2">
      <c r="A15" s="30" t="s">
        <v>49</v>
      </c>
      <c r="B15" s="31" t="s">
        <v>3</v>
      </c>
      <c r="C15" s="20">
        <v>84267</v>
      </c>
      <c r="D15" s="20">
        <v>86209</v>
      </c>
      <c r="E15" s="21">
        <v>336988.61726453243</v>
      </c>
      <c r="F15" s="22" t="s">
        <v>237</v>
      </c>
      <c r="G15" s="37">
        <v>299.90579617707101</v>
      </c>
      <c r="H15" s="33">
        <v>290.89725813375912</v>
      </c>
    </row>
    <row r="16" spans="1:8" x14ac:dyDescent="0.2">
      <c r="A16" s="34"/>
      <c r="B16" s="25" t="s">
        <v>238</v>
      </c>
      <c r="C16" s="26">
        <v>19884</v>
      </c>
      <c r="D16" s="26">
        <v>20379</v>
      </c>
      <c r="E16" s="26">
        <v>79613</v>
      </c>
      <c r="F16" s="27"/>
      <c r="G16" s="28">
        <v>300.38724602695635</v>
      </c>
      <c r="H16" s="29">
        <v>290.66195593503113</v>
      </c>
    </row>
    <row r="17" spans="1:9" x14ac:dyDescent="0.2">
      <c r="A17" s="30" t="s">
        <v>50</v>
      </c>
      <c r="B17" s="31" t="s">
        <v>3</v>
      </c>
      <c r="C17" s="20">
        <v>58846</v>
      </c>
      <c r="D17" s="20">
        <v>59651</v>
      </c>
      <c r="E17" s="21">
        <v>86690.298966321061</v>
      </c>
      <c r="F17" s="22" t="s">
        <v>237</v>
      </c>
      <c r="G17" s="37">
        <v>47.317233059717012</v>
      </c>
      <c r="H17" s="33">
        <v>45.329162908117326</v>
      </c>
    </row>
    <row r="18" spans="1:9" ht="13.5" thickBot="1" x14ac:dyDescent="0.25">
      <c r="A18" s="56"/>
      <c r="B18" s="42" t="s">
        <v>238</v>
      </c>
      <c r="C18" s="43">
        <v>12287</v>
      </c>
      <c r="D18" s="43">
        <v>14021</v>
      </c>
      <c r="E18" s="43">
        <v>19557</v>
      </c>
      <c r="F18" s="44"/>
      <c r="G18" s="57">
        <v>59.168226580939205</v>
      </c>
      <c r="H18" s="46">
        <v>39.483631695314159</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61</v>
      </c>
      <c r="B35" s="19" t="s">
        <v>3</v>
      </c>
      <c r="C35" s="80">
        <v>2198.8611608924539</v>
      </c>
      <c r="D35" s="80">
        <v>2298.9281077959999</v>
      </c>
      <c r="E35" s="81">
        <v>4660.7622381758865</v>
      </c>
      <c r="F35" s="22" t="s">
        <v>237</v>
      </c>
      <c r="G35" s="23">
        <v>111.9625523006745</v>
      </c>
      <c r="H35" s="24">
        <v>102.73631969484228</v>
      </c>
    </row>
    <row r="36" spans="1:9" ht="12.75" customHeight="1" x14ac:dyDescent="0.2">
      <c r="A36" s="201"/>
      <c r="B36" s="25" t="s">
        <v>238</v>
      </c>
      <c r="C36" s="82">
        <v>567.076050579347</v>
      </c>
      <c r="D36" s="82">
        <v>669.81500735484826</v>
      </c>
      <c r="E36" s="82">
        <v>1301.6575039202255</v>
      </c>
      <c r="F36" s="27"/>
      <c r="G36" s="28">
        <v>129.53843714443619</v>
      </c>
      <c r="H36" s="29">
        <v>94.330895788760046</v>
      </c>
    </row>
    <row r="37" spans="1:9" x14ac:dyDescent="0.2">
      <c r="A37" s="30" t="s">
        <v>62</v>
      </c>
      <c r="B37" s="31" t="s">
        <v>3</v>
      </c>
      <c r="C37" s="80">
        <v>322.95153879669886</v>
      </c>
      <c r="D37" s="80">
        <v>340.69064907730865</v>
      </c>
      <c r="E37" s="83">
        <v>439.29896205102619</v>
      </c>
      <c r="F37" s="22" t="s">
        <v>237</v>
      </c>
      <c r="G37" s="32">
        <v>36.026279264013397</v>
      </c>
      <c r="H37" s="33">
        <v>28.943651151206552</v>
      </c>
    </row>
    <row r="38" spans="1:9" x14ac:dyDescent="0.2">
      <c r="A38" s="34"/>
      <c r="B38" s="25" t="s">
        <v>238</v>
      </c>
      <c r="C38" s="82">
        <v>68.787753947288806</v>
      </c>
      <c r="D38" s="82">
        <v>78.978501291833453</v>
      </c>
      <c r="E38" s="82">
        <v>98.923930995481925</v>
      </c>
      <c r="F38" s="27"/>
      <c r="G38" s="35">
        <v>43.810380945547507</v>
      </c>
      <c r="H38" s="29">
        <v>25.254251951360928</v>
      </c>
    </row>
    <row r="39" spans="1:9" x14ac:dyDescent="0.2">
      <c r="A39" s="30" t="s">
        <v>47</v>
      </c>
      <c r="B39" s="31" t="s">
        <v>3</v>
      </c>
      <c r="C39" s="80">
        <v>210.41494721508863</v>
      </c>
      <c r="D39" s="80">
        <v>228.75983207302212</v>
      </c>
      <c r="E39" s="83">
        <v>360.49540823465105</v>
      </c>
      <c r="F39" s="22" t="s">
        <v>237</v>
      </c>
      <c r="G39" s="37">
        <v>71.325950464036367</v>
      </c>
      <c r="H39" s="33">
        <v>57.58684772927171</v>
      </c>
    </row>
    <row r="40" spans="1:9" x14ac:dyDescent="0.2">
      <c r="A40" s="34"/>
      <c r="B40" s="25" t="s">
        <v>238</v>
      </c>
      <c r="C40" s="82">
        <v>72.666748242082718</v>
      </c>
      <c r="D40" s="82">
        <v>100.31444657792198</v>
      </c>
      <c r="E40" s="82">
        <v>145.03996602354559</v>
      </c>
      <c r="F40" s="27"/>
      <c r="G40" s="28">
        <v>99.596059452609637</v>
      </c>
      <c r="H40" s="29">
        <v>44.585322425002715</v>
      </c>
    </row>
    <row r="41" spans="1:9" x14ac:dyDescent="0.2">
      <c r="A41" s="30" t="s">
        <v>48</v>
      </c>
      <c r="B41" s="31" t="s">
        <v>3</v>
      </c>
      <c r="C41" s="80">
        <v>1026.8400479912539</v>
      </c>
      <c r="D41" s="80">
        <v>1066.8003560881793</v>
      </c>
      <c r="E41" s="83">
        <v>1353.3370167161386</v>
      </c>
      <c r="F41" s="22" t="s">
        <v>237</v>
      </c>
      <c r="G41" s="23">
        <v>31.79628310792819</v>
      </c>
      <c r="H41" s="24">
        <v>26.859445536618736</v>
      </c>
    </row>
    <row r="42" spans="1:9" x14ac:dyDescent="0.2">
      <c r="A42" s="34"/>
      <c r="B42" s="25" t="s">
        <v>238</v>
      </c>
      <c r="C42" s="82">
        <v>270.22665442241816</v>
      </c>
      <c r="D42" s="82">
        <v>317.80348779972951</v>
      </c>
      <c r="E42" s="82">
        <v>386.17097990477231</v>
      </c>
      <c r="F42" s="27"/>
      <c r="G42" s="38">
        <v>42.906324592654727</v>
      </c>
      <c r="H42" s="24">
        <v>21.512505283807968</v>
      </c>
    </row>
    <row r="43" spans="1:9" x14ac:dyDescent="0.2">
      <c r="A43" s="30" t="s">
        <v>49</v>
      </c>
      <c r="B43" s="31" t="s">
        <v>3</v>
      </c>
      <c r="C43" s="80">
        <v>482.04813965634258</v>
      </c>
      <c r="D43" s="80">
        <v>496.37535018128114</v>
      </c>
      <c r="E43" s="83">
        <v>2276.9215697774316</v>
      </c>
      <c r="F43" s="22" t="s">
        <v>237</v>
      </c>
      <c r="G43" s="37">
        <v>372.34319198922208</v>
      </c>
      <c r="H43" s="33">
        <v>358.70963756477386</v>
      </c>
    </row>
    <row r="44" spans="1:9" x14ac:dyDescent="0.2">
      <c r="A44" s="34"/>
      <c r="B44" s="25" t="s">
        <v>238</v>
      </c>
      <c r="C44" s="82">
        <v>116.62400839527619</v>
      </c>
      <c r="D44" s="82">
        <v>129.0513817796554</v>
      </c>
      <c r="E44" s="82">
        <v>577.60419330408092</v>
      </c>
      <c r="F44" s="27"/>
      <c r="G44" s="28">
        <v>395.27040036764555</v>
      </c>
      <c r="H44" s="29">
        <v>347.57691497661955</v>
      </c>
    </row>
    <row r="45" spans="1:9" x14ac:dyDescent="0.2">
      <c r="A45" s="30" t="s">
        <v>50</v>
      </c>
      <c r="B45" s="31" t="s">
        <v>3</v>
      </c>
      <c r="C45" s="80">
        <v>156.6064872330698</v>
      </c>
      <c r="D45" s="80">
        <v>166.30192037620887</v>
      </c>
      <c r="E45" s="83">
        <v>364.90665047416263</v>
      </c>
      <c r="F45" s="22" t="s">
        <v>237</v>
      </c>
      <c r="G45" s="37">
        <v>133.00864282275219</v>
      </c>
      <c r="H45" s="33">
        <v>119.42419525202675</v>
      </c>
    </row>
    <row r="46" spans="1:9" ht="13.5" thickBot="1" x14ac:dyDescent="0.25">
      <c r="A46" s="56"/>
      <c r="B46" s="42" t="s">
        <v>238</v>
      </c>
      <c r="C46" s="86">
        <v>38.770885572281117</v>
      </c>
      <c r="D46" s="86">
        <v>43.667189905707865</v>
      </c>
      <c r="E46" s="86">
        <v>93.918433692344976</v>
      </c>
      <c r="F46" s="44"/>
      <c r="G46" s="57">
        <v>142.23958856253489</v>
      </c>
      <c r="H46" s="46">
        <v>115.077805315951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3">
        <v>24</v>
      </c>
    </row>
    <row r="62" spans="1:9"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51</v>
      </c>
      <c r="B7" s="19" t="s">
        <v>3</v>
      </c>
      <c r="C7" s="20">
        <v>12077.194513715711</v>
      </c>
      <c r="D7" s="20">
        <v>10785.192019950126</v>
      </c>
      <c r="E7" s="79">
        <v>11922.149727491174</v>
      </c>
      <c r="F7" s="22" t="s">
        <v>237</v>
      </c>
      <c r="G7" s="23">
        <v>-1.2837814779620942</v>
      </c>
      <c r="H7" s="24">
        <v>10.541840195686248</v>
      </c>
    </row>
    <row r="8" spans="1:8" x14ac:dyDescent="0.2">
      <c r="A8" s="201"/>
      <c r="B8" s="25" t="s">
        <v>238</v>
      </c>
      <c r="C8" s="26">
        <v>1085.2063591022443</v>
      </c>
      <c r="D8" s="26">
        <v>1566.1477556109726</v>
      </c>
      <c r="E8" s="26">
        <v>1436.2980049875312</v>
      </c>
      <c r="F8" s="27"/>
      <c r="G8" s="28">
        <v>32.352523825582239</v>
      </c>
      <c r="H8" s="29">
        <v>-8.2910281075482288</v>
      </c>
    </row>
    <row r="9" spans="1:8" x14ac:dyDescent="0.2">
      <c r="A9" s="30" t="s">
        <v>12</v>
      </c>
      <c r="B9" s="31" t="s">
        <v>3</v>
      </c>
      <c r="C9" s="20">
        <v>316.09050000000002</v>
      </c>
      <c r="D9" s="20">
        <v>308.33100000000002</v>
      </c>
      <c r="E9" s="21">
        <v>464.22386322674868</v>
      </c>
      <c r="F9" s="22" t="s">
        <v>237</v>
      </c>
      <c r="G9" s="32">
        <v>46.864225032624717</v>
      </c>
      <c r="H9" s="33">
        <v>50.560230150957466</v>
      </c>
    </row>
    <row r="10" spans="1:8" x14ac:dyDescent="0.2">
      <c r="A10" s="34"/>
      <c r="B10" s="25" t="s">
        <v>238</v>
      </c>
      <c r="C10" s="26">
        <v>21.248875000000002</v>
      </c>
      <c r="D10" s="26">
        <v>37.286625000000001</v>
      </c>
      <c r="E10" s="26">
        <v>44.332750000000004</v>
      </c>
      <c r="F10" s="27"/>
      <c r="G10" s="35">
        <v>108.63575130448083</v>
      </c>
      <c r="H10" s="29">
        <v>18.897191687367808</v>
      </c>
    </row>
    <row r="11" spans="1:8" x14ac:dyDescent="0.2">
      <c r="A11" s="30" t="s">
        <v>18</v>
      </c>
      <c r="B11" s="31" t="s">
        <v>3</v>
      </c>
      <c r="C11" s="20">
        <v>259.43619999999999</v>
      </c>
      <c r="D11" s="20">
        <v>294.5324</v>
      </c>
      <c r="E11" s="21">
        <v>195.40650788951643</v>
      </c>
      <c r="F11" s="22" t="s">
        <v>237</v>
      </c>
      <c r="G11" s="37">
        <v>-24.680322989036824</v>
      </c>
      <c r="H11" s="33">
        <v>-33.655343897813466</v>
      </c>
    </row>
    <row r="12" spans="1:8" x14ac:dyDescent="0.2">
      <c r="A12" s="34"/>
      <c r="B12" s="25" t="s">
        <v>238</v>
      </c>
      <c r="C12" s="26">
        <v>21.099550000000001</v>
      </c>
      <c r="D12" s="26">
        <v>58.114649999999997</v>
      </c>
      <c r="E12" s="26">
        <v>26.133099999999999</v>
      </c>
      <c r="F12" s="27"/>
      <c r="G12" s="28">
        <v>23.856195985222413</v>
      </c>
      <c r="H12" s="29">
        <v>-55.03182071990453</v>
      </c>
    </row>
    <row r="13" spans="1:8" x14ac:dyDescent="0.2">
      <c r="A13" s="30" t="s">
        <v>63</v>
      </c>
      <c r="B13" s="31" t="s">
        <v>3</v>
      </c>
      <c r="C13" s="20">
        <v>1273.089375</v>
      </c>
      <c r="D13" s="20">
        <v>1188.99125</v>
      </c>
      <c r="E13" s="21">
        <v>1597.1441903771304</v>
      </c>
      <c r="F13" s="22" t="s">
        <v>237</v>
      </c>
      <c r="G13" s="23">
        <v>25.454207830234267</v>
      </c>
      <c r="H13" s="24">
        <v>34.327665605371806</v>
      </c>
    </row>
    <row r="14" spans="1:8" x14ac:dyDescent="0.2">
      <c r="A14" s="34"/>
      <c r="B14" s="25" t="s">
        <v>238</v>
      </c>
      <c r="C14" s="26">
        <v>120.93328124999999</v>
      </c>
      <c r="D14" s="26">
        <v>144.07484375000001</v>
      </c>
      <c r="E14" s="26">
        <v>177.24781250000001</v>
      </c>
      <c r="F14" s="27"/>
      <c r="G14" s="38">
        <v>46.56661149678348</v>
      </c>
      <c r="H14" s="24">
        <v>23.02481674563677</v>
      </c>
    </row>
    <row r="15" spans="1:8" x14ac:dyDescent="0.2">
      <c r="A15" s="30" t="s">
        <v>52</v>
      </c>
      <c r="B15" s="31" t="s">
        <v>3</v>
      </c>
      <c r="C15" s="20">
        <v>6422.0837499999998</v>
      </c>
      <c r="D15" s="20">
        <v>5801.2924999999996</v>
      </c>
      <c r="E15" s="21">
        <v>6711.3469137385264</v>
      </c>
      <c r="F15" s="22" t="s">
        <v>237</v>
      </c>
      <c r="G15" s="37">
        <v>4.5041948221015815</v>
      </c>
      <c r="H15" s="33">
        <v>15.687097551770179</v>
      </c>
    </row>
    <row r="16" spans="1:8" x14ac:dyDescent="0.2">
      <c r="A16" s="34"/>
      <c r="B16" s="25" t="s">
        <v>238</v>
      </c>
      <c r="C16" s="26">
        <v>562.35531250000008</v>
      </c>
      <c r="D16" s="26">
        <v>738.01593750000006</v>
      </c>
      <c r="E16" s="26">
        <v>741.823125</v>
      </c>
      <c r="F16" s="27"/>
      <c r="G16" s="28">
        <v>31.913597775427775</v>
      </c>
      <c r="H16" s="29">
        <v>0.51586792460018671</v>
      </c>
    </row>
    <row r="17" spans="1:9" x14ac:dyDescent="0.2">
      <c r="A17" s="30" t="s">
        <v>50</v>
      </c>
      <c r="B17" s="31" t="s">
        <v>3</v>
      </c>
      <c r="C17" s="20">
        <v>4497.4525000000003</v>
      </c>
      <c r="D17" s="20">
        <v>3958.6549999999997</v>
      </c>
      <c r="E17" s="21">
        <v>3918.3413899330135</v>
      </c>
      <c r="F17" s="22" t="s">
        <v>237</v>
      </c>
      <c r="G17" s="37">
        <v>-12.876425266681238</v>
      </c>
      <c r="H17" s="33">
        <v>-1.0183663407643877</v>
      </c>
    </row>
    <row r="18" spans="1:9" ht="13.5" thickBot="1" x14ac:dyDescent="0.25">
      <c r="A18" s="56"/>
      <c r="B18" s="42" t="s">
        <v>238</v>
      </c>
      <c r="C18" s="43">
        <v>395.24437499999999</v>
      </c>
      <c r="D18" s="43">
        <v>629.43312500000002</v>
      </c>
      <c r="E18" s="43">
        <v>490.66374999999999</v>
      </c>
      <c r="F18" s="44"/>
      <c r="G18" s="57">
        <v>24.141867926646654</v>
      </c>
      <c r="H18" s="46">
        <v>-22.04672259662216</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51</v>
      </c>
      <c r="B35" s="19" t="s">
        <v>3</v>
      </c>
      <c r="C35" s="80">
        <v>540.69659437321707</v>
      </c>
      <c r="D35" s="80">
        <v>506.53855755591945</v>
      </c>
      <c r="E35" s="81">
        <v>522.40728244912555</v>
      </c>
      <c r="F35" s="22" t="s">
        <v>237</v>
      </c>
      <c r="G35" s="23">
        <v>-3.3825461662640492</v>
      </c>
      <c r="H35" s="24">
        <v>3.1327772894078834</v>
      </c>
    </row>
    <row r="36" spans="1:9" ht="12.75" customHeight="1" x14ac:dyDescent="0.2">
      <c r="A36" s="201"/>
      <c r="B36" s="25" t="s">
        <v>238</v>
      </c>
      <c r="C36" s="82">
        <v>52.283765475558774</v>
      </c>
      <c r="D36" s="82">
        <v>77.155455798829578</v>
      </c>
      <c r="E36" s="82">
        <v>66.770091924013812</v>
      </c>
      <c r="F36" s="27"/>
      <c r="G36" s="28">
        <v>27.707121544692484</v>
      </c>
      <c r="H36" s="29">
        <v>-13.460310443753869</v>
      </c>
    </row>
    <row r="37" spans="1:9" x14ac:dyDescent="0.2">
      <c r="A37" s="30" t="s">
        <v>12</v>
      </c>
      <c r="B37" s="31" t="s">
        <v>3</v>
      </c>
      <c r="C37" s="80">
        <v>4.6908872103842141</v>
      </c>
      <c r="D37" s="80">
        <v>7.1079572424110653</v>
      </c>
      <c r="E37" s="83">
        <v>2.6553409176704479</v>
      </c>
      <c r="F37" s="22" t="s">
        <v>237</v>
      </c>
      <c r="G37" s="32">
        <v>-43.39363112819423</v>
      </c>
      <c r="H37" s="33">
        <v>-62.642699905018858</v>
      </c>
    </row>
    <row r="38" spans="1:9" x14ac:dyDescent="0.2">
      <c r="A38" s="34"/>
      <c r="B38" s="25" t="s">
        <v>238</v>
      </c>
      <c r="C38" s="82">
        <v>1.1956721693096446</v>
      </c>
      <c r="D38" s="82">
        <v>1.1269638435953937</v>
      </c>
      <c r="E38" s="82">
        <v>0.48169245248015191</v>
      </c>
      <c r="F38" s="27"/>
      <c r="G38" s="35">
        <v>-59.713668608823539</v>
      </c>
      <c r="H38" s="29">
        <v>-57.257506066619584</v>
      </c>
    </row>
    <row r="39" spans="1:9" x14ac:dyDescent="0.2">
      <c r="A39" s="30" t="s">
        <v>18</v>
      </c>
      <c r="B39" s="31" t="s">
        <v>3</v>
      </c>
      <c r="C39" s="80">
        <v>30.739915328211765</v>
      </c>
      <c r="D39" s="80">
        <v>27.304542334659359</v>
      </c>
      <c r="E39" s="83">
        <v>21.490984645264952</v>
      </c>
      <c r="F39" s="22" t="s">
        <v>237</v>
      </c>
      <c r="G39" s="37">
        <v>-30.087690822162244</v>
      </c>
      <c r="H39" s="33">
        <v>-21.29154049952669</v>
      </c>
    </row>
    <row r="40" spans="1:9" x14ac:dyDescent="0.2">
      <c r="A40" s="34"/>
      <c r="B40" s="25" t="s">
        <v>238</v>
      </c>
      <c r="C40" s="82">
        <v>2.4898186204512167</v>
      </c>
      <c r="D40" s="82">
        <v>3.3911770479404892</v>
      </c>
      <c r="E40" s="82">
        <v>2.2662220994929201</v>
      </c>
      <c r="F40" s="27"/>
      <c r="G40" s="28">
        <v>-8.980434121654028</v>
      </c>
      <c r="H40" s="29">
        <v>-33.172993699363786</v>
      </c>
    </row>
    <row r="41" spans="1:9" x14ac:dyDescent="0.2">
      <c r="A41" s="30" t="s">
        <v>63</v>
      </c>
      <c r="B41" s="31" t="s">
        <v>3</v>
      </c>
      <c r="C41" s="80">
        <v>59.013278673136298</v>
      </c>
      <c r="D41" s="80">
        <v>61.887289375612987</v>
      </c>
      <c r="E41" s="83">
        <v>92.76963964700758</v>
      </c>
      <c r="F41" s="22" t="s">
        <v>237</v>
      </c>
      <c r="G41" s="23">
        <v>57.201297289109391</v>
      </c>
      <c r="H41" s="24">
        <v>49.900957988255243</v>
      </c>
    </row>
    <row r="42" spans="1:9" x14ac:dyDescent="0.2">
      <c r="A42" s="34"/>
      <c r="B42" s="25" t="s">
        <v>238</v>
      </c>
      <c r="C42" s="82">
        <v>5.6928788141476758</v>
      </c>
      <c r="D42" s="82">
        <v>6.7969593824296739</v>
      </c>
      <c r="E42" s="82">
        <v>9.7391024919037488</v>
      </c>
      <c r="F42" s="27"/>
      <c r="G42" s="38">
        <v>71.075176722550054</v>
      </c>
      <c r="H42" s="24">
        <v>43.286165827025457</v>
      </c>
    </row>
    <row r="43" spans="1:9" x14ac:dyDescent="0.2">
      <c r="A43" s="30" t="s">
        <v>52</v>
      </c>
      <c r="B43" s="31" t="s">
        <v>3</v>
      </c>
      <c r="C43" s="80">
        <v>294.63609474175274</v>
      </c>
      <c r="D43" s="80">
        <v>277.98505848710892</v>
      </c>
      <c r="E43" s="83">
        <v>293.75449618365479</v>
      </c>
      <c r="F43" s="22" t="s">
        <v>237</v>
      </c>
      <c r="G43" s="37">
        <v>-0.29921607495873559</v>
      </c>
      <c r="H43" s="33">
        <v>5.6727644940230277</v>
      </c>
    </row>
    <row r="44" spans="1:9" x14ac:dyDescent="0.2">
      <c r="A44" s="34"/>
      <c r="B44" s="25" t="s">
        <v>238</v>
      </c>
      <c r="C44" s="82">
        <v>28.37622764873732</v>
      </c>
      <c r="D44" s="82">
        <v>41.997639198386025</v>
      </c>
      <c r="E44" s="82">
        <v>37.307954548259495</v>
      </c>
      <c r="F44" s="27"/>
      <c r="G44" s="28">
        <v>31.476089810407245</v>
      </c>
      <c r="H44" s="29">
        <v>-11.16654350015645</v>
      </c>
    </row>
    <row r="45" spans="1:9" x14ac:dyDescent="0.2">
      <c r="A45" s="30" t="s">
        <v>50</v>
      </c>
      <c r="B45" s="31" t="s">
        <v>3</v>
      </c>
      <c r="C45" s="80">
        <v>151.61641841973207</v>
      </c>
      <c r="D45" s="80">
        <v>132.25371011612714</v>
      </c>
      <c r="E45" s="83">
        <v>121.82002101403604</v>
      </c>
      <c r="F45" s="22" t="s">
        <v>237</v>
      </c>
      <c r="G45" s="37">
        <v>-19.652487320474904</v>
      </c>
      <c r="H45" s="33">
        <v>-7.889146620483956</v>
      </c>
    </row>
    <row r="46" spans="1:9" ht="13.5" thickBot="1" x14ac:dyDescent="0.25">
      <c r="A46" s="56"/>
      <c r="B46" s="42" t="s">
        <v>238</v>
      </c>
      <c r="C46" s="86">
        <v>14.529168222912906</v>
      </c>
      <c r="D46" s="86">
        <v>23.842716326478005</v>
      </c>
      <c r="E46" s="86">
        <v>16.975120331877509</v>
      </c>
      <c r="F46" s="44"/>
      <c r="G46" s="57">
        <v>16.834770383532799</v>
      </c>
      <c r="H46" s="46">
        <v>-28.803748283385971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5">
        <v>25</v>
      </c>
    </row>
    <row r="62" spans="1:9"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ht="12.75" customHeight="1" x14ac:dyDescent="0.2">
      <c r="A7" s="200" t="s">
        <v>64</v>
      </c>
      <c r="B7" s="19" t="s">
        <v>3</v>
      </c>
      <c r="C7" s="20">
        <v>11145.096</v>
      </c>
      <c r="D7" s="20">
        <v>11204.776</v>
      </c>
      <c r="E7" s="79">
        <v>15988.29942581322</v>
      </c>
      <c r="F7" s="22" t="s">
        <v>237</v>
      </c>
      <c r="G7" s="23">
        <v>43.455914832974258</v>
      </c>
      <c r="H7" s="24">
        <v>42.691825573427082</v>
      </c>
    </row>
    <row r="8" spans="1:8" ht="12.75" customHeight="1" x14ac:dyDescent="0.2">
      <c r="A8" s="201"/>
      <c r="B8" s="25" t="s">
        <v>238</v>
      </c>
      <c r="C8" s="26">
        <v>2556.018</v>
      </c>
      <c r="D8" s="26">
        <v>3033.5280000000002</v>
      </c>
      <c r="E8" s="26">
        <v>4082.944</v>
      </c>
      <c r="F8" s="27"/>
      <c r="G8" s="28">
        <v>59.738468195450906</v>
      </c>
      <c r="H8" s="29">
        <v>34.593911775332202</v>
      </c>
    </row>
    <row r="9" spans="1:8" x14ac:dyDescent="0.2">
      <c r="A9" s="30" t="s">
        <v>53</v>
      </c>
      <c r="B9" s="31" t="s">
        <v>3</v>
      </c>
      <c r="C9" s="20">
        <v>3.13096</v>
      </c>
      <c r="D9" s="20">
        <v>6.1577599999999997</v>
      </c>
      <c r="E9" s="21">
        <v>122.00205285405818</v>
      </c>
      <c r="F9" s="22" t="s">
        <v>237</v>
      </c>
      <c r="G9" s="32">
        <v>3796.6340309061175</v>
      </c>
      <c r="H9" s="33">
        <v>1881.2732690793111</v>
      </c>
    </row>
    <row r="10" spans="1:8" x14ac:dyDescent="0.2">
      <c r="A10" s="34"/>
      <c r="B10" s="25" t="s">
        <v>238</v>
      </c>
      <c r="C10" s="26">
        <v>1.0301800000000001</v>
      </c>
      <c r="D10" s="26">
        <v>3.5279999999999992E-2</v>
      </c>
      <c r="E10" s="26">
        <v>1.0394399999999999</v>
      </c>
      <c r="F10" s="27"/>
      <c r="G10" s="35">
        <v>0.89887204177910007</v>
      </c>
      <c r="H10" s="29">
        <v>2846.2585034013609</v>
      </c>
    </row>
    <row r="11" spans="1:8" x14ac:dyDescent="0.2">
      <c r="A11" s="30" t="s">
        <v>54</v>
      </c>
      <c r="B11" s="31" t="s">
        <v>3</v>
      </c>
      <c r="C11" s="20">
        <v>955.65480000000002</v>
      </c>
      <c r="D11" s="20">
        <v>845.78880000000004</v>
      </c>
      <c r="E11" s="21">
        <v>1331.7470700095373</v>
      </c>
      <c r="F11" s="22" t="s">
        <v>237</v>
      </c>
      <c r="G11" s="37">
        <v>39.354406006178948</v>
      </c>
      <c r="H11" s="33">
        <v>57.456219567998204</v>
      </c>
    </row>
    <row r="12" spans="1:8" x14ac:dyDescent="0.2">
      <c r="A12" s="34"/>
      <c r="B12" s="25" t="s">
        <v>238</v>
      </c>
      <c r="C12" s="26">
        <v>164.15090000000001</v>
      </c>
      <c r="D12" s="26">
        <v>192.1764</v>
      </c>
      <c r="E12" s="26">
        <v>273.19720000000001</v>
      </c>
      <c r="F12" s="27"/>
      <c r="G12" s="28">
        <v>66.430522159793213</v>
      </c>
      <c r="H12" s="29">
        <v>42.159599201566891</v>
      </c>
    </row>
    <row r="13" spans="1:8" x14ac:dyDescent="0.2">
      <c r="A13" s="30" t="s">
        <v>66</v>
      </c>
      <c r="B13" s="31" t="s">
        <v>3</v>
      </c>
      <c r="C13" s="20">
        <v>56.261920000000003</v>
      </c>
      <c r="D13" s="20">
        <v>99.315520000000006</v>
      </c>
      <c r="E13" s="21">
        <v>121.94921584612422</v>
      </c>
      <c r="F13" s="22" t="s">
        <v>237</v>
      </c>
      <c r="G13" s="23">
        <v>116.75267364875603</v>
      </c>
      <c r="H13" s="24">
        <v>22.789686693604594</v>
      </c>
    </row>
    <row r="14" spans="1:8" x14ac:dyDescent="0.2">
      <c r="A14" s="34"/>
      <c r="B14" s="25" t="s">
        <v>238</v>
      </c>
      <c r="C14" s="26">
        <v>11.060359999999999</v>
      </c>
      <c r="D14" s="26">
        <v>28.07056</v>
      </c>
      <c r="E14" s="26">
        <v>30.078879999999998</v>
      </c>
      <c r="F14" s="27"/>
      <c r="G14" s="38">
        <v>171.95208835878759</v>
      </c>
      <c r="H14" s="24">
        <v>7.1545419827748304</v>
      </c>
    </row>
    <row r="15" spans="1:8" x14ac:dyDescent="0.2">
      <c r="A15" s="30" t="s">
        <v>55</v>
      </c>
      <c r="B15" s="31" t="s">
        <v>3</v>
      </c>
      <c r="C15" s="20">
        <v>7916.4768000000004</v>
      </c>
      <c r="D15" s="20">
        <v>8441.6208000000006</v>
      </c>
      <c r="E15" s="21">
        <v>11059.274466645675</v>
      </c>
      <c r="F15" s="22" t="s">
        <v>237</v>
      </c>
      <c r="G15" s="37">
        <v>39.69944895999285</v>
      </c>
      <c r="H15" s="33">
        <v>31.008898985911259</v>
      </c>
    </row>
    <row r="16" spans="1:8" x14ac:dyDescent="0.2">
      <c r="A16" s="34"/>
      <c r="B16" s="25" t="s">
        <v>238</v>
      </c>
      <c r="C16" s="26">
        <v>1864.4144000000001</v>
      </c>
      <c r="D16" s="26">
        <v>2246.8224</v>
      </c>
      <c r="E16" s="26">
        <v>2821.1552000000001</v>
      </c>
      <c r="F16" s="27"/>
      <c r="G16" s="28">
        <v>51.315887712517139</v>
      </c>
      <c r="H16" s="29">
        <v>25.562002586408255</v>
      </c>
    </row>
    <row r="17" spans="1:9" x14ac:dyDescent="0.2">
      <c r="A17" s="30" t="s">
        <v>67</v>
      </c>
      <c r="B17" s="31" t="s">
        <v>3</v>
      </c>
      <c r="C17" s="20">
        <v>408.65480000000002</v>
      </c>
      <c r="D17" s="20">
        <v>858.78880000000004</v>
      </c>
      <c r="E17" s="21">
        <v>1538.4806687561634</v>
      </c>
      <c r="F17" s="22" t="s">
        <v>237</v>
      </c>
      <c r="G17" s="37">
        <v>276.47439079540072</v>
      </c>
      <c r="H17" s="33">
        <v>79.145404406317738</v>
      </c>
    </row>
    <row r="18" spans="1:9" x14ac:dyDescent="0.2">
      <c r="A18" s="30"/>
      <c r="B18" s="25" t="s">
        <v>238</v>
      </c>
      <c r="C18" s="26">
        <v>103.15090000000001</v>
      </c>
      <c r="D18" s="26">
        <v>119.1764</v>
      </c>
      <c r="E18" s="26">
        <v>251.19720000000001</v>
      </c>
      <c r="F18" s="27"/>
      <c r="G18" s="28">
        <v>143.52400221423176</v>
      </c>
      <c r="H18" s="29">
        <v>110.77763718320074</v>
      </c>
    </row>
    <row r="19" spans="1:9" x14ac:dyDescent="0.2">
      <c r="A19" s="39" t="s">
        <v>56</v>
      </c>
      <c r="B19" s="31" t="s">
        <v>3</v>
      </c>
      <c r="C19" s="20">
        <v>29.130960000000002</v>
      </c>
      <c r="D19" s="20">
        <v>94.157759999999996</v>
      </c>
      <c r="E19" s="21">
        <v>282.40805693502733</v>
      </c>
      <c r="F19" s="22" t="s">
        <v>237</v>
      </c>
      <c r="G19" s="23">
        <v>869.44301504319571</v>
      </c>
      <c r="H19" s="24">
        <v>199.9307300163336</v>
      </c>
    </row>
    <row r="20" spans="1:9" x14ac:dyDescent="0.2">
      <c r="A20" s="34"/>
      <c r="B20" s="25" t="s">
        <v>238</v>
      </c>
      <c r="C20" s="26">
        <v>1.0301800000000001</v>
      </c>
      <c r="D20" s="26">
        <v>27.03528</v>
      </c>
      <c r="E20" s="26">
        <v>24.039439999999999</v>
      </c>
      <c r="F20" s="27"/>
      <c r="G20" s="38">
        <v>2233.5184142577023</v>
      </c>
      <c r="H20" s="24">
        <v>-11.081224237366882</v>
      </c>
    </row>
    <row r="21" spans="1:9" x14ac:dyDescent="0.2">
      <c r="A21" s="39" t="s">
        <v>68</v>
      </c>
      <c r="B21" s="31" t="s">
        <v>3</v>
      </c>
      <c r="C21" s="20">
        <v>51.130960000000002</v>
      </c>
      <c r="D21" s="20">
        <v>11.15776</v>
      </c>
      <c r="E21" s="21">
        <v>47.890110140146383</v>
      </c>
      <c r="F21" s="22" t="s">
        <v>237</v>
      </c>
      <c r="G21" s="37">
        <v>-6.338331726714344</v>
      </c>
      <c r="H21" s="33">
        <v>329.2090001948992</v>
      </c>
    </row>
    <row r="22" spans="1:9" x14ac:dyDescent="0.2">
      <c r="A22" s="34"/>
      <c r="B22" s="25" t="s">
        <v>238</v>
      </c>
      <c r="C22" s="26">
        <v>9.0301799999999997</v>
      </c>
      <c r="D22" s="26">
        <v>3.0352800000000002</v>
      </c>
      <c r="E22" s="26">
        <v>11.039440000000001</v>
      </c>
      <c r="F22" s="27"/>
      <c r="G22" s="28">
        <v>22.250497775238159</v>
      </c>
      <c r="H22" s="29">
        <v>263.70417226746792</v>
      </c>
    </row>
    <row r="23" spans="1:9" x14ac:dyDescent="0.2">
      <c r="A23" s="30" t="s">
        <v>69</v>
      </c>
      <c r="B23" s="31" t="s">
        <v>3</v>
      </c>
      <c r="C23" s="20">
        <v>1746.6548</v>
      </c>
      <c r="D23" s="20">
        <v>1446.7888</v>
      </c>
      <c r="E23" s="21">
        <v>2495.1049494965946</v>
      </c>
      <c r="F23" s="22" t="s">
        <v>237</v>
      </c>
      <c r="G23" s="23">
        <v>42.850490520313144</v>
      </c>
      <c r="H23" s="24">
        <v>72.458132762473326</v>
      </c>
    </row>
    <row r="24" spans="1:9" ht="13.5" thickBot="1" x14ac:dyDescent="0.25">
      <c r="A24" s="56"/>
      <c r="B24" s="42" t="s">
        <v>238</v>
      </c>
      <c r="C24" s="43">
        <v>410.15089999999998</v>
      </c>
      <c r="D24" s="43">
        <v>436.1764</v>
      </c>
      <c r="E24" s="43">
        <v>687.19720000000007</v>
      </c>
      <c r="F24" s="44"/>
      <c r="G24" s="57">
        <v>67.547407551708432</v>
      </c>
      <c r="H24" s="46">
        <v>57.550293871928886</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64</v>
      </c>
      <c r="B35" s="19" t="s">
        <v>3</v>
      </c>
      <c r="C35" s="80">
        <v>1093.9684121220594</v>
      </c>
      <c r="D35" s="80">
        <v>1202.7935045741631</v>
      </c>
      <c r="E35" s="81">
        <v>1632.901475685602</v>
      </c>
      <c r="F35" s="22" t="s">
        <v>237</v>
      </c>
      <c r="G35" s="23">
        <v>49.264042507235672</v>
      </c>
      <c r="H35" s="24">
        <v>35.759086615928652</v>
      </c>
    </row>
    <row r="36" spans="1:8" ht="12.75" customHeight="1" x14ac:dyDescent="0.2">
      <c r="A36" s="201"/>
      <c r="B36" s="25" t="s">
        <v>238</v>
      </c>
      <c r="C36" s="82">
        <v>233.93808828589471</v>
      </c>
      <c r="D36" s="82">
        <v>286.86351714177783</v>
      </c>
      <c r="E36" s="82">
        <v>375.03076775466707</v>
      </c>
      <c r="F36" s="27"/>
      <c r="G36" s="28">
        <v>60.311974207613275</v>
      </c>
      <c r="H36" s="29">
        <v>30.734912369255369</v>
      </c>
    </row>
    <row r="37" spans="1:8" x14ac:dyDescent="0.2">
      <c r="A37" s="30" t="s">
        <v>53</v>
      </c>
      <c r="B37" s="31" t="s">
        <v>3</v>
      </c>
      <c r="C37" s="80">
        <v>0.132257286811863</v>
      </c>
      <c r="D37" s="80">
        <v>0.134134343800104</v>
      </c>
      <c r="E37" s="83">
        <v>0.36259839223580048</v>
      </c>
      <c r="F37" s="22" t="s">
        <v>237</v>
      </c>
      <c r="G37" s="32">
        <v>174.16137210768545</v>
      </c>
      <c r="H37" s="33">
        <v>170.32479673972904</v>
      </c>
    </row>
    <row r="38" spans="1:8" x14ac:dyDescent="0.2">
      <c r="A38" s="34"/>
      <c r="B38" s="25" t="s">
        <v>238</v>
      </c>
      <c r="C38" s="82">
        <v>3.2192345623652294E-2</v>
      </c>
      <c r="D38" s="82">
        <v>2.4823588125345322E-2</v>
      </c>
      <c r="E38" s="82">
        <v>7.2931240900337355E-2</v>
      </c>
      <c r="F38" s="27"/>
      <c r="G38" s="35">
        <v>126.54839058000627</v>
      </c>
      <c r="H38" s="29">
        <v>193.79814284733993</v>
      </c>
    </row>
    <row r="39" spans="1:8" x14ac:dyDescent="0.2">
      <c r="A39" s="30" t="s">
        <v>54</v>
      </c>
      <c r="B39" s="31" t="s">
        <v>3</v>
      </c>
      <c r="C39" s="80">
        <v>57.856684124532407</v>
      </c>
      <c r="D39" s="80">
        <v>57.991080964356627</v>
      </c>
      <c r="E39" s="83">
        <v>104.19322627206671</v>
      </c>
      <c r="F39" s="22" t="s">
        <v>237</v>
      </c>
      <c r="G39" s="37">
        <v>80.088485623887806</v>
      </c>
      <c r="H39" s="33">
        <v>79.671122764736111</v>
      </c>
    </row>
    <row r="40" spans="1:8" x14ac:dyDescent="0.2">
      <c r="A40" s="34"/>
      <c r="B40" s="25" t="s">
        <v>238</v>
      </c>
      <c r="C40" s="82">
        <v>11.735458855678758</v>
      </c>
      <c r="D40" s="82">
        <v>11.869413128334953</v>
      </c>
      <c r="E40" s="82">
        <v>21.261623366646159</v>
      </c>
      <c r="F40" s="27"/>
      <c r="G40" s="28">
        <v>81.17419717557712</v>
      </c>
      <c r="H40" s="29">
        <v>79.129525080645237</v>
      </c>
    </row>
    <row r="41" spans="1:8" x14ac:dyDescent="0.2">
      <c r="A41" s="30" t="s">
        <v>66</v>
      </c>
      <c r="B41" s="31" t="s">
        <v>3</v>
      </c>
      <c r="C41" s="80">
        <v>25.332420010772623</v>
      </c>
      <c r="D41" s="80">
        <v>13.468025871353925</v>
      </c>
      <c r="E41" s="83">
        <v>13.166379100417712</v>
      </c>
      <c r="F41" s="22" t="s">
        <v>237</v>
      </c>
      <c r="G41" s="23">
        <v>-48.025577126785734</v>
      </c>
      <c r="H41" s="24">
        <v>-2.2397252115308675</v>
      </c>
    </row>
    <row r="42" spans="1:8" x14ac:dyDescent="0.2">
      <c r="A42" s="34"/>
      <c r="B42" s="25" t="s">
        <v>238</v>
      </c>
      <c r="C42" s="82">
        <v>3.5282986963982856</v>
      </c>
      <c r="D42" s="82">
        <v>3.9161773065505745</v>
      </c>
      <c r="E42" s="82">
        <v>2.8097401510240698</v>
      </c>
      <c r="F42" s="27"/>
      <c r="G42" s="38">
        <v>-20.365581465869823</v>
      </c>
      <c r="H42" s="24">
        <v>-28.252989303517268</v>
      </c>
    </row>
    <row r="43" spans="1:8" x14ac:dyDescent="0.2">
      <c r="A43" s="30" t="s">
        <v>55</v>
      </c>
      <c r="B43" s="31" t="s">
        <v>3</v>
      </c>
      <c r="C43" s="80">
        <v>708.58016793359457</v>
      </c>
      <c r="D43" s="80">
        <v>759.29921336107611</v>
      </c>
      <c r="E43" s="83">
        <v>1004.2402348642074</v>
      </c>
      <c r="F43" s="22" t="s">
        <v>237</v>
      </c>
      <c r="G43" s="37">
        <v>41.725704487727199</v>
      </c>
      <c r="H43" s="33">
        <v>32.258827243990908</v>
      </c>
    </row>
    <row r="44" spans="1:8" x14ac:dyDescent="0.2">
      <c r="A44" s="34"/>
      <c r="B44" s="25" t="s">
        <v>238</v>
      </c>
      <c r="C44" s="82">
        <v>157.38943523927443</v>
      </c>
      <c r="D44" s="82">
        <v>180.22139324790541</v>
      </c>
      <c r="E44" s="82">
        <v>233.03164228452184</v>
      </c>
      <c r="F44" s="27"/>
      <c r="G44" s="28">
        <v>48.060536547609331</v>
      </c>
      <c r="H44" s="29">
        <v>29.302985669394275</v>
      </c>
    </row>
    <row r="45" spans="1:8" x14ac:dyDescent="0.2">
      <c r="A45" s="30" t="s">
        <v>67</v>
      </c>
      <c r="B45" s="31" t="s">
        <v>3</v>
      </c>
      <c r="C45" s="80">
        <v>109.72973136447267</v>
      </c>
      <c r="D45" s="80">
        <v>205.76448864684261</v>
      </c>
      <c r="E45" s="83">
        <v>387.19548890597167</v>
      </c>
      <c r="F45" s="22" t="s">
        <v>237</v>
      </c>
      <c r="G45" s="37">
        <v>252.8628787214314</v>
      </c>
      <c r="H45" s="33">
        <v>88.174106937627329</v>
      </c>
    </row>
    <row r="46" spans="1:8" x14ac:dyDescent="0.2">
      <c r="A46" s="30"/>
      <c r="B46" s="25" t="s">
        <v>238</v>
      </c>
      <c r="C46" s="82">
        <v>31.528022635727201</v>
      </c>
      <c r="D46" s="82">
        <v>22.611065418447708</v>
      </c>
      <c r="E46" s="82">
        <v>53.576925124514588</v>
      </c>
      <c r="F46" s="27"/>
      <c r="G46" s="28">
        <v>69.934301759228703</v>
      </c>
      <c r="H46" s="29">
        <v>136.95002483519744</v>
      </c>
    </row>
    <row r="47" spans="1:8" x14ac:dyDescent="0.2">
      <c r="A47" s="39" t="s">
        <v>56</v>
      </c>
      <c r="B47" s="31" t="s">
        <v>3</v>
      </c>
      <c r="C47" s="80">
        <v>4.6671651927617948</v>
      </c>
      <c r="D47" s="80">
        <v>10.318568645070682</v>
      </c>
      <c r="E47" s="83">
        <v>13.356721470934589</v>
      </c>
      <c r="F47" s="22" t="s">
        <v>237</v>
      </c>
      <c r="G47" s="23">
        <v>186.18488781261135</v>
      </c>
      <c r="H47" s="24">
        <v>29.443549104218761</v>
      </c>
    </row>
    <row r="48" spans="1:8" x14ac:dyDescent="0.2">
      <c r="A48" s="34"/>
      <c r="B48" s="25" t="s">
        <v>238</v>
      </c>
      <c r="C48" s="82">
        <v>1.0984810273037842</v>
      </c>
      <c r="D48" s="82">
        <v>3.1865598947438816</v>
      </c>
      <c r="E48" s="82">
        <v>3.7361282481251852</v>
      </c>
      <c r="F48" s="27"/>
      <c r="G48" s="38">
        <v>240.11768571875035</v>
      </c>
      <c r="H48" s="24">
        <v>17.246446686528543</v>
      </c>
    </row>
    <row r="49" spans="1:9" x14ac:dyDescent="0.2">
      <c r="A49" s="39" t="s">
        <v>68</v>
      </c>
      <c r="B49" s="31" t="s">
        <v>3</v>
      </c>
      <c r="C49" s="80">
        <v>7.8416505044696772</v>
      </c>
      <c r="D49" s="80">
        <v>4.4052246519785063</v>
      </c>
      <c r="E49" s="83">
        <v>4.2315051561640953</v>
      </c>
      <c r="F49" s="22" t="s">
        <v>237</v>
      </c>
      <c r="G49" s="37">
        <v>-46.03808020069026</v>
      </c>
      <c r="H49" s="33">
        <v>-3.943487779593454</v>
      </c>
    </row>
    <row r="50" spans="1:9" x14ac:dyDescent="0.2">
      <c r="A50" s="34"/>
      <c r="B50" s="25" t="s">
        <v>238</v>
      </c>
      <c r="C50" s="82">
        <v>2.3484192371776391</v>
      </c>
      <c r="D50" s="82">
        <v>1.5351776084554969</v>
      </c>
      <c r="E50" s="82">
        <v>1.3983576029231775</v>
      </c>
      <c r="F50" s="27"/>
      <c r="G50" s="28">
        <v>-40.455367560191604</v>
      </c>
      <c r="H50" s="29">
        <v>-8.9123242013652373</v>
      </c>
    </row>
    <row r="51" spans="1:9" x14ac:dyDescent="0.2">
      <c r="A51" s="30" t="s">
        <v>69</v>
      </c>
      <c r="B51" s="31" t="s">
        <v>3</v>
      </c>
      <c r="C51" s="80">
        <v>179.82833570464362</v>
      </c>
      <c r="D51" s="80">
        <v>151.4127680896845</v>
      </c>
      <c r="E51" s="83">
        <v>228.93134645588006</v>
      </c>
      <c r="F51" s="22" t="s">
        <v>237</v>
      </c>
      <c r="G51" s="23">
        <v>27.305491405917778</v>
      </c>
      <c r="H51" s="24">
        <v>51.196857005004972</v>
      </c>
    </row>
    <row r="52" spans="1:9" ht="13.5" thickBot="1" x14ac:dyDescent="0.25">
      <c r="A52" s="56"/>
      <c r="B52" s="42" t="s">
        <v>238</v>
      </c>
      <c r="C52" s="86">
        <v>26.277780248710954</v>
      </c>
      <c r="D52" s="86">
        <v>63.49890694921443</v>
      </c>
      <c r="E52" s="86">
        <v>59.143419736011701</v>
      </c>
      <c r="F52" s="44"/>
      <c r="G52" s="57">
        <v>125.07007508335093</v>
      </c>
      <c r="H52" s="46">
        <v>-6.8591530507543865</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G61" s="53"/>
      <c r="H61" s="203">
        <v>26</v>
      </c>
    </row>
    <row r="62" spans="1:9"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zoomScaleSheetLayoutView="5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5">
        <v>27</v>
      </c>
      <c r="H52" s="54" t="str">
        <f>+Innhold!B123</f>
        <v>Finans Norge / Skadestatistikk</v>
      </c>
      <c r="N52" s="195">
        <v>28</v>
      </c>
    </row>
    <row r="53" spans="1:14" ht="12.75" customHeight="1" x14ac:dyDescent="0.2">
      <c r="A53" s="54" t="str">
        <f>+Innhold!B124</f>
        <v>Skadestatistikk for landbasert forsikring 1. kvartal 2020</v>
      </c>
      <c r="G53" s="196"/>
      <c r="H53" s="54" t="str">
        <f>+Innhold!B124</f>
        <v>Skadestatistikk for landbasert forsikring 1. kvartal 2020</v>
      </c>
      <c r="N53" s="196"/>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zoomScaleNormal="100" zoomScaleSheetLayoutView="50" workbookViewId="0">
      <selection activeCell="E50" sqref="E50"/>
    </sheetView>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B46" s="215"/>
      <c r="C46" s="215"/>
      <c r="D46" s="215"/>
      <c r="E46" s="215"/>
      <c r="F46" s="215"/>
      <c r="G46" s="215"/>
      <c r="M46" s="77"/>
    </row>
    <row r="47" spans="1:13" ht="15.6" customHeight="1" x14ac:dyDescent="0.25">
      <c r="A47" s="217"/>
      <c r="B47" s="215"/>
      <c r="C47" s="215"/>
      <c r="D47" s="215"/>
      <c r="E47" s="215"/>
      <c r="F47" s="215"/>
      <c r="G47" s="215"/>
      <c r="M47" s="77"/>
    </row>
    <row r="48" spans="1:13" ht="15.6" customHeight="1" x14ac:dyDescent="0.25">
      <c r="A48" s="217" t="s">
        <v>241</v>
      </c>
      <c r="B48" s="215"/>
      <c r="C48" s="215"/>
      <c r="D48" s="215"/>
      <c r="E48" s="215"/>
      <c r="F48" s="215"/>
      <c r="G48" s="215"/>
      <c r="M48" s="77"/>
    </row>
    <row r="49" spans="1:13" ht="15.6" customHeight="1" x14ac:dyDescent="0.25">
      <c r="A49" s="217" t="s">
        <v>242</v>
      </c>
      <c r="B49" s="215"/>
      <c r="C49" s="215"/>
      <c r="D49" s="215"/>
      <c r="E49" s="215"/>
      <c r="F49" s="215"/>
      <c r="G49" s="215"/>
      <c r="M49" s="77"/>
    </row>
    <row r="50" spans="1:13" ht="15.6" customHeight="1" x14ac:dyDescent="0.25">
      <c r="A50" s="218" t="s">
        <v>243</v>
      </c>
      <c r="B50" s="216"/>
      <c r="C50" s="216"/>
      <c r="D50" s="216"/>
      <c r="E50" s="216"/>
      <c r="F50" s="216"/>
      <c r="G50" s="216"/>
      <c r="H50" s="77"/>
    </row>
    <row r="51" spans="1:13" ht="15.6" customHeight="1" x14ac:dyDescent="0.2">
      <c r="A51" s="54" t="str">
        <f>+Innhold!B123</f>
        <v>Finans Norge / Skadestatistikk</v>
      </c>
      <c r="G51" s="195">
        <v>3</v>
      </c>
      <c r="H51" s="77"/>
    </row>
    <row r="52" spans="1:13" ht="15.6" customHeight="1" x14ac:dyDescent="0.2">
      <c r="A52" s="54" t="str">
        <f>+Innhold!B124</f>
        <v>Skadestatistikk for landbasert forsikring 1. kvartal 2020</v>
      </c>
      <c r="G52" s="196"/>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3"/>
  <sheetViews>
    <sheetView showGridLines="0" showRowColHeaders="0" zoomScaleNormal="100" zoomScaleSheetLayoutView="50" workbookViewId="0"/>
  </sheetViews>
  <sheetFormatPr defaultColWidth="11.42578125" defaultRowHeight="12.75" x14ac:dyDescent="0.2"/>
  <cols>
    <col min="1" max="1" width="26.42578125" style="163" customWidth="1"/>
    <col min="2" max="2" width="8.140625" style="163" customWidth="1"/>
    <col min="3" max="4" width="10.42578125" style="163" customWidth="1"/>
    <col min="5" max="5" width="9.85546875" style="163" customWidth="1"/>
    <col min="6" max="6" width="1.5703125" style="163" customWidth="1"/>
    <col min="7" max="7" width="7.5703125" style="163" customWidth="1"/>
    <col min="8" max="8" width="8.85546875" style="163" customWidth="1"/>
    <col min="9" max="21" width="11.42578125" style="163" customWidth="1"/>
    <col min="22" max="22" width="15.42578125" style="163" customWidth="1"/>
    <col min="23" max="16384" width="11.42578125" style="163"/>
  </cols>
  <sheetData>
    <row r="1" spans="1:36" s="1" customFormat="1" ht="5.25" customHeight="1" x14ac:dyDescent="0.2"/>
    <row r="2" spans="1:36" s="1" customFormat="1" x14ac:dyDescent="0.2">
      <c r="A2" s="92" t="s">
        <v>0</v>
      </c>
      <c r="B2" s="2"/>
      <c r="C2" s="2"/>
      <c r="D2" s="2"/>
      <c r="E2" s="2"/>
      <c r="F2" s="2"/>
      <c r="G2" s="2"/>
    </row>
    <row r="3" spans="1:36" s="1" customFormat="1" ht="6" customHeight="1" x14ac:dyDescent="0.2">
      <c r="A3" s="3"/>
      <c r="B3" s="2"/>
      <c r="C3" s="2"/>
      <c r="D3" s="2"/>
      <c r="E3" s="2"/>
      <c r="F3" s="2"/>
      <c r="G3" s="2"/>
    </row>
    <row r="4" spans="1:36" s="1" customFormat="1" ht="12.75" customHeight="1" x14ac:dyDescent="0.2">
      <c r="A4" s="197" t="s">
        <v>90</v>
      </c>
      <c r="B4" s="2"/>
      <c r="C4" s="2"/>
      <c r="D4" s="2"/>
      <c r="E4" s="2"/>
      <c r="F4" s="2"/>
      <c r="G4" s="2"/>
      <c r="H4" s="67"/>
    </row>
    <row r="5" spans="1:36" s="1" customFormat="1" ht="12.75" customHeight="1" x14ac:dyDescent="0.2">
      <c r="A5" s="197"/>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3"/>
      <c r="B7" s="2"/>
      <c r="C7" s="2"/>
      <c r="D7" s="2"/>
      <c r="E7" s="2"/>
      <c r="F7" s="2"/>
      <c r="G7" s="2"/>
      <c r="H7" s="67"/>
      <c r="V7" s="88"/>
      <c r="AJ7" s="88"/>
    </row>
    <row r="8" spans="1:36" s="1" customFormat="1" x14ac:dyDescent="0.2">
      <c r="A8" s="3"/>
      <c r="B8" s="2"/>
      <c r="C8" s="2"/>
      <c r="D8" s="2"/>
      <c r="E8" s="2"/>
      <c r="F8" s="2"/>
      <c r="G8" s="2"/>
      <c r="H8" s="67"/>
    </row>
    <row r="9" spans="1:36" s="1" customFormat="1" x14ac:dyDescent="0.2">
      <c r="A9" s="3"/>
      <c r="B9" s="2"/>
      <c r="C9" s="2"/>
      <c r="D9" s="2"/>
      <c r="E9" s="2"/>
      <c r="F9" s="2"/>
      <c r="G9" s="2"/>
      <c r="H9" s="67"/>
    </row>
    <row r="10" spans="1:36" s="1" customFormat="1" x14ac:dyDescent="0.2">
      <c r="A10" s="3"/>
      <c r="B10" s="2"/>
      <c r="C10" s="2"/>
      <c r="D10" s="2"/>
      <c r="E10" s="2"/>
      <c r="F10" s="2"/>
      <c r="G10" s="2"/>
      <c r="H10" s="67"/>
    </row>
    <row r="11" spans="1:36" s="1" customFormat="1" x14ac:dyDescent="0.2">
      <c r="A11" s="3"/>
      <c r="B11" s="2"/>
      <c r="C11" s="2"/>
      <c r="D11" s="2"/>
      <c r="E11" s="2"/>
      <c r="F11" s="2"/>
      <c r="G11" s="2"/>
      <c r="H11" s="67"/>
    </row>
    <row r="12" spans="1:36" s="1" customFormat="1" x14ac:dyDescent="0.2">
      <c r="A12" s="3"/>
      <c r="B12" s="2"/>
      <c r="C12" s="2"/>
      <c r="D12" s="2"/>
      <c r="E12" s="2"/>
      <c r="F12" s="2"/>
      <c r="G12" s="2"/>
      <c r="H12" s="67"/>
    </row>
    <row r="13" spans="1:36" s="1" customFormat="1" x14ac:dyDescent="0.2">
      <c r="A13" s="3"/>
      <c r="B13" s="2"/>
      <c r="C13" s="2"/>
      <c r="D13" s="2"/>
      <c r="E13" s="2"/>
      <c r="F13" s="2"/>
      <c r="G13" s="2"/>
      <c r="H13" s="67"/>
    </row>
    <row r="14" spans="1:36" s="1" customFormat="1" x14ac:dyDescent="0.2">
      <c r="A14" s="3"/>
      <c r="B14" s="2"/>
      <c r="C14" s="2"/>
      <c r="D14" s="2"/>
      <c r="E14" s="2"/>
      <c r="F14" s="2"/>
      <c r="G14" s="2"/>
      <c r="H14" s="67"/>
    </row>
    <row r="15" spans="1:36" s="1" customFormat="1" x14ac:dyDescent="0.2">
      <c r="A15" s="3"/>
      <c r="B15" s="2"/>
      <c r="C15" s="2"/>
      <c r="D15" s="2"/>
      <c r="E15" s="2"/>
      <c r="F15" s="2"/>
      <c r="G15" s="2"/>
      <c r="H15" s="67"/>
    </row>
    <row r="16" spans="1:36" s="1" customFormat="1" x14ac:dyDescent="0.2">
      <c r="A16" s="3"/>
      <c r="B16" s="2"/>
      <c r="C16" s="2"/>
      <c r="D16" s="2"/>
      <c r="E16" s="2"/>
      <c r="F16" s="2"/>
      <c r="G16" s="2"/>
      <c r="H16" s="67"/>
    </row>
    <row r="17" spans="1:30" s="1" customFormat="1" x14ac:dyDescent="0.2">
      <c r="A17" s="3"/>
      <c r="B17" s="2"/>
      <c r="C17" s="2"/>
      <c r="D17" s="2"/>
      <c r="E17" s="2"/>
      <c r="F17" s="2"/>
      <c r="G17" s="2"/>
      <c r="H17" s="67"/>
    </row>
    <row r="18" spans="1:30" s="1" customFormat="1" x14ac:dyDescent="0.2">
      <c r="A18" s="3"/>
      <c r="B18" s="2"/>
      <c r="C18" s="2"/>
      <c r="D18" s="2"/>
      <c r="E18" s="2"/>
      <c r="F18" s="2"/>
      <c r="G18" s="2"/>
      <c r="H18" s="67"/>
    </row>
    <row r="19" spans="1:30" s="1" customFormat="1" x14ac:dyDescent="0.2">
      <c r="A19" s="3"/>
      <c r="B19" s="2"/>
      <c r="C19" s="2"/>
      <c r="D19" s="2"/>
      <c r="E19" s="2"/>
      <c r="F19" s="2"/>
      <c r="G19" s="2"/>
      <c r="H19" s="67"/>
    </row>
    <row r="20" spans="1:30" s="1" customFormat="1" x14ac:dyDescent="0.2">
      <c r="A20" s="3"/>
      <c r="B20" s="2"/>
      <c r="C20" s="2"/>
      <c r="D20" s="2"/>
      <c r="E20" s="2"/>
      <c r="F20" s="2"/>
      <c r="G20" s="2"/>
      <c r="H20" s="67"/>
    </row>
    <row r="21" spans="1:30" s="1" customFormat="1" x14ac:dyDescent="0.2">
      <c r="A21" s="3"/>
      <c r="B21" s="2"/>
      <c r="C21" s="2"/>
      <c r="D21" s="2"/>
      <c r="E21" s="2"/>
      <c r="F21" s="2"/>
      <c r="G21" s="2"/>
      <c r="H21" s="67"/>
    </row>
    <row r="22" spans="1:30" s="1" customFormat="1" x14ac:dyDescent="0.2">
      <c r="A22" s="3"/>
      <c r="B22" s="2"/>
      <c r="C22" s="2"/>
      <c r="D22" s="2"/>
      <c r="E22" s="2"/>
      <c r="F22" s="2"/>
      <c r="G22" s="2"/>
      <c r="H22" s="67"/>
    </row>
    <row r="23" spans="1:30" s="1" customFormat="1" x14ac:dyDescent="0.2">
      <c r="A23" s="3"/>
      <c r="B23" s="2"/>
      <c r="C23" s="2"/>
      <c r="D23" s="2"/>
      <c r="E23" s="2"/>
      <c r="F23" s="2"/>
      <c r="G23" s="2"/>
      <c r="H23" s="67"/>
    </row>
    <row r="24" spans="1:30" s="1" customFormat="1" x14ac:dyDescent="0.2">
      <c r="A24" s="3"/>
      <c r="B24" s="2"/>
      <c r="C24" s="2"/>
      <c r="D24" s="2"/>
      <c r="E24" s="2"/>
      <c r="F24" s="2"/>
      <c r="G24" s="2"/>
      <c r="H24" s="67"/>
    </row>
    <row r="25" spans="1:30" s="1" customFormat="1" x14ac:dyDescent="0.2">
      <c r="A25" s="3"/>
      <c r="B25" s="2"/>
      <c r="C25" s="2"/>
      <c r="D25" s="2"/>
      <c r="E25" s="2"/>
      <c r="F25" s="2"/>
      <c r="G25" s="2"/>
      <c r="H25" s="67"/>
    </row>
    <row r="26" spans="1:30" s="1" customFormat="1" x14ac:dyDescent="0.2">
      <c r="A26" s="3"/>
      <c r="B26" s="2"/>
      <c r="C26" s="2"/>
      <c r="D26" s="2"/>
      <c r="E26" s="2"/>
      <c r="F26" s="2"/>
      <c r="G26" s="2"/>
      <c r="H26" s="67"/>
    </row>
    <row r="27" spans="1:30" s="1" customFormat="1" x14ac:dyDescent="0.2">
      <c r="A27" s="3"/>
      <c r="B27" s="2"/>
      <c r="C27" s="2"/>
      <c r="D27" s="2"/>
      <c r="E27" s="2"/>
      <c r="F27" s="2"/>
      <c r="G27" s="2"/>
      <c r="H27" s="67"/>
    </row>
    <row r="28" spans="1:30" s="1" customFormat="1" x14ac:dyDescent="0.2">
      <c r="A28" s="3"/>
      <c r="B28" s="2"/>
      <c r="C28" s="2"/>
      <c r="D28" s="2"/>
      <c r="E28" s="2"/>
      <c r="F28" s="2"/>
      <c r="G28" s="2"/>
      <c r="H28" s="67"/>
    </row>
    <row r="29" spans="1:30" s="1" customFormat="1" x14ac:dyDescent="0.2">
      <c r="A29" s="3"/>
      <c r="B29" s="2"/>
      <c r="C29" s="2"/>
      <c r="D29" s="2"/>
      <c r="E29" s="2"/>
      <c r="F29" s="2"/>
      <c r="G29" s="2"/>
      <c r="H29" s="67"/>
    </row>
    <row r="30" spans="1:30" s="1" customFormat="1" x14ac:dyDescent="0.2">
      <c r="A30" s="3"/>
      <c r="B30" s="2"/>
      <c r="C30" s="2"/>
      <c r="D30" s="2"/>
      <c r="E30" s="2"/>
      <c r="F30" s="2"/>
      <c r="G30" s="2"/>
      <c r="H30" s="67"/>
    </row>
    <row r="31" spans="1:30" s="1" customFormat="1" x14ac:dyDescent="0.2">
      <c r="A31" s="3"/>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2020</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3"/>
      <c r="B33" s="2"/>
      <c r="C33" s="2"/>
      <c r="D33" s="2"/>
      <c r="E33" s="2"/>
      <c r="F33" s="2"/>
      <c r="G33" s="2"/>
      <c r="H33" s="67"/>
    </row>
    <row r="34" spans="1:8" s="1" customFormat="1" x14ac:dyDescent="0.2">
      <c r="A34" s="3"/>
      <c r="B34" s="2"/>
      <c r="C34" s="2"/>
      <c r="D34" s="2"/>
      <c r="E34" s="2"/>
      <c r="F34" s="2"/>
      <c r="G34" s="2"/>
      <c r="H34" s="67"/>
    </row>
    <row r="35" spans="1:8" s="1" customFormat="1" x14ac:dyDescent="0.2">
      <c r="A35" s="3"/>
      <c r="B35" s="2"/>
      <c r="C35" s="2"/>
      <c r="D35" s="2"/>
      <c r="E35" s="2"/>
      <c r="F35" s="2"/>
      <c r="G35" s="2"/>
      <c r="H35" s="67"/>
    </row>
    <row r="36" spans="1:8" s="1" customFormat="1" x14ac:dyDescent="0.2">
      <c r="A36" s="3"/>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Skadestatistikk</v>
      </c>
      <c r="H61" s="195">
        <v>4</v>
      </c>
      <c r="I61" s="54" t="str">
        <f>+Innhold!B123</f>
        <v>Finans Norge / Skadestatistikk</v>
      </c>
      <c r="O61" s="195">
        <v>5</v>
      </c>
      <c r="P61" s="54" t="str">
        <f>+Innhold!B123</f>
        <v>Finans Norge / Skadestatistikk</v>
      </c>
      <c r="V61" s="195">
        <v>6</v>
      </c>
      <c r="W61" s="54" t="str">
        <f>+Innhold!B123</f>
        <v>Finans Norge / Skadestatistikk</v>
      </c>
      <c r="AC61" s="195">
        <v>7</v>
      </c>
      <c r="AD61" s="54" t="str">
        <f>+Innhold!B123</f>
        <v>Finans Norge / Skadestatistikk</v>
      </c>
      <c r="AJ61" s="195">
        <v>8</v>
      </c>
    </row>
    <row r="62" spans="1:36" s="1" customFormat="1" x14ac:dyDescent="0.2">
      <c r="A62" s="54" t="str">
        <f>+Innhold!B124</f>
        <v>Skadestatistikk for landbasert forsikring 1. kvartal 2020</v>
      </c>
      <c r="H62" s="196"/>
      <c r="I62" s="54" t="str">
        <f>+Innhold!B124</f>
        <v>Skadestatistikk for landbasert forsikring 1. kvartal 2020</v>
      </c>
      <c r="O62" s="196"/>
      <c r="P62" s="54" t="str">
        <f>+Innhold!B124</f>
        <v>Skadestatistikk for landbasert forsikring 1. kvartal 2020</v>
      </c>
      <c r="V62" s="196"/>
      <c r="W62" s="54" t="str">
        <f>+Innhold!B124</f>
        <v>Skadestatistikk for landbasert forsikring 1. kvartal 2020</v>
      </c>
      <c r="AC62" s="196"/>
      <c r="AD62" s="54" t="str">
        <f>+Innhold!B124</f>
        <v>Skadestatistikk for landbasert forsikring 1. kvartal 2020</v>
      </c>
      <c r="AJ62" s="196"/>
    </row>
    <row r="67" spans="1:26" ht="12.75" customHeight="1" x14ac:dyDescent="0.2"/>
    <row r="68" spans="1:26" ht="12.75" customHeight="1" x14ac:dyDescent="0.2">
      <c r="M68" s="164" t="s">
        <v>177</v>
      </c>
      <c r="P68" s="164" t="s">
        <v>179</v>
      </c>
      <c r="S68" s="164" t="s">
        <v>178</v>
      </c>
    </row>
    <row r="69" spans="1:26" x14ac:dyDescent="0.2">
      <c r="A69" s="165" t="s">
        <v>183</v>
      </c>
      <c r="B69" s="166"/>
      <c r="C69" s="166"/>
      <c r="D69" s="166" t="s">
        <v>74</v>
      </c>
      <c r="E69" s="166"/>
      <c r="F69" s="166"/>
      <c r="G69" s="166"/>
      <c r="H69" s="165"/>
      <c r="I69" s="167">
        <v>154.90750000000003</v>
      </c>
      <c r="J69" s="168" t="s">
        <v>231</v>
      </c>
      <c r="M69" s="164" t="s">
        <v>161</v>
      </c>
      <c r="P69" s="164" t="s">
        <v>175</v>
      </c>
      <c r="S69" s="164" t="s">
        <v>176</v>
      </c>
      <c r="V69" s="165" t="s">
        <v>184</v>
      </c>
      <c r="W69" s="166"/>
      <c r="X69" s="166"/>
      <c r="Y69" s="166"/>
      <c r="Z69" s="166"/>
    </row>
    <row r="70" spans="1:26" x14ac:dyDescent="0.2">
      <c r="A70" s="166" t="s">
        <v>75</v>
      </c>
      <c r="B70" s="166" t="s">
        <v>76</v>
      </c>
      <c r="C70" s="166" t="s">
        <v>26</v>
      </c>
      <c r="D70" s="166" t="s">
        <v>77</v>
      </c>
      <c r="E70" s="166"/>
      <c r="F70" s="166"/>
      <c r="G70" s="166"/>
      <c r="I70" s="169" t="s">
        <v>159</v>
      </c>
      <c r="J70" s="163" t="s">
        <v>229</v>
      </c>
      <c r="K70" s="169" t="s">
        <v>76</v>
      </c>
      <c r="L70" s="169" t="s">
        <v>108</v>
      </c>
      <c r="M70" s="169" t="s">
        <v>157</v>
      </c>
      <c r="N70" s="169" t="s">
        <v>158</v>
      </c>
      <c r="O70" s="169" t="s">
        <v>108</v>
      </c>
      <c r="P70" s="169" t="s">
        <v>157</v>
      </c>
      <c r="Q70" s="169" t="s">
        <v>158</v>
      </c>
      <c r="R70" s="169" t="s">
        <v>108</v>
      </c>
      <c r="S70" s="169" t="s">
        <v>157</v>
      </c>
      <c r="T70" s="169" t="s">
        <v>158</v>
      </c>
      <c r="V70" s="166" t="s">
        <v>81</v>
      </c>
      <c r="W70" s="166"/>
      <c r="X70" s="170" t="str">
        <f>+'Tab3'!C6</f>
        <v>2018</v>
      </c>
      <c r="Y70" s="170" t="str">
        <f>+'Tab3'!D6</f>
        <v>2019</v>
      </c>
      <c r="Z70" s="170" t="str">
        <f>+'Tab3'!E6</f>
        <v>2020</v>
      </c>
    </row>
    <row r="71" spans="1:26" x14ac:dyDescent="0.2">
      <c r="A71" s="166">
        <v>1</v>
      </c>
      <c r="B71" s="166">
        <v>1983</v>
      </c>
      <c r="C71" s="166">
        <v>97</v>
      </c>
      <c r="D71" s="166">
        <v>78.3</v>
      </c>
      <c r="E71" s="166"/>
      <c r="F71" s="166"/>
      <c r="G71" s="166"/>
      <c r="I71" s="171">
        <v>53.8</v>
      </c>
      <c r="J71" s="163">
        <v>1</v>
      </c>
      <c r="K71" s="163">
        <v>1983</v>
      </c>
      <c r="L71" s="172">
        <v>11621</v>
      </c>
      <c r="M71" s="171">
        <v>80.900000000000006</v>
      </c>
      <c r="N71" s="171">
        <f t="shared" ref="N71:N102" si="0">M71/I71*$I$69</f>
        <v>232.93711431226771</v>
      </c>
      <c r="V71" s="166"/>
      <c r="W71" s="166"/>
      <c r="X71" s="166"/>
      <c r="Y71" s="166"/>
      <c r="Z71" s="166"/>
    </row>
    <row r="72" spans="1:26" x14ac:dyDescent="0.2">
      <c r="A72" s="166">
        <v>2</v>
      </c>
      <c r="B72" s="166"/>
      <c r="C72" s="166">
        <v>78.8</v>
      </c>
      <c r="D72" s="166">
        <v>61.3</v>
      </c>
      <c r="E72" s="166"/>
      <c r="F72" s="166"/>
      <c r="G72" s="166"/>
      <c r="I72" s="171">
        <v>54.7</v>
      </c>
      <c r="J72" s="163">
        <v>2</v>
      </c>
      <c r="L72" s="172">
        <v>11120</v>
      </c>
      <c r="M72" s="171">
        <v>68.900000000000006</v>
      </c>
      <c r="N72" s="171">
        <f t="shared" si="0"/>
        <v>195.12114716636202</v>
      </c>
      <c r="V72" s="166" t="s">
        <v>26</v>
      </c>
      <c r="W72" s="166"/>
      <c r="X72" s="173">
        <f>IF('Tab6'!C36="",'Tab6'!C35,'Tab6'!C36)</f>
        <v>4090.3641573987361</v>
      </c>
      <c r="Y72" s="173">
        <f>IF('Tab6'!D36="",'Tab6'!D35,'Tab6'!D36)</f>
        <v>4508.8045500981762</v>
      </c>
      <c r="Z72" s="173">
        <f>IF('Tab6'!E36="",'Tab6'!E35,'Tab6'!E36)</f>
        <v>4453.0351639524679</v>
      </c>
    </row>
    <row r="73" spans="1:26" x14ac:dyDescent="0.2">
      <c r="A73" s="166">
        <v>3</v>
      </c>
      <c r="B73" s="166"/>
      <c r="C73" s="166">
        <v>84.8</v>
      </c>
      <c r="D73" s="166">
        <v>63</v>
      </c>
      <c r="E73" s="166"/>
      <c r="F73" s="166"/>
      <c r="G73" s="166"/>
      <c r="I73" s="171">
        <v>55.3</v>
      </c>
      <c r="J73" s="163">
        <v>3</v>
      </c>
      <c r="L73" s="172">
        <v>11918</v>
      </c>
      <c r="M73" s="171">
        <v>63.7</v>
      </c>
      <c r="N73" s="171">
        <f t="shared" si="0"/>
        <v>178.43775316455702</v>
      </c>
      <c r="V73" s="166"/>
      <c r="W73" s="166"/>
      <c r="X73" s="173"/>
      <c r="Y73" s="173"/>
      <c r="Z73" s="173"/>
    </row>
    <row r="74" spans="1:26" x14ac:dyDescent="0.2">
      <c r="A74" s="166">
        <v>4</v>
      </c>
      <c r="B74" s="166"/>
      <c r="C74" s="166">
        <v>91.2</v>
      </c>
      <c r="D74" s="166">
        <v>70.8</v>
      </c>
      <c r="E74" s="166"/>
      <c r="F74" s="166"/>
      <c r="G74" s="166"/>
      <c r="I74" s="171">
        <v>56.2</v>
      </c>
      <c r="J74" s="163">
        <v>4</v>
      </c>
      <c r="L74" s="172">
        <v>11905</v>
      </c>
      <c r="M74" s="171">
        <v>79.3</v>
      </c>
      <c r="N74" s="171">
        <f t="shared" si="0"/>
        <v>218.57944395017796</v>
      </c>
      <c r="V74" s="166" t="s">
        <v>63</v>
      </c>
      <c r="W74" s="166"/>
      <c r="X74" s="173">
        <f>IF('Tab6'!C36="",'Tab6'!C45+'Tab6'!C47,'Tab6'!C46+'Tab6'!C48)</f>
        <v>36.452765752508633</v>
      </c>
      <c r="Y74" s="173">
        <f>IF('Tab6'!D36="",'Tab6'!D45+'Tab6'!D47,'Tab6'!D46+'Tab6'!D48)</f>
        <v>51.28551847043137</v>
      </c>
      <c r="Z74" s="173">
        <f>IF('Tab6'!E36="",'Tab6'!E45+'Tab6'!E47,'Tab6'!E46+'Tab6'!E48)</f>
        <v>50.70896982165489</v>
      </c>
    </row>
    <row r="75" spans="1:26" x14ac:dyDescent="0.2">
      <c r="A75" s="166">
        <v>1</v>
      </c>
      <c r="B75" s="166">
        <v>1984</v>
      </c>
      <c r="C75" s="166">
        <v>112.2</v>
      </c>
      <c r="D75" s="166">
        <v>90.4</v>
      </c>
      <c r="E75" s="166"/>
      <c r="F75" s="166"/>
      <c r="G75" s="166"/>
      <c r="I75" s="171">
        <v>57.3</v>
      </c>
      <c r="J75" s="163">
        <v>1</v>
      </c>
      <c r="K75" s="163">
        <v>1984</v>
      </c>
      <c r="L75" s="172">
        <v>13205</v>
      </c>
      <c r="M75" s="171">
        <v>86.7</v>
      </c>
      <c r="N75" s="171">
        <f t="shared" si="0"/>
        <v>234.3888350785341</v>
      </c>
      <c r="V75" s="166" t="s">
        <v>39</v>
      </c>
      <c r="W75" s="166"/>
      <c r="X75" s="173">
        <f>IF('Tab6'!C36="",'Tab6'!C49,'Tab6'!C50)</f>
        <v>340.57483687789204</v>
      </c>
      <c r="Y75" s="173">
        <f>IF('Tab6'!D36="",'Tab6'!D49,'Tab6'!D50)</f>
        <v>389.25617273343158</v>
      </c>
      <c r="Z75" s="173">
        <f>IF('Tab6'!E36="",'Tab6'!E49,'Tab6'!E50)</f>
        <v>426.6783356999934</v>
      </c>
    </row>
    <row r="76" spans="1:26" x14ac:dyDescent="0.2">
      <c r="A76" s="166">
        <v>2</v>
      </c>
      <c r="B76" s="166"/>
      <c r="C76" s="166">
        <v>81.8</v>
      </c>
      <c r="D76" s="166">
        <v>64.400000000000006</v>
      </c>
      <c r="E76" s="166"/>
      <c r="F76" s="166"/>
      <c r="G76" s="166"/>
      <c r="I76" s="171">
        <v>58.2</v>
      </c>
      <c r="J76" s="163">
        <v>2</v>
      </c>
      <c r="L76" s="172">
        <v>12453</v>
      </c>
      <c r="M76" s="171">
        <v>83.3</v>
      </c>
      <c r="N76" s="171">
        <f t="shared" si="0"/>
        <v>221.71468642611686</v>
      </c>
      <c r="V76" s="166" t="s">
        <v>18</v>
      </c>
      <c r="W76" s="166"/>
      <c r="X76" s="173">
        <f>IF('Tab6'!C36="",'Tab6'!C43,'Tab6'!C44)</f>
        <v>67.698013250442344</v>
      </c>
      <c r="Y76" s="173">
        <f>IF('Tab6'!D36="",'Tab6'!D43,'Tab6'!D44)</f>
        <v>79.584868540646866</v>
      </c>
      <c r="Z76" s="173">
        <f>IF('Tab6'!E36="",'Tab6'!E43,'Tab6'!E44)</f>
        <v>201.36907792206864</v>
      </c>
    </row>
    <row r="77" spans="1:26" x14ac:dyDescent="0.2">
      <c r="A77" s="166">
        <v>3</v>
      </c>
      <c r="B77" s="166"/>
      <c r="C77" s="166">
        <v>90.4</v>
      </c>
      <c r="D77" s="166">
        <v>71.099999999999994</v>
      </c>
      <c r="E77" s="166"/>
      <c r="F77" s="166"/>
      <c r="G77" s="166"/>
      <c r="I77" s="171">
        <v>58.7</v>
      </c>
      <c r="J77" s="163">
        <v>3</v>
      </c>
      <c r="L77" s="172">
        <v>12278</v>
      </c>
      <c r="M77" s="171">
        <v>83.3</v>
      </c>
      <c r="N77" s="171">
        <f t="shared" si="0"/>
        <v>219.82614565587735</v>
      </c>
      <c r="V77" s="166" t="s">
        <v>82</v>
      </c>
      <c r="W77" s="166"/>
      <c r="X77" s="173">
        <f>IF('Tab6'!C36="",'Tab6'!C37+'Tab6'!C39,'Tab6'!C38+'Tab6'!C40)</f>
        <v>403.74815412593483</v>
      </c>
      <c r="Y77" s="173">
        <f>IF('Tab6'!D36="",'Tab6'!D37+'Tab6'!D39,'Tab6'!D38+'Tab6'!D40)</f>
        <v>449.97247157056444</v>
      </c>
      <c r="Z77" s="173">
        <f>IF('Tab6'!E36="",'Tab6'!E37+'Tab6'!E39,'Tab6'!E38+'Tab6'!E40)</f>
        <v>433.23551699740028</v>
      </c>
    </row>
    <row r="78" spans="1:26" x14ac:dyDescent="0.2">
      <c r="A78" s="166">
        <v>4</v>
      </c>
      <c r="B78" s="166"/>
      <c r="C78" s="166">
        <v>92.9</v>
      </c>
      <c r="D78" s="166">
        <v>73.900000000000006</v>
      </c>
      <c r="E78" s="166"/>
      <c r="F78" s="166"/>
      <c r="G78" s="166"/>
      <c r="I78" s="171">
        <v>59.6</v>
      </c>
      <c r="J78" s="163">
        <v>4</v>
      </c>
      <c r="L78" s="172">
        <v>11449</v>
      </c>
      <c r="M78" s="171">
        <v>94.6</v>
      </c>
      <c r="N78" s="171">
        <f t="shared" si="0"/>
        <v>245.87666946308727</v>
      </c>
      <c r="V78" s="166" t="s">
        <v>83</v>
      </c>
      <c r="W78" s="166"/>
      <c r="X78" s="174">
        <f>X72-X77-X76-X75-X74</f>
        <v>3241.890387391958</v>
      </c>
      <c r="Y78" s="174">
        <f>Y72-Y77-Y76-Y75-Y74</f>
        <v>3538.7055187831024</v>
      </c>
      <c r="Z78" s="174">
        <f>Z72-Z77-Z76-Z75-Z74</f>
        <v>3341.0432635113502</v>
      </c>
    </row>
    <row r="79" spans="1:26" x14ac:dyDescent="0.2">
      <c r="A79" s="166">
        <v>1</v>
      </c>
      <c r="B79" s="166">
        <v>1985</v>
      </c>
      <c r="C79" s="166">
        <v>123.4</v>
      </c>
      <c r="D79" s="166">
        <v>100.8</v>
      </c>
      <c r="E79" s="166"/>
      <c r="F79" s="166"/>
      <c r="G79" s="166"/>
      <c r="I79" s="171">
        <v>60.4</v>
      </c>
      <c r="J79" s="163">
        <v>1</v>
      </c>
      <c r="K79" s="163">
        <v>1985</v>
      </c>
      <c r="L79" s="172">
        <v>16918</v>
      </c>
      <c r="M79" s="171">
        <v>103.6</v>
      </c>
      <c r="N79" s="171">
        <f t="shared" si="0"/>
        <v>265.70226821192057</v>
      </c>
      <c r="V79" s="166"/>
      <c r="W79" s="166"/>
      <c r="X79" s="166"/>
      <c r="Y79" s="166"/>
      <c r="Z79" s="166"/>
    </row>
    <row r="80" spans="1:26" x14ac:dyDescent="0.2">
      <c r="A80" s="166">
        <v>2</v>
      </c>
      <c r="B80" s="166"/>
      <c r="C80" s="166">
        <v>102</v>
      </c>
      <c r="D80" s="166">
        <v>81.099999999999994</v>
      </c>
      <c r="E80" s="166"/>
      <c r="F80" s="166"/>
      <c r="G80" s="166"/>
      <c r="I80" s="171">
        <v>61.5</v>
      </c>
      <c r="J80" s="163">
        <v>2</v>
      </c>
      <c r="L80" s="172">
        <v>14237</v>
      </c>
      <c r="M80" s="171">
        <v>115.3</v>
      </c>
      <c r="N80" s="171">
        <f t="shared" si="0"/>
        <v>290.4200772357724</v>
      </c>
      <c r="V80" s="165" t="s">
        <v>162</v>
      </c>
      <c r="W80" s="166"/>
      <c r="X80" s="166"/>
      <c r="Y80" s="166"/>
    </row>
    <row r="81" spans="1:25" x14ac:dyDescent="0.2">
      <c r="A81" s="166">
        <v>3</v>
      </c>
      <c r="B81" s="166"/>
      <c r="C81" s="166">
        <v>108.4</v>
      </c>
      <c r="D81" s="166">
        <v>86</v>
      </c>
      <c r="E81" s="166"/>
      <c r="F81" s="166"/>
      <c r="G81" s="166"/>
      <c r="I81" s="171">
        <v>62</v>
      </c>
      <c r="J81" s="163">
        <v>3</v>
      </c>
      <c r="L81" s="172">
        <v>14329</v>
      </c>
      <c r="M81" s="171">
        <v>103</v>
      </c>
      <c r="N81" s="171">
        <f t="shared" si="0"/>
        <v>257.34633064516134</v>
      </c>
      <c r="V81" s="166"/>
      <c r="W81" s="166"/>
      <c r="X81" s="166"/>
      <c r="Y81" s="166"/>
    </row>
    <row r="82" spans="1:25" x14ac:dyDescent="0.2">
      <c r="A82" s="166">
        <v>4</v>
      </c>
      <c r="B82" s="166"/>
      <c r="C82" s="166">
        <v>109.6</v>
      </c>
      <c r="D82" s="166">
        <v>87.1</v>
      </c>
      <c r="E82" s="166"/>
      <c r="F82" s="166"/>
      <c r="G82" s="166"/>
      <c r="I82" s="171">
        <v>63</v>
      </c>
      <c r="J82" s="163">
        <v>4</v>
      </c>
      <c r="L82" s="172">
        <v>13060</v>
      </c>
      <c r="M82" s="171">
        <v>118.7</v>
      </c>
      <c r="N82" s="171">
        <f t="shared" si="0"/>
        <v>291.86540079365085</v>
      </c>
      <c r="V82" s="166"/>
      <c r="W82" s="170" t="str">
        <f>+'Tab4'!C6</f>
        <v>2018</v>
      </c>
      <c r="X82" s="170" t="str">
        <f>+'Tab4'!D6</f>
        <v>2019</v>
      </c>
      <c r="Y82" s="170" t="str">
        <f>+'Tab4'!E6</f>
        <v>2020</v>
      </c>
    </row>
    <row r="83" spans="1:25" x14ac:dyDescent="0.2">
      <c r="A83" s="166">
        <v>1</v>
      </c>
      <c r="B83" s="166">
        <v>1986</v>
      </c>
      <c r="C83" s="166">
        <v>141</v>
      </c>
      <c r="D83" s="166">
        <v>115.2</v>
      </c>
      <c r="E83" s="166"/>
      <c r="F83" s="166"/>
      <c r="G83" s="166"/>
      <c r="I83" s="171">
        <v>64</v>
      </c>
      <c r="J83" s="163">
        <v>1</v>
      </c>
      <c r="K83" s="163">
        <v>1986</v>
      </c>
      <c r="L83" s="172">
        <v>14314</v>
      </c>
      <c r="M83" s="171">
        <v>111.8</v>
      </c>
      <c r="N83" s="171">
        <f t="shared" si="0"/>
        <v>270.60403906250002</v>
      </c>
      <c r="V83" s="166" t="s">
        <v>84</v>
      </c>
      <c r="W83" s="173">
        <f>IF('Tab4'!C14="",'Tab4'!C13,'Tab4'!C14)</f>
        <v>2162.8651301313707</v>
      </c>
      <c r="X83" s="173">
        <f>IF('Tab4'!D14="",'Tab4'!D13,'Tab4'!D14)</f>
        <v>2004.8948327261578</v>
      </c>
      <c r="Y83" s="173">
        <f>IF('Tab4'!E14="",'Tab4'!E13,'Tab4'!E14)</f>
        <v>2238.5054961430219</v>
      </c>
    </row>
    <row r="84" spans="1:25" x14ac:dyDescent="0.2">
      <c r="A84" s="166">
        <v>2</v>
      </c>
      <c r="B84" s="166"/>
      <c r="C84" s="166">
        <v>120.5</v>
      </c>
      <c r="D84" s="166">
        <v>93.2</v>
      </c>
      <c r="E84" s="166"/>
      <c r="F84" s="166"/>
      <c r="G84" s="166"/>
      <c r="I84" s="171">
        <v>65</v>
      </c>
      <c r="J84" s="163">
        <v>2</v>
      </c>
      <c r="L84" s="172">
        <v>13505</v>
      </c>
      <c r="M84" s="171">
        <v>121.5</v>
      </c>
      <c r="N84" s="171">
        <f t="shared" si="0"/>
        <v>289.55786538461541</v>
      </c>
      <c r="V84" s="166" t="s">
        <v>169</v>
      </c>
      <c r="W84" s="173">
        <f>IF('Tab4'!C16="",'Tab4'!C15,'Tab4'!C16)</f>
        <v>1550.2525616949954</v>
      </c>
      <c r="X84" s="173">
        <f>IF('Tab4'!D16="",'Tab4'!D15,'Tab4'!D16)</f>
        <v>1824.3973235769665</v>
      </c>
      <c r="Y84" s="173">
        <f>IF('Tab4'!E16="",'Tab4'!E15,'Tab4'!E16)</f>
        <v>1978.315469269394</v>
      </c>
    </row>
    <row r="85" spans="1:25" x14ac:dyDescent="0.2">
      <c r="A85" s="166">
        <v>3</v>
      </c>
      <c r="B85" s="166"/>
      <c r="C85" s="166">
        <v>115.7</v>
      </c>
      <c r="D85" s="166">
        <v>91.1</v>
      </c>
      <c r="E85" s="166"/>
      <c r="F85" s="166"/>
      <c r="G85" s="166"/>
      <c r="I85" s="171">
        <v>67</v>
      </c>
      <c r="J85" s="163">
        <v>3</v>
      </c>
      <c r="L85" s="172">
        <v>12132</v>
      </c>
      <c r="M85" s="171">
        <v>100.8</v>
      </c>
      <c r="N85" s="171">
        <f t="shared" si="0"/>
        <v>233.05486567164183</v>
      </c>
      <c r="V85" s="166" t="s">
        <v>7</v>
      </c>
      <c r="W85" s="173">
        <f>IF('Tab4'!C18="",'Tab4'!C17,'Tab4'!C18)</f>
        <v>444.42031264470154</v>
      </c>
      <c r="X85" s="173">
        <f>IF('Tab4'!D18="",'Tab4'!D17,'Tab4'!D18)</f>
        <v>545.64501203044745</v>
      </c>
      <c r="Y85" s="173">
        <f>IF('Tab4'!E18="",'Tab4'!E17,'Tab4'!E18)</f>
        <v>487.28217775198448</v>
      </c>
    </row>
    <row r="86" spans="1:25" x14ac:dyDescent="0.2">
      <c r="A86" s="166">
        <v>4</v>
      </c>
      <c r="B86" s="166"/>
      <c r="C86" s="166">
        <v>114.4</v>
      </c>
      <c r="D86" s="166">
        <v>90.8</v>
      </c>
      <c r="E86" s="166"/>
      <c r="F86" s="166"/>
      <c r="G86" s="166"/>
      <c r="I86" s="171">
        <v>68.5</v>
      </c>
      <c r="J86" s="163">
        <v>4</v>
      </c>
      <c r="L86" s="172">
        <v>11763</v>
      </c>
      <c r="M86" s="171">
        <v>120.6</v>
      </c>
      <c r="N86" s="171">
        <f t="shared" si="0"/>
        <v>272.72765693430659</v>
      </c>
      <c r="V86" s="163" t="s">
        <v>8</v>
      </c>
      <c r="W86" s="173">
        <f>IF('Tab4'!C20="",'Tab4'!C19,'Tab4'!C20)</f>
        <v>451.13826828194635</v>
      </c>
      <c r="X86" s="173">
        <f>IF('Tab4'!D20="",'Tab4'!D19,'Tab4'!D20)</f>
        <v>421.08048263052808</v>
      </c>
      <c r="Y86" s="173">
        <f>IF('Tab4'!E20="",'Tab4'!E19,'Tab4'!E20)</f>
        <v>510.86431403512239</v>
      </c>
    </row>
    <row r="87" spans="1:25" x14ac:dyDescent="0.2">
      <c r="A87" s="166">
        <v>1</v>
      </c>
      <c r="B87" s="166">
        <v>1987</v>
      </c>
      <c r="C87" s="166">
        <v>152.19999999999999</v>
      </c>
      <c r="D87" s="166">
        <v>121.3</v>
      </c>
      <c r="E87" s="166"/>
      <c r="F87" s="166"/>
      <c r="G87" s="166"/>
      <c r="I87" s="171">
        <v>70.5</v>
      </c>
      <c r="J87" s="163">
        <v>1</v>
      </c>
      <c r="K87" s="163">
        <v>1987</v>
      </c>
      <c r="L87" s="172">
        <v>17280</v>
      </c>
      <c r="M87" s="171">
        <v>135.6</v>
      </c>
      <c r="N87" s="171">
        <f t="shared" si="0"/>
        <v>297.9497446808511</v>
      </c>
      <c r="V87" s="166" t="s">
        <v>9</v>
      </c>
      <c r="W87" s="173">
        <f>IF('Tab4'!C20="",'Tab4'!C21,'Tab4'!C22)</f>
        <v>138.62619982034983</v>
      </c>
      <c r="X87" s="173">
        <f>IF('Tab4'!D20="",'Tab4'!D21,'Tab4'!D22)</f>
        <v>160.97506029357834</v>
      </c>
      <c r="Y87" s="173">
        <f>IF('Tab4'!E20="",'Tab4'!E21,'Tab4'!E22)</f>
        <v>218.78626308048575</v>
      </c>
    </row>
    <row r="88" spans="1:25" x14ac:dyDescent="0.2">
      <c r="A88" s="166">
        <v>2</v>
      </c>
      <c r="B88" s="166"/>
      <c r="C88" s="166">
        <v>109.2</v>
      </c>
      <c r="D88" s="166">
        <v>86.1</v>
      </c>
      <c r="E88" s="166"/>
      <c r="F88" s="166"/>
      <c r="G88" s="166"/>
      <c r="I88" s="171">
        <v>71.599999999999994</v>
      </c>
      <c r="J88" s="163">
        <v>2</v>
      </c>
      <c r="L88" s="172">
        <v>12241</v>
      </c>
      <c r="M88" s="171">
        <v>135.9</v>
      </c>
      <c r="N88" s="171">
        <f t="shared" si="0"/>
        <v>294.02135824022355</v>
      </c>
      <c r="V88" s="166" t="s">
        <v>10</v>
      </c>
      <c r="W88" s="173">
        <f>IF('Tab4'!C22="",'Tab4'!C29,'Tab4'!C30)</f>
        <v>567.076050579347</v>
      </c>
      <c r="X88" s="173">
        <f>IF('Tab4'!D22="",'Tab4'!D29,'Tab4'!D30)</f>
        <v>669.81500735484826</v>
      </c>
      <c r="Y88" s="173">
        <f>IF('Tab4'!E22="",'Tab4'!E29,'Tab4'!E30)</f>
        <v>1301.6575039202255</v>
      </c>
    </row>
    <row r="89" spans="1:25" x14ac:dyDescent="0.2">
      <c r="A89" s="166">
        <v>3</v>
      </c>
      <c r="B89" s="166"/>
      <c r="C89" s="166">
        <v>110.1</v>
      </c>
      <c r="D89" s="166">
        <v>87.3</v>
      </c>
      <c r="E89" s="166"/>
      <c r="F89" s="166"/>
      <c r="G89" s="166"/>
      <c r="I89" s="171">
        <v>72.3</v>
      </c>
      <c r="J89" s="163">
        <v>3</v>
      </c>
      <c r="L89" s="172">
        <v>11506</v>
      </c>
      <c r="M89" s="171">
        <v>112.3</v>
      </c>
      <c r="N89" s="171">
        <f t="shared" si="0"/>
        <v>240.6101279391425</v>
      </c>
      <c r="V89" s="166" t="s">
        <v>11</v>
      </c>
      <c r="W89" s="173">
        <f>IF('Tab4'!C30="",'Tab4'!C31,'Tab4'!C32)</f>
        <v>52.283765475558774</v>
      </c>
      <c r="X89" s="173">
        <f>IF('Tab4'!D30="",'Tab4'!D31,'Tab4'!D32)</f>
        <v>77.155455798829564</v>
      </c>
      <c r="Y89" s="173">
        <f>IF('Tab4'!E30="",'Tab4'!E31,'Tab4'!E32)</f>
        <v>66.770091924013826</v>
      </c>
    </row>
    <row r="90" spans="1:25" x14ac:dyDescent="0.2">
      <c r="A90" s="166">
        <v>4</v>
      </c>
      <c r="B90" s="166"/>
      <c r="C90" s="166">
        <v>112</v>
      </c>
      <c r="D90" s="166">
        <v>89.8</v>
      </c>
      <c r="E90" s="166"/>
      <c r="F90" s="166"/>
      <c r="G90" s="166"/>
      <c r="I90" s="171">
        <v>73.599999999999994</v>
      </c>
      <c r="J90" s="163">
        <v>4</v>
      </c>
      <c r="L90" s="172">
        <v>12860</v>
      </c>
      <c r="M90" s="171">
        <v>134.5</v>
      </c>
      <c r="N90" s="171">
        <f t="shared" si="0"/>
        <v>283.08503736413047</v>
      </c>
      <c r="V90" s="166" t="s">
        <v>12</v>
      </c>
      <c r="W90" s="173">
        <f>IF('Tab4'!C32="",'Tab4'!C33,'Tab4'!C34)</f>
        <v>233.93808828589471</v>
      </c>
      <c r="X90" s="173">
        <f>IF('Tab4'!D32="",'Tab4'!D33,'Tab4'!D34)</f>
        <v>286.86351714177783</v>
      </c>
      <c r="Y90" s="173">
        <f>IF('Tab4'!E32="",'Tab4'!E33,'Tab4'!E34)</f>
        <v>375.03076775466707</v>
      </c>
    </row>
    <row r="91" spans="1:25" x14ac:dyDescent="0.2">
      <c r="A91" s="166">
        <v>1</v>
      </c>
      <c r="B91" s="166">
        <v>1988</v>
      </c>
      <c r="C91" s="166">
        <v>134.1</v>
      </c>
      <c r="D91" s="166">
        <v>107.5</v>
      </c>
      <c r="E91" s="166"/>
      <c r="F91" s="166"/>
      <c r="G91" s="166"/>
      <c r="I91" s="171">
        <v>75.2</v>
      </c>
      <c r="J91" s="163">
        <v>1</v>
      </c>
      <c r="K91" s="163">
        <v>1988</v>
      </c>
      <c r="L91" s="172">
        <v>10180</v>
      </c>
      <c r="M91" s="171">
        <v>130.80000000000001</v>
      </c>
      <c r="N91" s="171">
        <f t="shared" si="0"/>
        <v>269.4401728723405</v>
      </c>
      <c r="V91" s="166" t="s">
        <v>13</v>
      </c>
      <c r="W91" s="173">
        <f>IF('Tab4'!C34="",'Tab4'!C35,'Tab4'!C36)</f>
        <v>51.82698859029982</v>
      </c>
      <c r="X91" s="173">
        <f>IF('Tab4'!D34="",'Tab4'!D35,'Tab4'!D36)</f>
        <v>43.233376973261215</v>
      </c>
      <c r="Y91" s="173">
        <f>IF('Tab4'!E34="",'Tab4'!E35,'Tab4'!E36)</f>
        <v>35.680164690636182</v>
      </c>
    </row>
    <row r="92" spans="1:25" x14ac:dyDescent="0.2">
      <c r="A92" s="166">
        <v>2</v>
      </c>
      <c r="B92" s="166"/>
      <c r="C92" s="166">
        <v>113.7</v>
      </c>
      <c r="D92" s="166">
        <v>90</v>
      </c>
      <c r="E92" s="166"/>
      <c r="F92" s="166"/>
      <c r="G92" s="166"/>
      <c r="I92" s="171">
        <v>76.7</v>
      </c>
      <c r="J92" s="163">
        <v>2</v>
      </c>
      <c r="L92" s="172">
        <v>11081</v>
      </c>
      <c r="M92" s="171">
        <v>95.1</v>
      </c>
      <c r="N92" s="171">
        <f t="shared" si="0"/>
        <v>192.06914276401568</v>
      </c>
      <c r="V92" s="166" t="s">
        <v>14</v>
      </c>
      <c r="W92" s="173">
        <f>IF('Tab4'!C38="",'Tab4'!C37,'Tab4'!C38)</f>
        <v>188.08266129477732</v>
      </c>
      <c r="X92" s="173">
        <f>IF('Tab4'!D38="",'Tab4'!D37,'Tab4'!D38)</f>
        <v>230.76050452690811</v>
      </c>
      <c r="Y92" s="173">
        <f>IF('Tab4'!E38="",'Tab4'!E37,'Tab4'!E38)</f>
        <v>254.16114653284538</v>
      </c>
    </row>
    <row r="93" spans="1:25" x14ac:dyDescent="0.2">
      <c r="A93" s="166">
        <v>3</v>
      </c>
      <c r="B93" s="166"/>
      <c r="C93" s="166">
        <v>116.3</v>
      </c>
      <c r="D93" s="166">
        <v>93.1</v>
      </c>
      <c r="E93" s="166"/>
      <c r="F93" s="166"/>
      <c r="G93" s="166"/>
      <c r="I93" s="171">
        <v>77</v>
      </c>
      <c r="J93" s="163">
        <v>3</v>
      </c>
      <c r="L93" s="172">
        <v>15987</v>
      </c>
      <c r="M93" s="171">
        <v>148.69999999999999</v>
      </c>
      <c r="N93" s="171">
        <f t="shared" si="0"/>
        <v>299.15253571428576</v>
      </c>
      <c r="V93" s="166" t="s">
        <v>85</v>
      </c>
      <c r="W93" s="174">
        <f>SUM(W83:W92)</f>
        <v>5840.510026799243</v>
      </c>
      <c r="X93" s="174">
        <f>SUM(X83:X92)</f>
        <v>6264.8205730533036</v>
      </c>
      <c r="Y93" s="174">
        <f>SUM(Y83:Y92)</f>
        <v>7467.0533951023963</v>
      </c>
    </row>
    <row r="94" spans="1:25" x14ac:dyDescent="0.2">
      <c r="A94" s="166">
        <v>4</v>
      </c>
      <c r="B94" s="166"/>
      <c r="C94" s="166">
        <v>115.2</v>
      </c>
      <c r="D94" s="166">
        <v>93.4</v>
      </c>
      <c r="E94" s="166"/>
      <c r="F94" s="166"/>
      <c r="G94" s="166"/>
      <c r="I94" s="171">
        <v>78.099999999999994</v>
      </c>
      <c r="J94" s="163">
        <v>4</v>
      </c>
      <c r="L94" s="172">
        <v>12493</v>
      </c>
      <c r="M94" s="171">
        <v>199.8</v>
      </c>
      <c r="N94" s="171">
        <f t="shared" si="0"/>
        <v>396.29345070422551</v>
      </c>
      <c r="V94" s="166"/>
      <c r="W94" s="166"/>
      <c r="X94" s="166"/>
      <c r="Y94" s="166"/>
    </row>
    <row r="95" spans="1:25" x14ac:dyDescent="0.2">
      <c r="A95" s="166">
        <v>1</v>
      </c>
      <c r="B95" s="166">
        <v>1989</v>
      </c>
      <c r="C95" s="166">
        <v>106.6</v>
      </c>
      <c r="D95" s="166">
        <v>86.4</v>
      </c>
      <c r="E95" s="166"/>
      <c r="F95" s="166"/>
      <c r="G95" s="166"/>
      <c r="I95" s="171">
        <v>78.900000000000006</v>
      </c>
      <c r="J95" s="163">
        <v>1</v>
      </c>
      <c r="K95" s="163">
        <v>1989</v>
      </c>
      <c r="L95" s="172">
        <v>10988</v>
      </c>
      <c r="M95" s="171">
        <v>142.6</v>
      </c>
      <c r="N95" s="171">
        <f t="shared" si="0"/>
        <v>279.97223700887201</v>
      </c>
      <c r="V95" s="166" t="s">
        <v>170</v>
      </c>
      <c r="W95" s="175">
        <f>+W93+X72</f>
        <v>9930.874184197979</v>
      </c>
      <c r="X95" s="175">
        <f>+X93+Y72</f>
        <v>10773.62512315148</v>
      </c>
      <c r="Y95" s="175">
        <f>+Y93+Z72</f>
        <v>11920.088559054864</v>
      </c>
    </row>
    <row r="96" spans="1:25" x14ac:dyDescent="0.2">
      <c r="A96" s="166">
        <v>2</v>
      </c>
      <c r="B96" s="166"/>
      <c r="C96" s="166">
        <v>98</v>
      </c>
      <c r="D96" s="166">
        <v>79.599999999999994</v>
      </c>
      <c r="E96" s="166"/>
      <c r="F96" s="166"/>
      <c r="G96" s="166"/>
      <c r="I96" s="171">
        <v>80.3</v>
      </c>
      <c r="J96" s="163">
        <v>2</v>
      </c>
      <c r="L96" s="172">
        <v>10292</v>
      </c>
      <c r="M96" s="171">
        <v>117.3</v>
      </c>
      <c r="N96" s="171">
        <f t="shared" si="0"/>
        <v>226.2845547945206</v>
      </c>
    </row>
    <row r="97" spans="1:25" x14ac:dyDescent="0.2">
      <c r="A97" s="166">
        <v>3</v>
      </c>
      <c r="B97" s="166"/>
      <c r="C97" s="166">
        <v>96.9</v>
      </c>
      <c r="D97" s="166">
        <v>79</v>
      </c>
      <c r="E97" s="166"/>
      <c r="F97" s="166"/>
      <c r="G97" s="166"/>
      <c r="I97" s="171">
        <v>80.599999999999994</v>
      </c>
      <c r="J97" s="163">
        <v>3</v>
      </c>
      <c r="L97" s="172">
        <v>11352</v>
      </c>
      <c r="M97" s="171">
        <v>103.6</v>
      </c>
      <c r="N97" s="171">
        <f t="shared" si="0"/>
        <v>199.11187344913154</v>
      </c>
      <c r="Y97" s="166"/>
    </row>
    <row r="98" spans="1:25" x14ac:dyDescent="0.2">
      <c r="A98" s="166">
        <v>4</v>
      </c>
      <c r="B98" s="166"/>
      <c r="C98" s="166">
        <v>93.4</v>
      </c>
      <c r="D98" s="166">
        <v>76.8</v>
      </c>
      <c r="E98" s="166"/>
      <c r="F98" s="166"/>
      <c r="G98" s="166"/>
      <c r="I98" s="171">
        <v>81.400000000000006</v>
      </c>
      <c r="J98" s="163">
        <v>4</v>
      </c>
      <c r="L98" s="172">
        <v>11958</v>
      </c>
      <c r="M98" s="171">
        <v>132</v>
      </c>
      <c r="N98" s="171">
        <f t="shared" si="0"/>
        <v>251.20135135135138</v>
      </c>
      <c r="V98" s="165" t="s">
        <v>185</v>
      </c>
      <c r="W98" s="166"/>
      <c r="X98" s="166"/>
      <c r="Y98" s="166"/>
    </row>
    <row r="99" spans="1:25" x14ac:dyDescent="0.2">
      <c r="A99" s="166">
        <v>1</v>
      </c>
      <c r="B99" s="166">
        <v>1990</v>
      </c>
      <c r="C99" s="166">
        <v>99.4</v>
      </c>
      <c r="D99" s="166">
        <v>81.3</v>
      </c>
      <c r="E99" s="166"/>
      <c r="F99" s="166"/>
      <c r="G99" s="166"/>
      <c r="I99" s="171">
        <v>82.3</v>
      </c>
      <c r="J99" s="163">
        <v>1</v>
      </c>
      <c r="K99" s="163">
        <v>1990</v>
      </c>
      <c r="L99" s="172">
        <v>13741</v>
      </c>
      <c r="M99" s="171">
        <v>142.9</v>
      </c>
      <c r="N99" s="171">
        <f t="shared" si="0"/>
        <v>268.97061664641564</v>
      </c>
      <c r="V99" s="166"/>
      <c r="X99" s="166"/>
      <c r="Y99" s="166"/>
    </row>
    <row r="100" spans="1:25" x14ac:dyDescent="0.2">
      <c r="A100" s="166">
        <v>2</v>
      </c>
      <c r="B100" s="166"/>
      <c r="C100" s="166">
        <v>88.6</v>
      </c>
      <c r="D100" s="166">
        <v>73.099999999999994</v>
      </c>
      <c r="E100" s="166"/>
      <c r="F100" s="166"/>
      <c r="G100" s="166"/>
      <c r="I100" s="171">
        <v>83.4</v>
      </c>
      <c r="J100" s="163">
        <v>2</v>
      </c>
      <c r="L100" s="172">
        <v>10045</v>
      </c>
      <c r="M100" s="171">
        <v>116.5</v>
      </c>
      <c r="N100" s="171">
        <f t="shared" si="0"/>
        <v>216.38757494004798</v>
      </c>
      <c r="V100" s="166"/>
      <c r="W100" s="170" t="str">
        <f>+W82</f>
        <v>2018</v>
      </c>
      <c r="X100" s="170" t="str">
        <f>+X82</f>
        <v>2019</v>
      </c>
      <c r="Y100" s="170" t="str">
        <f>+Y82</f>
        <v>2020</v>
      </c>
    </row>
    <row r="101" spans="1:25" x14ac:dyDescent="0.2">
      <c r="A101" s="166">
        <v>3</v>
      </c>
      <c r="B101" s="166"/>
      <c r="C101" s="166">
        <v>88.2</v>
      </c>
      <c r="D101" s="166">
        <v>72.5</v>
      </c>
      <c r="E101" s="166"/>
      <c r="F101" s="166"/>
      <c r="G101" s="166"/>
      <c r="I101" s="171">
        <v>83.7</v>
      </c>
      <c r="J101" s="163">
        <v>3</v>
      </c>
      <c r="L101" s="172">
        <v>10870</v>
      </c>
      <c r="M101" s="171">
        <v>101.4</v>
      </c>
      <c r="N101" s="171">
        <f t="shared" si="0"/>
        <v>187.66571684587819</v>
      </c>
      <c r="V101" s="166" t="s">
        <v>18</v>
      </c>
      <c r="W101" s="176">
        <f>IF('Tab7'!C10="",+'Tab7'!C9+'Tab11'!C9,+'Tab7'!C10+'Tab11'!C10)</f>
        <v>6317.397789855072</v>
      </c>
      <c r="X101" s="176">
        <f>IF('Tab7'!D10="",+'Tab7'!D9+'Tab11'!D9,+'Tab7'!D10+'Tab11'!D10)</f>
        <v>6246.0660115942028</v>
      </c>
      <c r="Y101" s="176">
        <f>IF('Tab7'!E10="",+'Tab7'!E9+'Tab11'!E9,+'Tab7'!E10+'Tab11'!E10)</f>
        <v>7817.2878601449283</v>
      </c>
    </row>
    <row r="102" spans="1:25" x14ac:dyDescent="0.2">
      <c r="A102" s="166">
        <v>4</v>
      </c>
      <c r="B102" s="166"/>
      <c r="C102" s="166">
        <v>84.8</v>
      </c>
      <c r="D102" s="166">
        <v>70.2</v>
      </c>
      <c r="E102" s="166"/>
      <c r="F102" s="166"/>
      <c r="G102" s="166"/>
      <c r="I102" s="171">
        <v>85.1</v>
      </c>
      <c r="J102" s="163">
        <v>4</v>
      </c>
      <c r="L102" s="172">
        <v>11076</v>
      </c>
      <c r="M102" s="171">
        <v>120</v>
      </c>
      <c r="N102" s="171">
        <f t="shared" si="0"/>
        <v>218.43595769682733</v>
      </c>
      <c r="V102" s="166" t="s">
        <v>86</v>
      </c>
      <c r="W102" s="176">
        <f>IF('Tab7'!C12="",+'Tab7'!C11+'Tab11'!C11,+'Tab7'!C12+'Tab11'!C12)</f>
        <v>25111.388794466402</v>
      </c>
      <c r="X102" s="176">
        <f>IF('Tab7'!D12="",+'Tab7'!D11+'Tab11'!D11,+'Tab7'!D12+'Tab11'!D12)</f>
        <v>22919.924612648225</v>
      </c>
      <c r="Y102" s="176">
        <f>IF('Tab7'!E12="",+'Tab7'!E11+'Tab11'!E11,+'Tab7'!E12+'Tab11'!E12)</f>
        <v>22417.308750988144</v>
      </c>
    </row>
    <row r="103" spans="1:25" x14ac:dyDescent="0.2">
      <c r="A103" s="166">
        <v>1</v>
      </c>
      <c r="B103" s="166">
        <v>1991</v>
      </c>
      <c r="C103" s="166">
        <v>97.5</v>
      </c>
      <c r="D103" s="166">
        <v>82.4</v>
      </c>
      <c r="E103" s="166"/>
      <c r="F103" s="166"/>
      <c r="G103" s="166"/>
      <c r="I103" s="171">
        <v>85.5</v>
      </c>
      <c r="J103" s="163">
        <v>1</v>
      </c>
      <c r="K103" s="163">
        <v>1991</v>
      </c>
      <c r="L103" s="172">
        <v>10172</v>
      </c>
      <c r="M103" s="171">
        <v>130.10000000000002</v>
      </c>
      <c r="N103" s="171">
        <f t="shared" ref="N103:N106" si="1">M103/I103*$I$69</f>
        <v>235.71304970760241</v>
      </c>
      <c r="O103" s="172">
        <v>6727</v>
      </c>
      <c r="P103" s="171">
        <v>376.9</v>
      </c>
      <c r="Q103" s="171">
        <f>P103/I103*$I$69</f>
        <v>682.86124853801175</v>
      </c>
      <c r="R103" s="172">
        <v>9077</v>
      </c>
      <c r="S103" s="171">
        <v>139.9</v>
      </c>
      <c r="T103" s="171">
        <f>S103/I103*$I$69</f>
        <v>253.46852923976613</v>
      </c>
      <c r="V103" s="166" t="s">
        <v>63</v>
      </c>
      <c r="W103" s="176">
        <f>IF('Tab7'!C14="",+'Tab7'!C13+'Tab11'!C13,+'Tab7'!C14+'Tab11'!C14)</f>
        <v>5432.8596770186341</v>
      </c>
      <c r="X103" s="176">
        <f>IF('Tab7'!D14="",+'Tab7'!D13+'Tab11'!D13,+'Tab7'!D14+'Tab11'!D14)</f>
        <v>6910.1016739130437</v>
      </c>
      <c r="Y103" s="176">
        <f>IF('Tab7'!E14="",+'Tab7'!E13+'Tab11'!E13,+'Tab7'!E14+'Tab11'!E14)</f>
        <v>8173.2696444099374</v>
      </c>
    </row>
    <row r="104" spans="1:25" x14ac:dyDescent="0.2">
      <c r="A104" s="166">
        <v>2</v>
      </c>
      <c r="B104" s="166"/>
      <c r="C104" s="166">
        <v>93.9</v>
      </c>
      <c r="D104" s="166">
        <v>78</v>
      </c>
      <c r="E104" s="166"/>
      <c r="F104" s="166"/>
      <c r="G104" s="166"/>
      <c r="I104" s="171">
        <v>86.6</v>
      </c>
      <c r="J104" s="163">
        <v>2</v>
      </c>
      <c r="L104" s="172">
        <v>10188</v>
      </c>
      <c r="M104" s="171">
        <v>126.69999999999993</v>
      </c>
      <c r="N104" s="171">
        <f t="shared" si="1"/>
        <v>226.63718533487292</v>
      </c>
      <c r="O104" s="172">
        <v>5864</v>
      </c>
      <c r="P104" s="171">
        <v>369.29999999999995</v>
      </c>
      <c r="Q104" s="171">
        <f t="shared" ref="Q104:Q167" si="2">P104/I104*$I$69</f>
        <v>660.59283775981532</v>
      </c>
      <c r="R104" s="172">
        <v>12525</v>
      </c>
      <c r="S104" s="171">
        <v>176.29999999999998</v>
      </c>
      <c r="T104" s="171">
        <f t="shared" ref="T104:T167" si="3">S104/I104*$I$69</f>
        <v>315.36018764434186</v>
      </c>
      <c r="V104" s="166" t="s">
        <v>14</v>
      </c>
      <c r="W104" s="177">
        <f>+W106-SUM(W101:W103)</f>
        <v>55384.087369318804</v>
      </c>
      <c r="X104" s="177">
        <f>+X106-SUM(X101:X103)</f>
        <v>67340.42820387517</v>
      </c>
      <c r="Y104" s="177">
        <f>+Y106-SUM(Y101:Y103)</f>
        <v>79429.819190509574</v>
      </c>
    </row>
    <row r="105" spans="1:25" x14ac:dyDescent="0.2">
      <c r="A105" s="166">
        <v>3</v>
      </c>
      <c r="B105" s="166"/>
      <c r="C105" s="166">
        <v>90.2</v>
      </c>
      <c r="D105" s="166">
        <v>76.099999999999994</v>
      </c>
      <c r="E105" s="166"/>
      <c r="F105" s="166"/>
      <c r="G105" s="166"/>
      <c r="I105" s="171">
        <v>86.6</v>
      </c>
      <c r="J105" s="163">
        <v>3</v>
      </c>
      <c r="L105" s="172">
        <v>10621</v>
      </c>
      <c r="M105" s="171">
        <v>132.60000000000002</v>
      </c>
      <c r="N105" s="171">
        <f t="shared" si="1"/>
        <v>237.19092956120102</v>
      </c>
      <c r="O105" s="172">
        <v>7951</v>
      </c>
      <c r="P105" s="171">
        <v>430.9</v>
      </c>
      <c r="Q105" s="171">
        <f t="shared" si="2"/>
        <v>770.78108256351049</v>
      </c>
      <c r="R105" s="172">
        <v>14126</v>
      </c>
      <c r="S105" s="171">
        <v>204.90000000000003</v>
      </c>
      <c r="T105" s="171">
        <f t="shared" si="3"/>
        <v>366.51901558891467</v>
      </c>
      <c r="V105" s="166"/>
      <c r="W105" s="166"/>
      <c r="X105" s="166"/>
      <c r="Y105" s="166"/>
    </row>
    <row r="106" spans="1:25" x14ac:dyDescent="0.2">
      <c r="A106" s="166">
        <v>4</v>
      </c>
      <c r="B106" s="166"/>
      <c r="C106" s="166">
        <v>92.6</v>
      </c>
      <c r="D106" s="166">
        <v>78.099999999999994</v>
      </c>
      <c r="E106" s="166"/>
      <c r="F106" s="166"/>
      <c r="G106" s="166"/>
      <c r="I106" s="171">
        <v>87.3</v>
      </c>
      <c r="J106" s="163">
        <v>4</v>
      </c>
      <c r="L106" s="172">
        <v>11640</v>
      </c>
      <c r="M106" s="171">
        <v>138.20000000000005</v>
      </c>
      <c r="N106" s="171">
        <f t="shared" si="1"/>
        <v>245.22584765177561</v>
      </c>
      <c r="O106" s="172">
        <v>13048</v>
      </c>
      <c r="P106" s="171">
        <v>427.00000000000023</v>
      </c>
      <c r="Q106" s="171">
        <f t="shared" si="2"/>
        <v>757.68044100801899</v>
      </c>
      <c r="R106" s="172">
        <v>13048</v>
      </c>
      <c r="S106" s="171">
        <v>185</v>
      </c>
      <c r="T106" s="171">
        <f t="shared" si="3"/>
        <v>328.26904352806423</v>
      </c>
      <c r="V106" s="166" t="s">
        <v>87</v>
      </c>
      <c r="W106" s="176">
        <f>IF('Tab7'!C8="",+'Tab7'!C7+'Tab11'!C7,+'Tab7'!C8+'Tab11'!C8)</f>
        <v>92245.733630658913</v>
      </c>
      <c r="X106" s="176">
        <f>IF('Tab7'!D8="",+'Tab7'!D7+'Tab11'!D7,+'Tab7'!D8+'Tab11'!D8)</f>
        <v>103416.52050203063</v>
      </c>
      <c r="Y106" s="176">
        <f>IF('Tab7'!E8="",+'Tab7'!E7+'Tab11'!E7,+'Tab7'!E8+'Tab11'!E8)</f>
        <v>117837.68544605258</v>
      </c>
    </row>
    <row r="107" spans="1:25" x14ac:dyDescent="0.2">
      <c r="A107" s="166">
        <v>1</v>
      </c>
      <c r="B107" s="166">
        <v>1992</v>
      </c>
      <c r="C107" s="166">
        <v>102</v>
      </c>
      <c r="D107" s="166">
        <v>87.1</v>
      </c>
      <c r="E107" s="166"/>
      <c r="F107" s="166"/>
      <c r="G107" s="166"/>
      <c r="I107" s="171">
        <v>87.5</v>
      </c>
      <c r="J107" s="163">
        <v>1</v>
      </c>
      <c r="K107" s="163">
        <v>1992</v>
      </c>
      <c r="L107" s="172">
        <v>10520</v>
      </c>
      <c r="M107" s="171">
        <v>129.4</v>
      </c>
      <c r="N107" s="171">
        <f>M107/I107*$I$69</f>
        <v>229.08606285714291</v>
      </c>
      <c r="O107" s="172">
        <v>6509</v>
      </c>
      <c r="P107" s="171">
        <v>409.5</v>
      </c>
      <c r="Q107" s="171">
        <f t="shared" si="2"/>
        <v>724.96710000000007</v>
      </c>
      <c r="R107" s="172">
        <v>11030</v>
      </c>
      <c r="S107" s="171">
        <v>180.5</v>
      </c>
      <c r="T107" s="171">
        <f t="shared" si="3"/>
        <v>319.55204285714291</v>
      </c>
    </row>
    <row r="108" spans="1:25" x14ac:dyDescent="0.2">
      <c r="A108" s="166">
        <v>2</v>
      </c>
      <c r="B108" s="166"/>
      <c r="C108" s="166">
        <v>92.2</v>
      </c>
      <c r="D108" s="166">
        <v>78.900000000000006</v>
      </c>
      <c r="E108" s="166"/>
      <c r="F108" s="166"/>
      <c r="G108" s="166"/>
      <c r="I108" s="171">
        <v>88.6</v>
      </c>
      <c r="J108" s="163">
        <v>2</v>
      </c>
      <c r="L108" s="172">
        <v>10661</v>
      </c>
      <c r="M108" s="171">
        <v>112.9</v>
      </c>
      <c r="N108" s="171">
        <f t="shared" ref="N108:N171" si="4">M108/I108*$I$69</f>
        <v>197.39341704288947</v>
      </c>
      <c r="O108" s="172">
        <v>5632</v>
      </c>
      <c r="P108" s="171">
        <v>412</v>
      </c>
      <c r="Q108" s="171">
        <f t="shared" si="2"/>
        <v>720.33735891647871</v>
      </c>
      <c r="R108" s="172">
        <v>13252</v>
      </c>
      <c r="S108" s="171">
        <v>167</v>
      </c>
      <c r="T108" s="171">
        <f t="shared" si="3"/>
        <v>291.98140519187365</v>
      </c>
    </row>
    <row r="109" spans="1:25" x14ac:dyDescent="0.2">
      <c r="A109" s="166">
        <v>3</v>
      </c>
      <c r="B109" s="166"/>
      <c r="C109" s="166">
        <v>93.3</v>
      </c>
      <c r="D109" s="166">
        <v>79.900000000000006</v>
      </c>
      <c r="E109" s="166"/>
      <c r="F109" s="166"/>
      <c r="G109" s="166"/>
      <c r="I109" s="171">
        <v>88.7</v>
      </c>
      <c r="J109" s="163">
        <v>3</v>
      </c>
      <c r="L109" s="172">
        <v>11590</v>
      </c>
      <c r="M109" s="171">
        <v>130.59999999999997</v>
      </c>
      <c r="N109" s="171">
        <f t="shared" si="4"/>
        <v>228.082519729425</v>
      </c>
      <c r="O109" s="172">
        <v>8642</v>
      </c>
      <c r="P109" s="171">
        <v>440.40000000000009</v>
      </c>
      <c r="Q109" s="171">
        <f t="shared" si="2"/>
        <v>769.12359639233398</v>
      </c>
      <c r="R109" s="172">
        <v>15450</v>
      </c>
      <c r="S109" s="171">
        <v>219.10000000000002</v>
      </c>
      <c r="T109" s="171">
        <f t="shared" si="3"/>
        <v>382.64073562570468</v>
      </c>
      <c r="V109" s="165" t="s">
        <v>186</v>
      </c>
      <c r="W109" s="166"/>
      <c r="X109" s="166"/>
      <c r="Y109" s="166"/>
    </row>
    <row r="110" spans="1:25" x14ac:dyDescent="0.2">
      <c r="A110" s="166">
        <v>4</v>
      </c>
      <c r="B110" s="166"/>
      <c r="C110" s="166">
        <v>90.8</v>
      </c>
      <c r="D110" s="166">
        <v>77.599999999999994</v>
      </c>
      <c r="E110" s="166"/>
      <c r="F110" s="166"/>
      <c r="G110" s="166"/>
      <c r="I110" s="171">
        <v>89.3</v>
      </c>
      <c r="J110" s="163">
        <v>4</v>
      </c>
      <c r="L110" s="172">
        <v>11917</v>
      </c>
      <c r="M110" s="171">
        <v>108.50000000000006</v>
      </c>
      <c r="N110" s="171">
        <f t="shared" si="4"/>
        <v>188.2134798432252</v>
      </c>
      <c r="O110" s="172">
        <v>7139</v>
      </c>
      <c r="P110" s="171">
        <v>425.59999999999991</v>
      </c>
      <c r="Q110" s="171">
        <f t="shared" si="2"/>
        <v>738.28255319148934</v>
      </c>
      <c r="R110" s="172">
        <v>12309</v>
      </c>
      <c r="S110" s="171">
        <v>109.39999999999998</v>
      </c>
      <c r="T110" s="171">
        <f t="shared" si="3"/>
        <v>189.77469764837628</v>
      </c>
      <c r="V110" s="166"/>
      <c r="W110" s="166"/>
      <c r="X110" s="166"/>
      <c r="Y110" s="166"/>
    </row>
    <row r="111" spans="1:25" x14ac:dyDescent="0.2">
      <c r="A111" s="166">
        <v>1</v>
      </c>
      <c r="B111" s="166">
        <v>1993</v>
      </c>
      <c r="C111" s="166">
        <v>112.6</v>
      </c>
      <c r="D111" s="166">
        <v>96.5</v>
      </c>
      <c r="E111" s="166"/>
      <c r="F111" s="166"/>
      <c r="G111" s="166"/>
      <c r="I111" s="171">
        <v>89.8</v>
      </c>
      <c r="J111" s="163">
        <v>1</v>
      </c>
      <c r="K111" s="163">
        <v>1993</v>
      </c>
      <c r="L111" s="172">
        <v>11275</v>
      </c>
      <c r="M111" s="171">
        <v>136.89999999999998</v>
      </c>
      <c r="N111" s="171">
        <f t="shared" si="4"/>
        <v>236.15631124721605</v>
      </c>
      <c r="O111" s="172">
        <v>6982</v>
      </c>
      <c r="P111" s="171">
        <v>449.4</v>
      </c>
      <c r="Q111" s="171">
        <f t="shared" si="2"/>
        <v>775.22751113585764</v>
      </c>
      <c r="R111" s="172">
        <v>10571</v>
      </c>
      <c r="S111" s="171">
        <v>175.5</v>
      </c>
      <c r="T111" s="171">
        <f t="shared" si="3"/>
        <v>302.7423858574611</v>
      </c>
      <c r="V111" s="166"/>
      <c r="W111" s="170" t="str">
        <f>+W100</f>
        <v>2018</v>
      </c>
      <c r="X111" s="170" t="str">
        <f>+X100</f>
        <v>2019</v>
      </c>
      <c r="Y111" s="170" t="str">
        <f>+Y100</f>
        <v>2020</v>
      </c>
    </row>
    <row r="112" spans="1:25" x14ac:dyDescent="0.2">
      <c r="A112" s="166">
        <v>2</v>
      </c>
      <c r="B112" s="166"/>
      <c r="C112" s="166">
        <f>205.6-C111</f>
        <v>93</v>
      </c>
      <c r="D112" s="166">
        <f>176.6-D111</f>
        <v>80.099999999999994</v>
      </c>
      <c r="E112" s="166"/>
      <c r="F112" s="166"/>
      <c r="G112" s="166"/>
      <c r="I112" s="171">
        <v>90.8</v>
      </c>
      <c r="J112" s="163">
        <v>2</v>
      </c>
      <c r="L112" s="172">
        <v>10076</v>
      </c>
      <c r="M112" s="171">
        <v>115.20000000000002</v>
      </c>
      <c r="N112" s="171">
        <f t="shared" si="4"/>
        <v>196.53462555066088</v>
      </c>
      <c r="O112" s="172">
        <v>6332</v>
      </c>
      <c r="P112" s="171">
        <v>352.9</v>
      </c>
      <c r="Q112" s="171">
        <f t="shared" si="2"/>
        <v>602.05789372246704</v>
      </c>
      <c r="R112" s="172">
        <v>12919</v>
      </c>
      <c r="S112" s="171">
        <v>191.20000000000005</v>
      </c>
      <c r="T112" s="171">
        <f t="shared" si="3"/>
        <v>326.19288546255518</v>
      </c>
      <c r="V112" s="166" t="s">
        <v>171</v>
      </c>
      <c r="W112" s="175">
        <f>IF('Tab7'!C38="",+'Tab7'!C37+'Tab11'!C37,+'Tab7'!C38+'Tab11'!C38)</f>
        <v>1261.6003618581506</v>
      </c>
      <c r="X112" s="175">
        <f>IF('Tab7'!D38="",+'Tab7'!D37+'Tab11'!D37,+'Tab7'!D38+'Tab11'!D38)</f>
        <v>1397.4160606846908</v>
      </c>
      <c r="Y112" s="175">
        <f>IF('Tab7'!E38="",+'Tab7'!E37+'Tab11'!E37,+'Tab7'!E38+'Tab11'!E38)</f>
        <v>1773.3957103534681</v>
      </c>
    </row>
    <row r="113" spans="1:25" x14ac:dyDescent="0.2">
      <c r="A113" s="166">
        <v>3</v>
      </c>
      <c r="B113" s="166"/>
      <c r="C113" s="166">
        <f>293.1-C112-C111</f>
        <v>87.500000000000028</v>
      </c>
      <c r="D113" s="166">
        <f>250.2-D112-D111</f>
        <v>73.599999999999994</v>
      </c>
      <c r="E113" s="166"/>
      <c r="F113" s="166"/>
      <c r="G113" s="166"/>
      <c r="I113" s="171">
        <v>90.6</v>
      </c>
      <c r="J113" s="163">
        <v>3</v>
      </c>
      <c r="L113" s="172">
        <v>11766</v>
      </c>
      <c r="M113" s="171">
        <v>132.79999999999998</v>
      </c>
      <c r="N113" s="171">
        <f t="shared" si="4"/>
        <v>227.06088300220753</v>
      </c>
      <c r="O113" s="172">
        <v>6675</v>
      </c>
      <c r="P113" s="171">
        <v>388.50000000000023</v>
      </c>
      <c r="Q113" s="171">
        <f t="shared" si="2"/>
        <v>664.25567052980182</v>
      </c>
      <c r="R113" s="172">
        <v>14800</v>
      </c>
      <c r="S113" s="171">
        <v>216.89999999999998</v>
      </c>
      <c r="T113" s="171">
        <f t="shared" si="3"/>
        <v>370.85471026490069</v>
      </c>
      <c r="V113" s="166" t="s">
        <v>86</v>
      </c>
      <c r="W113" s="175">
        <f>IF('Tab7'!C40="",+'Tab7'!C39+'Tab11'!C39,+'Tab7'!C40+'Tab11'!C40)</f>
        <v>1175.3156799844853</v>
      </c>
      <c r="X113" s="175">
        <f>IF('Tab7'!D40="",+'Tab7'!D39+'Tab11'!D39,+'Tab7'!D40+'Tab11'!D40)</f>
        <v>1170.7788601930165</v>
      </c>
      <c r="Y113" s="175">
        <f>IF('Tab7'!E40="",+'Tab7'!E39+'Tab11'!E39,+'Tab7'!E40+'Tab11'!E40)</f>
        <v>1187.0066434405767</v>
      </c>
    </row>
    <row r="114" spans="1:25" x14ac:dyDescent="0.2">
      <c r="A114" s="166">
        <v>4</v>
      </c>
      <c r="B114" s="166"/>
      <c r="C114" s="166">
        <f>413.2-C113-C112-C111</f>
        <v>120.09999999999994</v>
      </c>
      <c r="D114" s="166">
        <f>356.8-D113-D112-D111</f>
        <v>106.60000000000005</v>
      </c>
      <c r="E114" s="166"/>
      <c r="F114" s="166"/>
      <c r="G114" s="166"/>
      <c r="I114" s="171">
        <v>91</v>
      </c>
      <c r="J114" s="163">
        <v>4</v>
      </c>
      <c r="L114" s="172">
        <v>12707</v>
      </c>
      <c r="M114" s="171">
        <v>157.79999999999995</v>
      </c>
      <c r="N114" s="171">
        <f t="shared" si="4"/>
        <v>268.61981868131863</v>
      </c>
      <c r="O114" s="172">
        <v>6319</v>
      </c>
      <c r="P114" s="171">
        <v>466.99999999999977</v>
      </c>
      <c r="Q114" s="171">
        <f t="shared" si="2"/>
        <v>794.96486263736244</v>
      </c>
      <c r="R114" s="172">
        <v>11391</v>
      </c>
      <c r="S114" s="171">
        <v>164.5</v>
      </c>
      <c r="T114" s="171">
        <f t="shared" si="3"/>
        <v>280.02509615384622</v>
      </c>
      <c r="V114" s="166" t="s">
        <v>63</v>
      </c>
      <c r="W114" s="175">
        <f>IF('Tab7'!C42="",+'Tab7'!C41+'Tab11'!C41,+'Tab7'!C42+'Tab11'!C42)</f>
        <v>116.1862852864825</v>
      </c>
      <c r="X114" s="175">
        <f>IF('Tab7'!D42="",+'Tab7'!D41+'Tab11'!D41,+'Tab7'!D42+'Tab11'!D42)</f>
        <v>123.67116062391185</v>
      </c>
      <c r="Y114" s="175">
        <f>IF('Tab7'!E42="",+'Tab7'!E41+'Tab11'!E41,+'Tab7'!E42+'Tab11'!E42)</f>
        <v>145.83786039029874</v>
      </c>
    </row>
    <row r="115" spans="1:25" x14ac:dyDescent="0.2">
      <c r="A115" s="166">
        <v>1</v>
      </c>
      <c r="B115" s="166">
        <v>1994</v>
      </c>
      <c r="C115" s="166">
        <v>138.4</v>
      </c>
      <c r="D115" s="166">
        <v>120</v>
      </c>
      <c r="E115" s="166"/>
      <c r="F115" s="166"/>
      <c r="G115" s="166"/>
      <c r="I115" s="171">
        <v>91</v>
      </c>
      <c r="J115" s="163">
        <v>1</v>
      </c>
      <c r="K115" s="163">
        <v>1994</v>
      </c>
      <c r="L115" s="172">
        <v>15224</v>
      </c>
      <c r="M115" s="171">
        <v>189</v>
      </c>
      <c r="N115" s="171">
        <f t="shared" si="4"/>
        <v>321.7309615384616</v>
      </c>
      <c r="O115" s="172">
        <v>6291</v>
      </c>
      <c r="P115" s="171">
        <v>427.6</v>
      </c>
      <c r="Q115" s="171">
        <f t="shared" si="2"/>
        <v>727.8950219780221</v>
      </c>
      <c r="R115" s="172">
        <v>8795</v>
      </c>
      <c r="S115" s="171">
        <v>161.69999999999999</v>
      </c>
      <c r="T115" s="171">
        <f t="shared" si="3"/>
        <v>275.25871153846157</v>
      </c>
      <c r="V115" s="166" t="s">
        <v>14</v>
      </c>
      <c r="W115" s="178">
        <f>+W117-SUM(W112:W114)</f>
        <v>1160.0153646972481</v>
      </c>
      <c r="X115" s="178">
        <f>+X117-SUM(X112:X114)</f>
        <v>1137.4260748015049</v>
      </c>
      <c r="Y115" s="178">
        <f>+Y117-SUM(Y112:Y114)</f>
        <v>1110.5807512280721</v>
      </c>
    </row>
    <row r="116" spans="1:25" x14ac:dyDescent="0.2">
      <c r="A116" s="166">
        <v>2</v>
      </c>
      <c r="B116" s="166"/>
      <c r="C116" s="166">
        <f>252.9-C115</f>
        <v>114.5</v>
      </c>
      <c r="D116" s="166">
        <f>218.1-D115</f>
        <v>98.1</v>
      </c>
      <c r="E116" s="166"/>
      <c r="F116" s="166"/>
      <c r="G116" s="166"/>
      <c r="I116" s="171">
        <v>91.7</v>
      </c>
      <c r="J116" s="163">
        <v>2</v>
      </c>
      <c r="L116" s="172">
        <v>13585</v>
      </c>
      <c r="M116" s="171">
        <v>166.5</v>
      </c>
      <c r="N116" s="171">
        <f t="shared" si="4"/>
        <v>281.26607142857148</v>
      </c>
      <c r="O116" s="172">
        <v>5517</v>
      </c>
      <c r="P116" s="171">
        <v>494.30000000000007</v>
      </c>
      <c r="Q116" s="171">
        <f t="shared" si="2"/>
        <v>835.01392857142878</v>
      </c>
      <c r="R116" s="172">
        <v>13449</v>
      </c>
      <c r="S116" s="171">
        <v>196.2</v>
      </c>
      <c r="T116" s="171">
        <f t="shared" si="3"/>
        <v>331.43785714285718</v>
      </c>
      <c r="V116" s="166"/>
      <c r="W116" s="175"/>
      <c r="X116" s="175"/>
      <c r="Y116" s="175"/>
    </row>
    <row r="117" spans="1:25" x14ac:dyDescent="0.2">
      <c r="A117" s="166">
        <v>3</v>
      </c>
      <c r="B117" s="166"/>
      <c r="C117" s="166">
        <f>365.7-C115-C116</f>
        <v>112.79999999999998</v>
      </c>
      <c r="D117" s="166">
        <f>316.9-D115-D116</f>
        <v>98.799999999999983</v>
      </c>
      <c r="E117" s="166"/>
      <c r="F117" s="166"/>
      <c r="G117" s="166"/>
      <c r="I117" s="171">
        <v>92.1</v>
      </c>
      <c r="J117" s="163">
        <v>3</v>
      </c>
      <c r="L117" s="172">
        <v>13956</v>
      </c>
      <c r="M117" s="171">
        <v>169.89999999999998</v>
      </c>
      <c r="N117" s="171">
        <f t="shared" si="4"/>
        <v>285.7631297502715</v>
      </c>
      <c r="O117" s="172">
        <v>8952</v>
      </c>
      <c r="P117" s="171">
        <v>425.5</v>
      </c>
      <c r="Q117" s="171">
        <f t="shared" si="2"/>
        <v>715.66928610206321</v>
      </c>
      <c r="R117" s="172">
        <v>15669</v>
      </c>
      <c r="S117" s="171">
        <v>219.80000000000007</v>
      </c>
      <c r="T117" s="171">
        <f t="shared" si="3"/>
        <v>369.69238327904475</v>
      </c>
      <c r="V117" s="166" t="s">
        <v>87</v>
      </c>
      <c r="W117" s="175">
        <f>IF('Tab7'!C36="",+'Tab7'!C35+'Tab11'!C35,+'Tab7'!C36+'Tab11'!C36)</f>
        <v>3713.1176918263664</v>
      </c>
      <c r="X117" s="175">
        <f>IF('Tab7'!D36="",+'Tab7'!D35+'Tab11'!D35,+'Tab7'!D36+'Tab11'!D36)</f>
        <v>3829.2921563031241</v>
      </c>
      <c r="Y117" s="175">
        <f>IF('Tab7'!E36="",+'Tab7'!E35+'Tab11'!E35,+'Tab7'!E36+'Tab11'!E36)</f>
        <v>4216.8209654124157</v>
      </c>
    </row>
    <row r="118" spans="1:25" x14ac:dyDescent="0.2">
      <c r="A118" s="166">
        <v>4</v>
      </c>
      <c r="B118" s="166"/>
      <c r="C118" s="166">
        <f>480.2-C115-C116-C117</f>
        <v>114.49999999999997</v>
      </c>
      <c r="D118" s="166">
        <f>417.1-D115-D116-D117</f>
        <v>100.20000000000005</v>
      </c>
      <c r="E118" s="166"/>
      <c r="F118" s="166"/>
      <c r="G118" s="166"/>
      <c r="I118" s="171">
        <v>92.6</v>
      </c>
      <c r="J118" s="163">
        <v>4</v>
      </c>
      <c r="L118" s="172">
        <v>14006</v>
      </c>
      <c r="M118" s="171">
        <v>140.80000000000007</v>
      </c>
      <c r="N118" s="171">
        <f t="shared" si="4"/>
        <v>235.53969762419021</v>
      </c>
      <c r="O118" s="172">
        <v>8189</v>
      </c>
      <c r="P118" s="171">
        <v>390.59999999999991</v>
      </c>
      <c r="Q118" s="171">
        <f t="shared" si="2"/>
        <v>653.42191684665238</v>
      </c>
      <c r="R118" s="172">
        <v>14139</v>
      </c>
      <c r="S118" s="171">
        <v>214.39999999999998</v>
      </c>
      <c r="T118" s="171">
        <f t="shared" si="3"/>
        <v>358.66272138228948</v>
      </c>
      <c r="V118" s="166"/>
      <c r="X118" s="166"/>
    </row>
    <row r="119" spans="1:25" x14ac:dyDescent="0.2">
      <c r="A119" s="166">
        <v>1</v>
      </c>
      <c r="B119" s="166">
        <v>1995</v>
      </c>
      <c r="C119" s="166">
        <v>137.19999999999999</v>
      </c>
      <c r="D119" s="166">
        <v>119.3</v>
      </c>
      <c r="E119" s="166"/>
      <c r="F119" s="166"/>
      <c r="G119" s="166"/>
      <c r="I119" s="171">
        <v>93.4</v>
      </c>
      <c r="J119" s="163">
        <v>1</v>
      </c>
      <c r="K119" s="163">
        <v>1995</v>
      </c>
      <c r="L119" s="172">
        <v>13188</v>
      </c>
      <c r="M119" s="171">
        <v>171.1</v>
      </c>
      <c r="N119" s="171">
        <f t="shared" si="4"/>
        <v>283.77594486081375</v>
      </c>
      <c r="O119" s="172">
        <v>7699</v>
      </c>
      <c r="P119" s="171">
        <v>543</v>
      </c>
      <c r="Q119" s="171">
        <f t="shared" si="2"/>
        <v>900.58642933618853</v>
      </c>
      <c r="R119" s="172">
        <v>11007</v>
      </c>
      <c r="S119" s="171">
        <v>183.1</v>
      </c>
      <c r="T119" s="171">
        <f t="shared" si="3"/>
        <v>303.67840738758036</v>
      </c>
      <c r="V119" s="165" t="s">
        <v>180</v>
      </c>
    </row>
    <row r="120" spans="1:25" x14ac:dyDescent="0.2">
      <c r="A120" s="166">
        <v>2</v>
      </c>
      <c r="B120" s="166"/>
      <c r="C120" s="166">
        <f>248.2-C119</f>
        <v>111</v>
      </c>
      <c r="D120" s="166">
        <f>214.7-D119</f>
        <v>95.399999999999991</v>
      </c>
      <c r="E120" s="166"/>
      <c r="F120" s="166"/>
      <c r="G120" s="166"/>
      <c r="I120" s="171">
        <v>94.1</v>
      </c>
      <c r="J120" s="163">
        <v>2</v>
      </c>
      <c r="L120" s="172">
        <v>11077</v>
      </c>
      <c r="M120" s="171">
        <v>148.30000000000004</v>
      </c>
      <c r="N120" s="171">
        <f t="shared" si="4"/>
        <v>244.13158607863988</v>
      </c>
      <c r="O120" s="172">
        <v>5465</v>
      </c>
      <c r="P120" s="171">
        <v>462.40000000000009</v>
      </c>
      <c r="Q120" s="171">
        <f t="shared" si="2"/>
        <v>761.2032731137092</v>
      </c>
      <c r="R120" s="172">
        <v>13915</v>
      </c>
      <c r="S120" s="171">
        <v>213.4</v>
      </c>
      <c r="T120" s="171">
        <f t="shared" si="3"/>
        <v>351.29926142401706</v>
      </c>
    </row>
    <row r="121" spans="1:25" x14ac:dyDescent="0.2">
      <c r="A121" s="166">
        <v>3</v>
      </c>
      <c r="B121" s="166"/>
      <c r="C121" s="166">
        <f>364.1-C119-C120</f>
        <v>115.90000000000003</v>
      </c>
      <c r="D121" s="166">
        <f>315.7-D119-D120</f>
        <v>100.99999999999999</v>
      </c>
      <c r="E121" s="166"/>
      <c r="F121" s="166"/>
      <c r="G121" s="166"/>
      <c r="I121" s="171">
        <v>94.1</v>
      </c>
      <c r="J121" s="163">
        <v>3</v>
      </c>
      <c r="L121" s="172">
        <v>13937</v>
      </c>
      <c r="M121" s="171">
        <v>180.19999999999993</v>
      </c>
      <c r="N121" s="171">
        <f t="shared" si="4"/>
        <v>296.64539319872472</v>
      </c>
      <c r="O121" s="172">
        <v>9139</v>
      </c>
      <c r="P121" s="171">
        <v>487.89999999999986</v>
      </c>
      <c r="Q121" s="171">
        <f t="shared" si="2"/>
        <v>803.18139479277352</v>
      </c>
      <c r="R121" s="172">
        <v>17436</v>
      </c>
      <c r="S121" s="171">
        <v>224.09999999999991</v>
      </c>
      <c r="T121" s="171">
        <f t="shared" si="3"/>
        <v>368.91361052072256</v>
      </c>
      <c r="V121" s="166"/>
      <c r="W121" s="170" t="str">
        <f>+'Tab3'!C6</f>
        <v>2018</v>
      </c>
      <c r="X121" s="170" t="str">
        <f>+'Tab3'!D6</f>
        <v>2019</v>
      </c>
      <c r="Y121" s="170" t="str">
        <f>+'Tab3'!E6</f>
        <v>2020</v>
      </c>
    </row>
    <row r="122" spans="1:25" x14ac:dyDescent="0.2">
      <c r="A122" s="166">
        <v>4</v>
      </c>
      <c r="B122" s="166"/>
      <c r="C122" s="166">
        <f>482.9-C119-C120-C121</f>
        <v>118.79999999999995</v>
      </c>
      <c r="D122" s="166">
        <f>420.1-D119-D120-D121</f>
        <v>104.40000000000005</v>
      </c>
      <c r="E122" s="166"/>
      <c r="F122" s="166"/>
      <c r="G122" s="166"/>
      <c r="I122" s="171">
        <v>94.6</v>
      </c>
      <c r="J122" s="163">
        <v>4</v>
      </c>
      <c r="L122" s="172">
        <v>13920</v>
      </c>
      <c r="M122" s="171">
        <v>172.00000000000006</v>
      </c>
      <c r="N122" s="171">
        <f t="shared" si="4"/>
        <v>281.65000000000015</v>
      </c>
      <c r="O122" s="172">
        <v>7500</v>
      </c>
      <c r="P122" s="171">
        <v>369.89999999999986</v>
      </c>
      <c r="Q122" s="171">
        <f t="shared" si="2"/>
        <v>605.71124999999995</v>
      </c>
      <c r="R122" s="172">
        <v>15130</v>
      </c>
      <c r="S122" s="171">
        <v>206.30000000000018</v>
      </c>
      <c r="T122" s="171">
        <f t="shared" si="3"/>
        <v>337.81625000000037</v>
      </c>
      <c r="V122" s="166" t="s">
        <v>10</v>
      </c>
      <c r="W122" s="170">
        <f>IF('Tab3'!C22="",'Tab3'!C29,'Tab3'!C30)</f>
        <v>76206</v>
      </c>
      <c r="X122" s="170">
        <f>IF('Tab3'!D22="",'Tab3'!D29,'Tab3'!D30)</f>
        <v>81899</v>
      </c>
      <c r="Y122" s="170">
        <f>IF('Tab3'!E22="",'Tab3'!E29,'Tab3'!E30)</f>
        <v>161886</v>
      </c>
    </row>
    <row r="123" spans="1:25" x14ac:dyDescent="0.2">
      <c r="A123" s="166">
        <v>1</v>
      </c>
      <c r="B123" s="166">
        <v>1996</v>
      </c>
      <c r="C123" s="166">
        <v>143.9</v>
      </c>
      <c r="D123" s="166">
        <v>126.9</v>
      </c>
      <c r="E123" s="166"/>
      <c r="F123" s="166"/>
      <c r="G123" s="166"/>
      <c r="I123" s="171">
        <v>94.2</v>
      </c>
      <c r="J123" s="163">
        <v>1</v>
      </c>
      <c r="K123" s="163">
        <v>1996</v>
      </c>
      <c r="L123" s="172">
        <v>29850</v>
      </c>
      <c r="M123" s="171">
        <v>375.59999999999997</v>
      </c>
      <c r="N123" s="171">
        <f t="shared" si="4"/>
        <v>617.65665605095546</v>
      </c>
      <c r="O123" s="172">
        <v>7239</v>
      </c>
      <c r="P123" s="171">
        <v>479.9</v>
      </c>
      <c r="Q123" s="171">
        <f t="shared" si="2"/>
        <v>789.17313428874752</v>
      </c>
      <c r="R123" s="172">
        <v>11785</v>
      </c>
      <c r="S123" s="171">
        <v>198.60000000000002</v>
      </c>
      <c r="T123" s="171">
        <f t="shared" si="3"/>
        <v>326.58842356687904</v>
      </c>
      <c r="V123" s="163" t="s">
        <v>112</v>
      </c>
      <c r="W123" s="170">
        <f>IF('Tab9'!C8="",'Tab9'!C7,'Tab9'!C8)</f>
        <v>33394.176842986446</v>
      </c>
      <c r="X123" s="170">
        <f>IF('Tab9'!D8="",'Tab9'!D7,'Tab9'!D8)</f>
        <v>32150.909694972008</v>
      </c>
      <c r="Y123" s="170">
        <f>IF('Tab9'!E8="",'Tab9'!E7,'Tab9'!E8)</f>
        <v>33920.378607928287</v>
      </c>
    </row>
    <row r="124" spans="1:25" x14ac:dyDescent="0.2">
      <c r="A124" s="166">
        <v>2</v>
      </c>
      <c r="B124" s="166"/>
      <c r="C124" s="166">
        <f>275.5-C123</f>
        <v>131.6</v>
      </c>
      <c r="D124" s="166">
        <f>242.6-D123</f>
        <v>115.69999999999999</v>
      </c>
      <c r="E124" s="166"/>
      <c r="F124" s="166"/>
      <c r="G124" s="166"/>
      <c r="I124" s="171">
        <v>95.1</v>
      </c>
      <c r="J124" s="163">
        <v>2</v>
      </c>
      <c r="L124" s="172">
        <v>17799</v>
      </c>
      <c r="M124" s="171">
        <v>234.8</v>
      </c>
      <c r="N124" s="171">
        <f t="shared" si="4"/>
        <v>382.46352260778139</v>
      </c>
      <c r="O124" s="172">
        <v>6503</v>
      </c>
      <c r="P124" s="171">
        <v>585.30000000000007</v>
      </c>
      <c r="Q124" s="171">
        <f t="shared" si="2"/>
        <v>953.38969242902238</v>
      </c>
      <c r="R124" s="172">
        <v>14642</v>
      </c>
      <c r="S124" s="171">
        <v>220.09999999999997</v>
      </c>
      <c r="T124" s="171">
        <f t="shared" si="3"/>
        <v>358.51883017875923</v>
      </c>
      <c r="V124" s="163" t="s">
        <v>111</v>
      </c>
      <c r="W124" s="170">
        <f>IF('Tab8'!C8="",'Tab8'!C7,'Tab8'!C8)</f>
        <v>34728.323898219358</v>
      </c>
      <c r="X124" s="170">
        <f>IF('Tab8'!D8="",'Tab8'!D7,'Tab8'!D8)</f>
        <v>46176.703657196675</v>
      </c>
      <c r="Y124" s="170">
        <f>IF('Tab8'!E8="",'Tab8'!E7,'Tab8'!E8)</f>
        <v>50451.839690263172</v>
      </c>
    </row>
    <row r="125" spans="1:25" x14ac:dyDescent="0.2">
      <c r="A125" s="166">
        <v>3</v>
      </c>
      <c r="B125" s="166"/>
      <c r="C125" s="166">
        <f>387.5-C123-C124</f>
        <v>112</v>
      </c>
      <c r="D125" s="166">
        <f>339.3-D123-D124</f>
        <v>96.700000000000017</v>
      </c>
      <c r="E125" s="166"/>
      <c r="F125" s="166"/>
      <c r="G125" s="166"/>
      <c r="I125" s="171">
        <v>95.5</v>
      </c>
      <c r="J125" s="163">
        <v>3</v>
      </c>
      <c r="L125" s="172">
        <v>16263</v>
      </c>
      <c r="M125" s="171">
        <v>240.00000000000011</v>
      </c>
      <c r="N125" s="171">
        <f t="shared" si="4"/>
        <v>389.2963350785343</v>
      </c>
      <c r="O125" s="172">
        <v>8934</v>
      </c>
      <c r="P125" s="171">
        <v>581.89999999999986</v>
      </c>
      <c r="Q125" s="171">
        <f t="shared" si="2"/>
        <v>943.88140575916225</v>
      </c>
      <c r="R125" s="172">
        <v>17198</v>
      </c>
      <c r="S125" s="171">
        <v>233.2</v>
      </c>
      <c r="T125" s="171">
        <f t="shared" si="3"/>
        <v>378.26627225130898</v>
      </c>
      <c r="V125" s="166" t="s">
        <v>169</v>
      </c>
      <c r="W125" s="170">
        <f>IF('Tab3'!C16="",'Tab3'!C15,'Tab3'!C16)</f>
        <v>12011.183150183149</v>
      </c>
      <c r="X125" s="170">
        <f>IF('Tab3'!D16="",'Tab3'!D15,'Tab3'!D16)</f>
        <v>12689.963847746456</v>
      </c>
      <c r="Y125" s="170">
        <f>IF('Tab3'!E16="",'Tab3'!E15,'Tab3'!E16)</f>
        <v>11962.421245421247</v>
      </c>
    </row>
    <row r="126" spans="1:25" x14ac:dyDescent="0.2">
      <c r="A126" s="166">
        <v>4</v>
      </c>
      <c r="B126" s="166"/>
      <c r="C126" s="166">
        <f>520-C123-C124-C125</f>
        <v>132.50000000000003</v>
      </c>
      <c r="D126" s="166">
        <f>452.4-D123-D124-D125</f>
        <v>113.1</v>
      </c>
      <c r="E126" s="166"/>
      <c r="F126" s="166"/>
      <c r="G126" s="166"/>
      <c r="I126" s="171">
        <v>96.3</v>
      </c>
      <c r="J126" s="163">
        <v>4</v>
      </c>
      <c r="L126" s="172">
        <v>16638</v>
      </c>
      <c r="M126" s="171">
        <v>233.40000000000009</v>
      </c>
      <c r="N126" s="171">
        <f t="shared" si="4"/>
        <v>375.44559190031174</v>
      </c>
      <c r="O126" s="172">
        <v>7966</v>
      </c>
      <c r="P126" s="171">
        <v>665.80000000000018</v>
      </c>
      <c r="Q126" s="171">
        <f t="shared" si="2"/>
        <v>1071.0011786085156</v>
      </c>
      <c r="R126" s="172">
        <v>13841</v>
      </c>
      <c r="S126" s="171">
        <v>188.00000000000011</v>
      </c>
      <c r="T126" s="171">
        <f t="shared" si="3"/>
        <v>302.41547248182786</v>
      </c>
    </row>
    <row r="127" spans="1:25" x14ac:dyDescent="0.2">
      <c r="A127" s="166">
        <v>1</v>
      </c>
      <c r="B127" s="166">
        <v>1997</v>
      </c>
      <c r="C127" s="166">
        <v>142.6</v>
      </c>
      <c r="D127" s="166">
        <v>124.8</v>
      </c>
      <c r="E127" s="166"/>
      <c r="F127" s="166"/>
      <c r="G127" s="166"/>
      <c r="I127" s="171">
        <v>97.3</v>
      </c>
      <c r="J127" s="163">
        <v>1</v>
      </c>
      <c r="K127" s="163">
        <v>1997</v>
      </c>
      <c r="L127" s="172">
        <v>17837</v>
      </c>
      <c r="M127" s="171">
        <v>255.29999999999998</v>
      </c>
      <c r="N127" s="171">
        <f t="shared" si="4"/>
        <v>406.45308067831456</v>
      </c>
      <c r="O127" s="172">
        <v>7574</v>
      </c>
      <c r="P127" s="171">
        <v>625.70000000000005</v>
      </c>
      <c r="Q127" s="171">
        <f t="shared" si="2"/>
        <v>996.15234069886969</v>
      </c>
      <c r="R127" s="172">
        <v>10571</v>
      </c>
      <c r="S127" s="171">
        <v>187.8</v>
      </c>
      <c r="T127" s="171">
        <f t="shared" si="3"/>
        <v>298.98898766700933</v>
      </c>
      <c r="V127" s="165" t="s">
        <v>181</v>
      </c>
    </row>
    <row r="128" spans="1:25" x14ac:dyDescent="0.2">
      <c r="A128" s="166">
        <v>2</v>
      </c>
      <c r="B128" s="166"/>
      <c r="C128" s="166">
        <f>284.4-C127</f>
        <v>141.79999999999998</v>
      </c>
      <c r="D128" s="166">
        <f>247.3-D127</f>
        <v>122.50000000000001</v>
      </c>
      <c r="E128" s="166"/>
      <c r="F128" s="166"/>
      <c r="G128" s="166"/>
      <c r="I128" s="171">
        <v>97.7</v>
      </c>
      <c r="J128" s="163">
        <v>2</v>
      </c>
      <c r="L128" s="172">
        <v>16872</v>
      </c>
      <c r="M128" s="171">
        <v>281.30000000000007</v>
      </c>
      <c r="N128" s="171">
        <f t="shared" si="4"/>
        <v>446.01309877175044</v>
      </c>
      <c r="O128" s="172">
        <v>7284</v>
      </c>
      <c r="P128" s="171">
        <v>664.39999999999986</v>
      </c>
      <c r="Q128" s="171">
        <f t="shared" si="2"/>
        <v>1053.4344216990787</v>
      </c>
      <c r="R128" s="172">
        <v>14837</v>
      </c>
      <c r="S128" s="171">
        <v>224.59999999999997</v>
      </c>
      <c r="T128" s="171">
        <f t="shared" si="3"/>
        <v>356.11284032753326</v>
      </c>
      <c r="W128" s="170" t="str">
        <f>+'Tab3'!C6</f>
        <v>2018</v>
      </c>
      <c r="X128" s="170" t="str">
        <f>+'Tab3'!D6</f>
        <v>2019</v>
      </c>
      <c r="Y128" s="170" t="str">
        <f>+'Tab3'!E6</f>
        <v>2020</v>
      </c>
    </row>
    <row r="129" spans="1:25" x14ac:dyDescent="0.2">
      <c r="A129" s="166">
        <v>3</v>
      </c>
      <c r="B129" s="166"/>
      <c r="C129" s="166">
        <f>419.8-C127-C128</f>
        <v>135.40000000000006</v>
      </c>
      <c r="D129" s="166">
        <f>364.6-D127-D128</f>
        <v>117.3</v>
      </c>
      <c r="E129" s="166"/>
      <c r="F129" s="166" t="s">
        <v>74</v>
      </c>
      <c r="G129" s="166"/>
      <c r="I129" s="171">
        <v>97.7</v>
      </c>
      <c r="J129" s="163">
        <v>3</v>
      </c>
      <c r="L129" s="172">
        <v>17873</v>
      </c>
      <c r="M129" s="171">
        <v>297.89999999999998</v>
      </c>
      <c r="N129" s="171">
        <f t="shared" si="4"/>
        <v>472.33310388945756</v>
      </c>
      <c r="O129" s="172">
        <v>14581</v>
      </c>
      <c r="P129" s="171">
        <v>720.30000000000018</v>
      </c>
      <c r="Q129" s="171">
        <f t="shared" si="2"/>
        <v>1142.0662461617201</v>
      </c>
      <c r="R129" s="172">
        <v>15670</v>
      </c>
      <c r="S129" s="171">
        <v>198.80000000000007</v>
      </c>
      <c r="T129" s="171">
        <f t="shared" si="3"/>
        <v>315.20584442169923</v>
      </c>
      <c r="V129" s="166" t="s">
        <v>11</v>
      </c>
      <c r="W129" s="170">
        <f>IF('Tab3'!C30="",'Tab3'!C31,'Tab3'!C32)</f>
        <v>1085.2063591022443</v>
      </c>
      <c r="X129" s="170">
        <f>IF('Tab3'!D30="",'Tab3'!D31,'Tab3'!D32)</f>
        <v>1566.1477556109726</v>
      </c>
      <c r="Y129" s="170">
        <f>IF('Tab3'!E30="",'Tab3'!E31,'Tab3'!E32)</f>
        <v>1436.2980049875312</v>
      </c>
    </row>
    <row r="130" spans="1:25" x14ac:dyDescent="0.2">
      <c r="A130" s="166">
        <v>4</v>
      </c>
      <c r="B130" s="166"/>
      <c r="C130" s="166">
        <f>550.4-C127-C128-C129</f>
        <v>130.59999999999994</v>
      </c>
      <c r="D130" s="166">
        <f>478.3-D127-D128-D129</f>
        <v>113.7</v>
      </c>
      <c r="E130" s="166"/>
      <c r="F130" s="166"/>
      <c r="G130" s="166"/>
      <c r="I130" s="171">
        <v>98.4</v>
      </c>
      <c r="J130" s="163">
        <v>4</v>
      </c>
      <c r="L130" s="172">
        <v>15493</v>
      </c>
      <c r="M130" s="171">
        <v>267.70000000000005</v>
      </c>
      <c r="N130" s="171">
        <f t="shared" si="4"/>
        <v>421.43026168699197</v>
      </c>
      <c r="O130" s="172">
        <v>9445</v>
      </c>
      <c r="P130" s="171">
        <v>564</v>
      </c>
      <c r="Q130" s="171">
        <f t="shared" si="2"/>
        <v>887.88445121951236</v>
      </c>
      <c r="R130" s="172">
        <v>13087</v>
      </c>
      <c r="S130" s="171">
        <v>185.09999999999991</v>
      </c>
      <c r="T130" s="171">
        <f t="shared" si="3"/>
        <v>291.39612042682916</v>
      </c>
      <c r="V130" s="166" t="s">
        <v>12</v>
      </c>
      <c r="W130" s="170">
        <f>IF('Tab3'!C32="",'Tab3'!C33,'Tab3'!C34)</f>
        <v>2556.018</v>
      </c>
      <c r="X130" s="170">
        <f>IF('Tab3'!D32="",'Tab3'!D33,'Tab3'!D34)</f>
        <v>3033.5280000000002</v>
      </c>
      <c r="Y130" s="170">
        <f>IF('Tab3'!E32="",'Tab3'!E33,'Tab3'!E34)</f>
        <v>4082.944</v>
      </c>
    </row>
    <row r="131" spans="1:25" x14ac:dyDescent="0.2">
      <c r="A131" s="166">
        <v>1</v>
      </c>
      <c r="B131" s="166">
        <v>1998</v>
      </c>
      <c r="C131" s="166">
        <v>150</v>
      </c>
      <c r="D131" s="166">
        <v>131.9</v>
      </c>
      <c r="E131" s="166"/>
      <c r="F131" s="166" t="s">
        <v>78</v>
      </c>
      <c r="G131" s="166"/>
      <c r="I131" s="171">
        <v>99.3</v>
      </c>
      <c r="J131" s="163">
        <v>1</v>
      </c>
      <c r="K131" s="163">
        <v>1998</v>
      </c>
      <c r="L131" s="172">
        <v>17629</v>
      </c>
      <c r="M131" s="171">
        <v>285</v>
      </c>
      <c r="N131" s="171">
        <f t="shared" si="4"/>
        <v>444.59856495468284</v>
      </c>
      <c r="O131" s="172">
        <v>7614</v>
      </c>
      <c r="P131" s="171">
        <v>599.6</v>
      </c>
      <c r="Q131" s="171">
        <f t="shared" si="2"/>
        <v>935.37298086606268</v>
      </c>
      <c r="R131" s="172">
        <v>11958</v>
      </c>
      <c r="S131" s="171">
        <v>185.4</v>
      </c>
      <c r="T131" s="171">
        <f t="shared" si="3"/>
        <v>289.22306646525686</v>
      </c>
      <c r="V131" s="166" t="s">
        <v>7</v>
      </c>
      <c r="W131" s="170">
        <f>IF('Tab3'!C18="",'Tab3'!C17,'Tab3'!C18)</f>
        <v>3000.3396244897958</v>
      </c>
      <c r="X131" s="170">
        <f>IF('Tab3'!D18="",'Tab3'!D17,'Tab3'!D18)</f>
        <v>2645.6721469387758</v>
      </c>
      <c r="Y131" s="170">
        <f>IF('Tab3'!E18="",'Tab3'!E17,'Tab3'!E18)</f>
        <v>2512.8568816326533</v>
      </c>
    </row>
    <row r="132" spans="1:25" x14ac:dyDescent="0.2">
      <c r="A132" s="166">
        <v>2</v>
      </c>
      <c r="B132" s="166"/>
      <c r="C132" s="166">
        <f>289.8-C131</f>
        <v>139.80000000000001</v>
      </c>
      <c r="D132" s="166">
        <f>253.9-D131</f>
        <v>122</v>
      </c>
      <c r="E132" s="166"/>
      <c r="F132" s="166" t="s">
        <v>79</v>
      </c>
      <c r="G132" s="166" t="s">
        <v>80</v>
      </c>
      <c r="I132" s="171">
        <v>99.7</v>
      </c>
      <c r="J132" s="163">
        <v>2</v>
      </c>
      <c r="L132" s="172">
        <v>14484</v>
      </c>
      <c r="M132" s="171">
        <v>253.5</v>
      </c>
      <c r="N132" s="171">
        <f t="shared" si="4"/>
        <v>393.87212888666005</v>
      </c>
      <c r="O132" s="172">
        <v>6009</v>
      </c>
      <c r="P132" s="171">
        <v>576.9</v>
      </c>
      <c r="Q132" s="171">
        <f t="shared" si="2"/>
        <v>896.35041875626894</v>
      </c>
      <c r="R132" s="172">
        <v>15060</v>
      </c>
      <c r="S132" s="171">
        <v>204.20000000000002</v>
      </c>
      <c r="T132" s="171">
        <f t="shared" si="3"/>
        <v>317.27293380140429</v>
      </c>
      <c r="V132" s="163" t="s">
        <v>113</v>
      </c>
      <c r="W132" s="170">
        <f>IF('Tab10'!C8="",'Tab10'!C7,'Tab10'!C8)</f>
        <v>4327.0239104274578</v>
      </c>
      <c r="X132" s="170">
        <f>IF('Tab10'!D8="",'Tab10'!D7,'Tab10'!D8)</f>
        <v>3154.2796002720661</v>
      </c>
      <c r="Y132" s="170">
        <f>IF('Tab10'!E8="",'Tab10'!E7,'Tab10'!E8)</f>
        <v>3848.8858368649608</v>
      </c>
    </row>
    <row r="133" spans="1:25" x14ac:dyDescent="0.2">
      <c r="A133" s="166">
        <v>3</v>
      </c>
      <c r="B133" s="166"/>
      <c r="C133" s="166">
        <f>+E133-C131-C132</f>
        <v>128.09999999999997</v>
      </c>
      <c r="D133" s="166">
        <f>+G133-D131-D132</f>
        <v>112.1</v>
      </c>
      <c r="E133" s="166">
        <v>417.9</v>
      </c>
      <c r="G133" s="166">
        <v>366</v>
      </c>
      <c r="I133" s="175">
        <v>99.8</v>
      </c>
      <c r="J133" s="163">
        <v>3</v>
      </c>
      <c r="L133" s="172">
        <v>15693</v>
      </c>
      <c r="M133" s="171">
        <v>257.89999999999998</v>
      </c>
      <c r="N133" s="171">
        <f t="shared" si="4"/>
        <v>400.30705661322651</v>
      </c>
      <c r="O133" s="172">
        <v>8328</v>
      </c>
      <c r="P133" s="171">
        <v>432.80000000000018</v>
      </c>
      <c r="Q133" s="171">
        <f t="shared" si="2"/>
        <v>671.78322645290621</v>
      </c>
      <c r="R133" s="172">
        <v>17098</v>
      </c>
      <c r="S133" s="171">
        <v>209.60000000000002</v>
      </c>
      <c r="T133" s="171">
        <f t="shared" si="3"/>
        <v>325.33679358717444</v>
      </c>
      <c r="V133" s="166" t="s">
        <v>9</v>
      </c>
      <c r="W133" s="170">
        <f>IF('Tab3'!C22="",'Tab3'!C21,'Tab3'!C22)</f>
        <v>6360.0533333333333</v>
      </c>
      <c r="X133" s="170">
        <f>IF('Tab3'!D22="",'Tab3'!D21,'Tab3'!D22)</f>
        <v>7597.1933333333336</v>
      </c>
      <c r="Y133" s="170">
        <f>IF('Tab3'!E22="",'Tab3'!E21,'Tab3'!E22)</f>
        <v>7746.45</v>
      </c>
    </row>
    <row r="134" spans="1:25" x14ac:dyDescent="0.2">
      <c r="A134" s="166">
        <v>4</v>
      </c>
      <c r="B134" s="166"/>
      <c r="C134" s="166">
        <f>+E134-E133</f>
        <v>141.80000000000007</v>
      </c>
      <c r="D134" s="166">
        <f>+G134-G133</f>
        <v>125.60000000000002</v>
      </c>
      <c r="E134" s="166">
        <v>559.70000000000005</v>
      </c>
      <c r="G134" s="166">
        <v>491.6</v>
      </c>
      <c r="I134" s="175">
        <v>100.7</v>
      </c>
      <c r="J134" s="163">
        <v>4</v>
      </c>
      <c r="L134" s="172">
        <v>16502</v>
      </c>
      <c r="M134" s="171">
        <v>299.10000000000002</v>
      </c>
      <c r="N134" s="171">
        <f t="shared" si="4"/>
        <v>460.10757944389286</v>
      </c>
      <c r="O134" s="172">
        <v>7526</v>
      </c>
      <c r="P134" s="171">
        <v>738.59999999999945</v>
      </c>
      <c r="Q134" s="171">
        <f t="shared" si="2"/>
        <v>1136.193440913604</v>
      </c>
      <c r="R134" s="172">
        <v>14647</v>
      </c>
      <c r="S134" s="171">
        <v>205.79999999999995</v>
      </c>
      <c r="T134" s="171">
        <f t="shared" si="3"/>
        <v>316.58355014895727</v>
      </c>
    </row>
    <row r="135" spans="1:25" x14ac:dyDescent="0.2">
      <c r="A135" s="166">
        <v>1</v>
      </c>
      <c r="B135" s="166">
        <v>1999</v>
      </c>
      <c r="C135" s="166">
        <f>+E135</f>
        <v>154.19999999999999</v>
      </c>
      <c r="D135" s="166">
        <f>+G135</f>
        <v>137.1</v>
      </c>
      <c r="E135" s="166">
        <v>154.19999999999999</v>
      </c>
      <c r="G135" s="166">
        <v>137.1</v>
      </c>
      <c r="I135" s="175">
        <v>101.4</v>
      </c>
      <c r="J135" s="163">
        <v>1</v>
      </c>
      <c r="K135" s="163">
        <v>1999</v>
      </c>
      <c r="L135" s="172">
        <v>18095</v>
      </c>
      <c r="M135" s="171">
        <v>328.50000000000006</v>
      </c>
      <c r="N135" s="171">
        <f t="shared" si="4"/>
        <v>501.84530325443802</v>
      </c>
      <c r="O135" s="172">
        <v>8863</v>
      </c>
      <c r="P135" s="171">
        <v>689.1</v>
      </c>
      <c r="Q135" s="171">
        <f t="shared" si="2"/>
        <v>1052.7293713017755</v>
      </c>
      <c r="R135" s="172">
        <v>11175</v>
      </c>
      <c r="S135" s="171">
        <v>162.80000000000001</v>
      </c>
      <c r="T135" s="171">
        <f t="shared" si="3"/>
        <v>248.70750493096651</v>
      </c>
    </row>
    <row r="136" spans="1:25" x14ac:dyDescent="0.2">
      <c r="A136" s="166">
        <v>2</v>
      </c>
      <c r="B136" s="166"/>
      <c r="C136" s="166">
        <f>+E136-E135</f>
        <v>159.30000000000001</v>
      </c>
      <c r="D136" s="166">
        <f>+G136-G135</f>
        <v>140.70000000000002</v>
      </c>
      <c r="E136" s="166">
        <v>313.5</v>
      </c>
      <c r="G136" s="166">
        <v>277.8</v>
      </c>
      <c r="I136" s="175">
        <v>102.2</v>
      </c>
      <c r="J136" s="163">
        <v>2</v>
      </c>
      <c r="L136" s="172">
        <v>12899</v>
      </c>
      <c r="M136" s="171">
        <v>332.7</v>
      </c>
      <c r="N136" s="171">
        <f t="shared" si="4"/>
        <v>504.28302592954998</v>
      </c>
      <c r="O136" s="172">
        <v>5920</v>
      </c>
      <c r="P136" s="171">
        <v>874.6</v>
      </c>
      <c r="Q136" s="171">
        <f t="shared" si="2"/>
        <v>1325.6565508806266</v>
      </c>
      <c r="R136" s="172">
        <v>12451</v>
      </c>
      <c r="S136" s="171">
        <v>199.09999999999997</v>
      </c>
      <c r="T136" s="171">
        <f t="shared" si="3"/>
        <v>301.7816364970646</v>
      </c>
    </row>
    <row r="137" spans="1:25" x14ac:dyDescent="0.2">
      <c r="A137" s="166">
        <v>3</v>
      </c>
      <c r="B137" s="166"/>
      <c r="C137" s="166">
        <f>+E137-E136</f>
        <v>146.30000000000001</v>
      </c>
      <c r="D137" s="166">
        <f>+G137-G136</f>
        <v>128.69999999999999</v>
      </c>
      <c r="E137" s="166">
        <v>459.8</v>
      </c>
      <c r="G137" s="166">
        <v>406.5</v>
      </c>
      <c r="I137" s="175">
        <v>101.7</v>
      </c>
      <c r="J137" s="163">
        <v>3</v>
      </c>
      <c r="L137" s="172">
        <v>23305</v>
      </c>
      <c r="M137" s="171">
        <v>445.5</v>
      </c>
      <c r="N137" s="171">
        <f t="shared" si="4"/>
        <v>678.57710176991156</v>
      </c>
      <c r="O137" s="172">
        <v>11181</v>
      </c>
      <c r="P137" s="171">
        <v>566.99999999999977</v>
      </c>
      <c r="Q137" s="171">
        <f t="shared" si="2"/>
        <v>863.64358407079624</v>
      </c>
      <c r="R137" s="172">
        <v>18817</v>
      </c>
      <c r="S137" s="171">
        <v>227.70000000000005</v>
      </c>
      <c r="T137" s="171">
        <f t="shared" si="3"/>
        <v>346.82829646017717</v>
      </c>
    </row>
    <row r="138" spans="1:25" x14ac:dyDescent="0.2">
      <c r="A138" s="166">
        <v>4</v>
      </c>
      <c r="B138" s="166"/>
      <c r="C138" s="166">
        <f>+E138-E137</f>
        <v>141.90000000000003</v>
      </c>
      <c r="D138" s="166">
        <f>+G138-G137</f>
        <v>126.39999999999998</v>
      </c>
      <c r="E138" s="166">
        <v>601.70000000000005</v>
      </c>
      <c r="G138" s="166">
        <v>532.9</v>
      </c>
      <c r="I138" s="171">
        <v>103.5</v>
      </c>
      <c r="J138" s="163">
        <v>4</v>
      </c>
      <c r="L138" s="172">
        <v>18359</v>
      </c>
      <c r="M138" s="171">
        <v>410.59999999999968</v>
      </c>
      <c r="N138" s="171">
        <f t="shared" si="4"/>
        <v>614.54125120772903</v>
      </c>
      <c r="O138" s="172">
        <v>9544</v>
      </c>
      <c r="P138" s="171">
        <v>935.5</v>
      </c>
      <c r="Q138" s="171">
        <f t="shared" si="2"/>
        <v>1400.1542632850244</v>
      </c>
      <c r="R138" s="172">
        <v>13692</v>
      </c>
      <c r="S138" s="171">
        <v>192.19999999999993</v>
      </c>
      <c r="T138" s="171">
        <f t="shared" si="3"/>
        <v>287.66397584541056</v>
      </c>
    </row>
    <row r="139" spans="1:25" x14ac:dyDescent="0.2">
      <c r="A139" s="166">
        <v>1</v>
      </c>
      <c r="B139" s="166">
        <v>2000</v>
      </c>
      <c r="C139" s="166">
        <f>+E139</f>
        <v>169.1</v>
      </c>
      <c r="D139" s="166">
        <f>+G139</f>
        <v>150.9</v>
      </c>
      <c r="E139" s="166">
        <v>169.1</v>
      </c>
      <c r="G139" s="166">
        <v>150.9</v>
      </c>
      <c r="I139" s="171">
        <v>104.6</v>
      </c>
      <c r="J139" s="163">
        <v>1</v>
      </c>
      <c r="K139" s="163">
        <v>2000</v>
      </c>
      <c r="L139" s="172">
        <v>17570</v>
      </c>
      <c r="M139" s="171">
        <v>345.9</v>
      </c>
      <c r="N139" s="171">
        <f t="shared" si="4"/>
        <v>512.26103489483751</v>
      </c>
      <c r="O139" s="172">
        <v>9154</v>
      </c>
      <c r="P139" s="171">
        <v>819.9</v>
      </c>
      <c r="Q139" s="171">
        <f t="shared" si="2"/>
        <v>1214.2319239961762</v>
      </c>
      <c r="R139" s="172">
        <v>12421</v>
      </c>
      <c r="S139" s="171">
        <v>198</v>
      </c>
      <c r="T139" s="171">
        <f t="shared" si="3"/>
        <v>293.22834608030598</v>
      </c>
    </row>
    <row r="140" spans="1:25" x14ac:dyDescent="0.2">
      <c r="A140" s="166">
        <v>2</v>
      </c>
      <c r="B140" s="166"/>
      <c r="C140" s="166">
        <f>+E140-E139</f>
        <v>151.50000000000003</v>
      </c>
      <c r="D140" s="166">
        <f>+G140-G139</f>
        <v>133.4</v>
      </c>
      <c r="E140" s="166">
        <v>320.60000000000002</v>
      </c>
      <c r="G140" s="166">
        <v>284.3</v>
      </c>
      <c r="I140" s="171">
        <v>105.1</v>
      </c>
      <c r="J140" s="163">
        <v>2</v>
      </c>
      <c r="L140" s="172">
        <v>14069</v>
      </c>
      <c r="M140" s="171">
        <v>252.39999999999998</v>
      </c>
      <c r="N140" s="171">
        <f t="shared" si="4"/>
        <v>372.01382492863945</v>
      </c>
      <c r="O140" s="172">
        <v>10238</v>
      </c>
      <c r="P140" s="171">
        <v>674.19999999999993</v>
      </c>
      <c r="Q140" s="171">
        <f t="shared" si="2"/>
        <v>993.70729305423424</v>
      </c>
      <c r="R140" s="172">
        <v>13950</v>
      </c>
      <c r="S140" s="171">
        <v>184.5</v>
      </c>
      <c r="T140" s="171">
        <f t="shared" si="3"/>
        <v>271.93562083729785</v>
      </c>
    </row>
    <row r="141" spans="1:25" x14ac:dyDescent="0.2">
      <c r="A141" s="166">
        <v>3</v>
      </c>
      <c r="B141" s="166"/>
      <c r="C141" s="166">
        <f>+E141-E140</f>
        <v>139</v>
      </c>
      <c r="D141" s="166">
        <f>+G141-G140</f>
        <v>123.5</v>
      </c>
      <c r="E141" s="166">
        <v>459.6</v>
      </c>
      <c r="G141" s="166">
        <v>407.8</v>
      </c>
      <c r="I141" s="171">
        <v>105.3</v>
      </c>
      <c r="J141" s="163">
        <v>3</v>
      </c>
      <c r="L141" s="172">
        <v>16329</v>
      </c>
      <c r="M141" s="171">
        <v>313.5</v>
      </c>
      <c r="N141" s="171">
        <f t="shared" si="4"/>
        <v>461.19184472934478</v>
      </c>
      <c r="O141" s="172">
        <v>13877</v>
      </c>
      <c r="P141" s="171">
        <v>706.20000000000027</v>
      </c>
      <c r="Q141" s="171">
        <f t="shared" si="2"/>
        <v>1038.895313390314</v>
      </c>
      <c r="R141" s="172">
        <v>14850</v>
      </c>
      <c r="S141" s="171">
        <v>193.89999999999998</v>
      </c>
      <c r="T141" s="171">
        <f t="shared" si="3"/>
        <v>285.24752374169043</v>
      </c>
    </row>
    <row r="142" spans="1:25" x14ac:dyDescent="0.2">
      <c r="A142" s="166">
        <v>4</v>
      </c>
      <c r="B142" s="166"/>
      <c r="C142" s="166">
        <f>+E142-E141</f>
        <v>135.10000000000002</v>
      </c>
      <c r="D142" s="166">
        <f>+G142-G141</f>
        <v>121.40000000000003</v>
      </c>
      <c r="E142" s="166">
        <v>594.70000000000005</v>
      </c>
      <c r="G142" s="166">
        <v>529.20000000000005</v>
      </c>
      <c r="I142" s="171">
        <v>106.8</v>
      </c>
      <c r="J142" s="163">
        <v>4</v>
      </c>
      <c r="L142" s="172">
        <v>21735</v>
      </c>
      <c r="M142" s="171">
        <v>484.79999999999995</v>
      </c>
      <c r="N142" s="171">
        <f t="shared" si="4"/>
        <v>703.17561797752819</v>
      </c>
      <c r="O142" s="172">
        <v>9978</v>
      </c>
      <c r="P142" s="171">
        <v>739.19999999999982</v>
      </c>
      <c r="Q142" s="171">
        <f t="shared" si="2"/>
        <v>1072.1687640449438</v>
      </c>
      <c r="R142" s="172">
        <v>13212</v>
      </c>
      <c r="S142" s="171">
        <v>215</v>
      </c>
      <c r="T142" s="171">
        <f t="shared" si="3"/>
        <v>311.84562265917612</v>
      </c>
    </row>
    <row r="143" spans="1:25" x14ac:dyDescent="0.2">
      <c r="A143" s="166">
        <v>1</v>
      </c>
      <c r="B143" s="166">
        <v>2001</v>
      </c>
      <c r="C143" s="166">
        <f>+E143</f>
        <v>158.5</v>
      </c>
      <c r="D143" s="166">
        <f>+G143</f>
        <v>143.1</v>
      </c>
      <c r="E143" s="166">
        <v>158.5</v>
      </c>
      <c r="G143" s="166">
        <v>143.1</v>
      </c>
      <c r="I143" s="171">
        <v>108.4</v>
      </c>
      <c r="J143" s="163">
        <v>1</v>
      </c>
      <c r="K143" s="163">
        <v>2001</v>
      </c>
      <c r="L143" s="172">
        <v>27280</v>
      </c>
      <c r="M143" s="171">
        <v>675.3</v>
      </c>
      <c r="N143" s="171">
        <f t="shared" si="4"/>
        <v>965.02799584870854</v>
      </c>
      <c r="O143" s="172">
        <v>7776</v>
      </c>
      <c r="P143" s="171">
        <v>877</v>
      </c>
      <c r="Q143" s="171">
        <f t="shared" si="2"/>
        <v>1253.264552583026</v>
      </c>
      <c r="R143" s="172">
        <v>10538</v>
      </c>
      <c r="S143" s="171">
        <v>164.1</v>
      </c>
      <c r="T143" s="171">
        <f t="shared" si="3"/>
        <v>234.50480396678969</v>
      </c>
    </row>
    <row r="144" spans="1:25" x14ac:dyDescent="0.2">
      <c r="A144" s="166">
        <v>2</v>
      </c>
      <c r="B144" s="166"/>
      <c r="C144" s="166">
        <f>+E144-E143</f>
        <v>140.45999999999998</v>
      </c>
      <c r="D144" s="166">
        <f>+G144-G143</f>
        <v>125.70000000000002</v>
      </c>
      <c r="E144" s="166">
        <v>298.95999999999998</v>
      </c>
      <c r="G144" s="166">
        <v>268.8</v>
      </c>
      <c r="I144" s="171">
        <v>109.6</v>
      </c>
      <c r="J144" s="163">
        <v>2</v>
      </c>
      <c r="L144" s="172">
        <v>17111</v>
      </c>
      <c r="M144" s="171">
        <v>452</v>
      </c>
      <c r="N144" s="171">
        <f t="shared" si="4"/>
        <v>638.85209854014613</v>
      </c>
      <c r="O144" s="172">
        <v>5711</v>
      </c>
      <c r="P144" s="171">
        <v>923</v>
      </c>
      <c r="Q144" s="171">
        <f t="shared" si="2"/>
        <v>1304.558599452555</v>
      </c>
      <c r="R144" s="172">
        <v>11841</v>
      </c>
      <c r="S144" s="171">
        <v>190.29999999999998</v>
      </c>
      <c r="T144" s="171">
        <f t="shared" si="3"/>
        <v>268.96804060218983</v>
      </c>
    </row>
    <row r="145" spans="1:20" x14ac:dyDescent="0.2">
      <c r="A145" s="166">
        <v>3</v>
      </c>
      <c r="C145" s="166">
        <f>+E145-E144</f>
        <v>134.24</v>
      </c>
      <c r="D145" s="166">
        <f>+G145-G144</f>
        <v>119.19999999999999</v>
      </c>
      <c r="E145" s="166">
        <v>433.2</v>
      </c>
      <c r="G145" s="166">
        <v>388</v>
      </c>
      <c r="I145" s="171">
        <v>108.1</v>
      </c>
      <c r="J145" s="163">
        <v>3</v>
      </c>
      <c r="L145" s="172">
        <v>16407</v>
      </c>
      <c r="M145" s="171">
        <v>400.40000000000009</v>
      </c>
      <c r="N145" s="171">
        <f t="shared" si="4"/>
        <v>573.77394079555995</v>
      </c>
      <c r="O145" s="172">
        <v>15359</v>
      </c>
      <c r="P145" s="171">
        <v>1172.1999999999998</v>
      </c>
      <c r="Q145" s="171">
        <f t="shared" si="2"/>
        <v>1679.7647687326551</v>
      </c>
      <c r="R145" s="172">
        <v>13534</v>
      </c>
      <c r="S145" s="171">
        <v>158.5</v>
      </c>
      <c r="T145" s="171">
        <f t="shared" si="3"/>
        <v>227.13079324699356</v>
      </c>
    </row>
    <row r="146" spans="1:20" x14ac:dyDescent="0.2">
      <c r="A146" s="166">
        <v>4</v>
      </c>
      <c r="C146" s="166">
        <f>+E146-E145</f>
        <v>137.49520000000001</v>
      </c>
      <c r="D146" s="166">
        <f>+G146-G145</f>
        <v>124.07220000000007</v>
      </c>
      <c r="E146" s="174">
        <v>570.6952</v>
      </c>
      <c r="F146" s="179"/>
      <c r="G146" s="174">
        <v>512.07220000000007</v>
      </c>
      <c r="I146" s="171">
        <v>108.7</v>
      </c>
      <c r="J146" s="163">
        <v>4</v>
      </c>
      <c r="L146" s="172">
        <v>16945</v>
      </c>
      <c r="M146" s="171">
        <v>509.39999999999986</v>
      </c>
      <c r="N146" s="171">
        <f t="shared" si="4"/>
        <v>725.94186292548284</v>
      </c>
      <c r="O146" s="172">
        <v>9601</v>
      </c>
      <c r="P146" s="171">
        <v>803.30000000000018</v>
      </c>
      <c r="Q146" s="171">
        <f t="shared" si="2"/>
        <v>1144.7764006439747</v>
      </c>
      <c r="R146" s="172">
        <v>12341</v>
      </c>
      <c r="S146" s="171">
        <v>258.5</v>
      </c>
      <c r="T146" s="171">
        <f t="shared" si="3"/>
        <v>368.38628104875806</v>
      </c>
    </row>
    <row r="147" spans="1:20" x14ac:dyDescent="0.2">
      <c r="A147" s="166">
        <v>1</v>
      </c>
      <c r="B147" s="166">
        <v>2002</v>
      </c>
      <c r="C147" s="166">
        <f>+E147</f>
        <v>155.81399999999999</v>
      </c>
      <c r="D147" s="166">
        <f>+G147</f>
        <v>141.72399999999999</v>
      </c>
      <c r="E147" s="174">
        <v>155.81399999999999</v>
      </c>
      <c r="F147" s="179"/>
      <c r="G147" s="174">
        <v>141.72399999999999</v>
      </c>
      <c r="I147" s="171">
        <v>109.3</v>
      </c>
      <c r="J147" s="163">
        <v>1</v>
      </c>
      <c r="K147" s="163">
        <v>2002</v>
      </c>
      <c r="L147" s="172">
        <v>17523</v>
      </c>
      <c r="M147" s="171">
        <v>466.5</v>
      </c>
      <c r="N147" s="171">
        <f t="shared" si="4"/>
        <v>661.15598124428186</v>
      </c>
      <c r="O147" s="172">
        <v>6856</v>
      </c>
      <c r="P147" s="171">
        <v>820.40000000000009</v>
      </c>
      <c r="Q147" s="171">
        <f t="shared" si="2"/>
        <v>1162.7274748398906</v>
      </c>
      <c r="R147" s="172">
        <v>9371</v>
      </c>
      <c r="S147" s="171">
        <v>197.9</v>
      </c>
      <c r="T147" s="171">
        <f t="shared" si="3"/>
        <v>280.47753202195798</v>
      </c>
    </row>
    <row r="148" spans="1:20" x14ac:dyDescent="0.2">
      <c r="A148" s="166">
        <v>2</v>
      </c>
      <c r="B148" s="166"/>
      <c r="C148" s="166">
        <f>+E148-E147</f>
        <v>146.54300000000003</v>
      </c>
      <c r="D148" s="166">
        <f>+G148-G147</f>
        <v>133.19</v>
      </c>
      <c r="E148" s="166">
        <v>302.35700000000003</v>
      </c>
      <c r="G148" s="166">
        <v>274.91399999999999</v>
      </c>
      <c r="I148" s="171">
        <v>110</v>
      </c>
      <c r="J148" s="163">
        <v>2</v>
      </c>
      <c r="L148" s="172">
        <v>17469</v>
      </c>
      <c r="M148" s="171">
        <v>408.5</v>
      </c>
      <c r="N148" s="171">
        <f t="shared" si="4"/>
        <v>575.27012500000012</v>
      </c>
      <c r="O148" s="172">
        <v>9323</v>
      </c>
      <c r="P148" s="171">
        <v>689.09999999999991</v>
      </c>
      <c r="Q148" s="171">
        <f t="shared" si="2"/>
        <v>970.42507499999999</v>
      </c>
      <c r="R148" s="172">
        <v>14749</v>
      </c>
      <c r="S148" s="171">
        <v>233.49999999999997</v>
      </c>
      <c r="T148" s="171">
        <f t="shared" si="3"/>
        <v>328.82637500000004</v>
      </c>
    </row>
    <row r="149" spans="1:20" x14ac:dyDescent="0.2">
      <c r="A149" s="166">
        <v>3</v>
      </c>
      <c r="C149" s="166">
        <f>+E149-E148</f>
        <v>146.23099999999999</v>
      </c>
      <c r="D149" s="166">
        <f>+G149-G148</f>
        <v>127.14100000000002</v>
      </c>
      <c r="E149" s="166">
        <v>448.58800000000002</v>
      </c>
      <c r="G149" s="166">
        <v>402.05500000000001</v>
      </c>
      <c r="I149" s="171">
        <v>109.6</v>
      </c>
      <c r="J149" s="163">
        <v>3</v>
      </c>
      <c r="L149" s="172">
        <v>19641</v>
      </c>
      <c r="M149" s="171">
        <v>503</v>
      </c>
      <c r="N149" s="171">
        <f t="shared" si="4"/>
        <v>710.93496806569351</v>
      </c>
      <c r="O149" s="172">
        <v>17422</v>
      </c>
      <c r="P149" s="171">
        <v>895.90000000000009</v>
      </c>
      <c r="Q149" s="171">
        <f t="shared" si="2"/>
        <v>1266.2557413321172</v>
      </c>
      <c r="R149" s="172">
        <v>14722</v>
      </c>
      <c r="S149" s="171">
        <v>184.5</v>
      </c>
      <c r="T149" s="171">
        <f t="shared" si="3"/>
        <v>260.77038093065698</v>
      </c>
    </row>
    <row r="150" spans="1:20" x14ac:dyDescent="0.2">
      <c r="A150" s="166">
        <v>4</v>
      </c>
      <c r="C150" s="166">
        <f>+E150-E149</f>
        <v>137.96699999999993</v>
      </c>
      <c r="D150" s="166">
        <f>+G150-G149</f>
        <v>124.64100000000002</v>
      </c>
      <c r="E150" s="174">
        <v>586.55499999999995</v>
      </c>
      <c r="F150" s="179"/>
      <c r="G150" s="174">
        <v>526.69600000000003</v>
      </c>
      <c r="I150" s="171">
        <v>111</v>
      </c>
      <c r="J150" s="163">
        <v>4</v>
      </c>
      <c r="L150" s="172">
        <v>17442</v>
      </c>
      <c r="M150" s="171">
        <v>464.20000000000005</v>
      </c>
      <c r="N150" s="171">
        <f t="shared" si="4"/>
        <v>647.82037387387402</v>
      </c>
      <c r="O150" s="172">
        <v>8123</v>
      </c>
      <c r="P150" s="171">
        <v>938.5</v>
      </c>
      <c r="Q150" s="171">
        <f t="shared" si="2"/>
        <v>1309.7359346846849</v>
      </c>
      <c r="R150" s="172">
        <v>14689</v>
      </c>
      <c r="S150" s="171">
        <v>194.00000000000011</v>
      </c>
      <c r="T150" s="171">
        <f t="shared" si="3"/>
        <v>270.73923423423446</v>
      </c>
    </row>
    <row r="151" spans="1:20" x14ac:dyDescent="0.2">
      <c r="A151" s="166">
        <v>1</v>
      </c>
      <c r="B151" s="166">
        <v>2003</v>
      </c>
      <c r="C151" s="174">
        <f>+E151</f>
        <v>165.679</v>
      </c>
      <c r="D151" s="166">
        <f>+G151</f>
        <v>150.81100000000001</v>
      </c>
      <c r="E151" s="174">
        <v>165.679</v>
      </c>
      <c r="F151" s="179"/>
      <c r="G151" s="174">
        <v>150.81100000000001</v>
      </c>
      <c r="I151" s="171">
        <v>114.6</v>
      </c>
      <c r="J151" s="163">
        <v>1</v>
      </c>
      <c r="K151" s="163">
        <v>2003</v>
      </c>
      <c r="L151" s="172">
        <v>22781</v>
      </c>
      <c r="M151" s="171">
        <v>626.79999999999995</v>
      </c>
      <c r="N151" s="171">
        <f t="shared" si="4"/>
        <v>847.26021815008733</v>
      </c>
      <c r="O151" s="172">
        <v>6823</v>
      </c>
      <c r="P151" s="171">
        <v>1087.2</v>
      </c>
      <c r="Q151" s="171">
        <f t="shared" si="2"/>
        <v>1469.5936649214664</v>
      </c>
      <c r="R151" s="172">
        <v>10626</v>
      </c>
      <c r="S151" s="171">
        <v>183</v>
      </c>
      <c r="T151" s="171">
        <f t="shared" si="3"/>
        <v>247.3653795811519</v>
      </c>
    </row>
    <row r="152" spans="1:20" x14ac:dyDescent="0.2">
      <c r="A152" s="166">
        <v>2</v>
      </c>
      <c r="B152" s="166"/>
      <c r="C152" s="174">
        <f>+E152-E151</f>
        <v>135.02099999999999</v>
      </c>
      <c r="D152" s="166">
        <f>+G152-G151</f>
        <v>121.10099999999997</v>
      </c>
      <c r="E152" s="166">
        <v>300.7</v>
      </c>
      <c r="G152" s="166">
        <v>271.91199999999998</v>
      </c>
      <c r="I152" s="171">
        <v>112.3</v>
      </c>
      <c r="J152" s="163">
        <v>2</v>
      </c>
      <c r="L152" s="172">
        <v>15417</v>
      </c>
      <c r="M152" s="171">
        <v>406.10000000000014</v>
      </c>
      <c r="N152" s="171">
        <f t="shared" si="4"/>
        <v>560.17752226179903</v>
      </c>
      <c r="O152" s="172">
        <v>5618</v>
      </c>
      <c r="P152" s="171">
        <v>817.8</v>
      </c>
      <c r="Q152" s="171">
        <f t="shared" si="2"/>
        <v>1128.0797284060554</v>
      </c>
      <c r="R152" s="172">
        <v>12719</v>
      </c>
      <c r="S152" s="171">
        <v>203.2</v>
      </c>
      <c r="T152" s="171">
        <f t="shared" si="3"/>
        <v>280.29567230632239</v>
      </c>
    </row>
    <row r="153" spans="1:20" x14ac:dyDescent="0.2">
      <c r="A153" s="166">
        <v>3</v>
      </c>
      <c r="B153" s="166"/>
      <c r="C153" s="174">
        <f>+E153-E152</f>
        <v>134.11099999999999</v>
      </c>
      <c r="D153" s="166">
        <f>+G153-G152</f>
        <v>119.49100000000004</v>
      </c>
      <c r="E153" s="166">
        <v>434.81099999999998</v>
      </c>
      <c r="G153" s="166">
        <v>391.40300000000002</v>
      </c>
      <c r="I153" s="171">
        <v>111.9</v>
      </c>
      <c r="J153" s="163">
        <v>3</v>
      </c>
      <c r="L153" s="172">
        <v>18848</v>
      </c>
      <c r="M153" s="171">
        <v>430.5</v>
      </c>
      <c r="N153" s="171">
        <f t="shared" si="4"/>
        <v>595.95780831099205</v>
      </c>
      <c r="O153" s="172">
        <v>16056</v>
      </c>
      <c r="P153" s="171">
        <v>860.19999999999982</v>
      </c>
      <c r="Q153" s="171">
        <f t="shared" si="2"/>
        <v>1190.8081456657728</v>
      </c>
      <c r="R153" s="172">
        <v>13690</v>
      </c>
      <c r="S153" s="171">
        <v>188.8</v>
      </c>
      <c r="T153" s="171">
        <f t="shared" si="3"/>
        <v>261.36314566577306</v>
      </c>
    </row>
    <row r="154" spans="1:20" x14ac:dyDescent="0.2">
      <c r="A154" s="166">
        <v>4</v>
      </c>
      <c r="B154" s="166"/>
      <c r="C154" s="174">
        <f>+E154-E153</f>
        <v>142.01299999999998</v>
      </c>
      <c r="D154" s="166">
        <f>+G154-G153</f>
        <v>125.95899999999995</v>
      </c>
      <c r="E154" s="166">
        <v>576.82399999999996</v>
      </c>
      <c r="G154" s="166">
        <v>517.36199999999997</v>
      </c>
      <c r="I154" s="171">
        <v>112.6</v>
      </c>
      <c r="J154" s="163">
        <v>4</v>
      </c>
      <c r="L154" s="172">
        <v>16096</v>
      </c>
      <c r="M154" s="171">
        <v>471.89999999999986</v>
      </c>
      <c r="N154" s="171">
        <f t="shared" si="4"/>
        <v>649.20825266429836</v>
      </c>
      <c r="O154" s="172">
        <v>7652</v>
      </c>
      <c r="P154" s="171">
        <v>762.30000000000018</v>
      </c>
      <c r="Q154" s="171">
        <f t="shared" si="2"/>
        <v>1048.7210235346363</v>
      </c>
      <c r="R154" s="172">
        <v>11607</v>
      </c>
      <c r="S154" s="171">
        <v>220.90000000000009</v>
      </c>
      <c r="T154" s="171">
        <f t="shared" si="3"/>
        <v>303.89934946714055</v>
      </c>
    </row>
    <row r="155" spans="1:20" x14ac:dyDescent="0.2">
      <c r="A155" s="166">
        <v>1</v>
      </c>
      <c r="B155" s="166">
        <v>2004</v>
      </c>
      <c r="C155" s="174">
        <f>+E155</f>
        <v>168.309</v>
      </c>
      <c r="D155" s="166">
        <f>+G155</f>
        <v>153.04300000000001</v>
      </c>
      <c r="E155" s="166">
        <v>168.309</v>
      </c>
      <c r="G155" s="166">
        <v>153.04300000000001</v>
      </c>
      <c r="I155" s="171">
        <v>112.6</v>
      </c>
      <c r="J155" s="163">
        <v>1</v>
      </c>
      <c r="K155" s="163">
        <v>2004</v>
      </c>
      <c r="L155" s="172">
        <v>17805</v>
      </c>
      <c r="M155" s="171">
        <v>517.69999999999993</v>
      </c>
      <c r="N155" s="171">
        <f t="shared" si="4"/>
        <v>712.21680950266432</v>
      </c>
      <c r="O155" s="172">
        <v>7033</v>
      </c>
      <c r="P155" s="171">
        <v>735.2</v>
      </c>
      <c r="Q155" s="171">
        <f t="shared" si="2"/>
        <v>1011.4386678507996</v>
      </c>
      <c r="R155" s="172">
        <v>8913</v>
      </c>
      <c r="S155" s="171">
        <v>178.89999999999998</v>
      </c>
      <c r="T155" s="171">
        <f t="shared" si="3"/>
        <v>246.11857682060392</v>
      </c>
    </row>
    <row r="156" spans="1:20" x14ac:dyDescent="0.2">
      <c r="A156" s="166">
        <v>2</v>
      </c>
      <c r="B156" s="166"/>
      <c r="C156" s="174">
        <f>+E156-E155</f>
        <v>140.26700000000002</v>
      </c>
      <c r="D156" s="166">
        <f>+G156-G155</f>
        <v>125.56799999999998</v>
      </c>
      <c r="E156" s="166">
        <v>308.57600000000002</v>
      </c>
      <c r="G156" s="166">
        <v>278.61099999999999</v>
      </c>
      <c r="I156" s="171">
        <v>113.4</v>
      </c>
      <c r="J156" s="163">
        <v>2</v>
      </c>
      <c r="L156" s="172">
        <v>13855</v>
      </c>
      <c r="M156" s="171">
        <v>344.69999999999993</v>
      </c>
      <c r="N156" s="171">
        <f t="shared" si="4"/>
        <v>470.869623015873</v>
      </c>
      <c r="O156" s="172">
        <v>6436</v>
      </c>
      <c r="P156" s="171">
        <v>708.3</v>
      </c>
      <c r="Q156" s="171">
        <f t="shared" si="2"/>
        <v>967.55716269841275</v>
      </c>
      <c r="R156" s="172">
        <v>10802</v>
      </c>
      <c r="S156" s="171">
        <v>228.40000000000003</v>
      </c>
      <c r="T156" s="171">
        <f t="shared" si="3"/>
        <v>312.00064373897715</v>
      </c>
    </row>
    <row r="157" spans="1:20" x14ac:dyDescent="0.2">
      <c r="A157" s="166">
        <v>3</v>
      </c>
      <c r="B157" s="166"/>
      <c r="C157" s="174">
        <f>+E157-E156</f>
        <v>137.76999999999998</v>
      </c>
      <c r="D157" s="166">
        <f>+G157-G156</f>
        <v>123.12100000000004</v>
      </c>
      <c r="E157" s="166">
        <v>446.346</v>
      </c>
      <c r="G157" s="166">
        <v>401.73200000000003</v>
      </c>
      <c r="I157" s="171">
        <v>113</v>
      </c>
      <c r="J157" s="163">
        <v>3</v>
      </c>
      <c r="L157" s="172">
        <v>17630</v>
      </c>
      <c r="M157" s="171">
        <v>454.09999999999991</v>
      </c>
      <c r="N157" s="171">
        <f t="shared" si="4"/>
        <v>622.5088119469026</v>
      </c>
      <c r="O157" s="172">
        <v>11805</v>
      </c>
      <c r="P157" s="171">
        <v>652.69999999999982</v>
      </c>
      <c r="Q157" s="171">
        <f t="shared" si="2"/>
        <v>894.76217035398224</v>
      </c>
      <c r="R157" s="172">
        <v>11365</v>
      </c>
      <c r="S157" s="171">
        <v>160.7999999999999</v>
      </c>
      <c r="T157" s="171">
        <f t="shared" si="3"/>
        <v>220.43474336283177</v>
      </c>
    </row>
    <row r="158" spans="1:20" x14ac:dyDescent="0.2">
      <c r="A158" s="166">
        <v>4</v>
      </c>
      <c r="B158" s="166"/>
      <c r="C158" s="174">
        <f>+E158-E157</f>
        <v>137.68499999999995</v>
      </c>
      <c r="D158" s="166">
        <f>+G158-G157</f>
        <v>124.50600000000003</v>
      </c>
      <c r="E158" s="166">
        <v>584.03099999999995</v>
      </c>
      <c r="G158" s="166">
        <v>526.23800000000006</v>
      </c>
      <c r="I158" s="171">
        <v>114</v>
      </c>
      <c r="J158" s="163">
        <v>4</v>
      </c>
      <c r="L158" s="172">
        <v>16674</v>
      </c>
      <c r="M158" s="171">
        <v>428.20000000000027</v>
      </c>
      <c r="N158" s="171">
        <f t="shared" si="4"/>
        <v>581.85431140350931</v>
      </c>
      <c r="O158" s="172">
        <v>10088</v>
      </c>
      <c r="P158" s="171">
        <v>709.40000000000055</v>
      </c>
      <c r="Q158" s="171">
        <f t="shared" si="2"/>
        <v>963.95947807017637</v>
      </c>
      <c r="R158" s="172">
        <v>9276</v>
      </c>
      <c r="S158" s="171">
        <v>162.90000000000009</v>
      </c>
      <c r="T158" s="171">
        <f t="shared" si="3"/>
        <v>221.35466447368438</v>
      </c>
    </row>
    <row r="159" spans="1:20" x14ac:dyDescent="0.2">
      <c r="A159" s="166">
        <v>1</v>
      </c>
      <c r="B159" s="166">
        <v>2005</v>
      </c>
      <c r="C159" s="174">
        <f>+E159</f>
        <v>147.31100000000001</v>
      </c>
      <c r="D159" s="166">
        <f>+G159</f>
        <v>133.756</v>
      </c>
      <c r="E159" s="166">
        <v>147.31100000000001</v>
      </c>
      <c r="G159" s="166">
        <v>133.756</v>
      </c>
      <c r="I159" s="171">
        <v>113.7</v>
      </c>
      <c r="J159" s="163">
        <v>1</v>
      </c>
      <c r="K159" s="163">
        <v>2005</v>
      </c>
      <c r="L159" s="172">
        <v>15151</v>
      </c>
      <c r="M159" s="171">
        <v>418</v>
      </c>
      <c r="N159" s="171">
        <f t="shared" si="4"/>
        <v>569.49283201407218</v>
      </c>
      <c r="O159" s="172">
        <v>7287</v>
      </c>
      <c r="P159" s="171">
        <v>715.2</v>
      </c>
      <c r="Q159" s="171">
        <f t="shared" si="2"/>
        <v>974.40496042216375</v>
      </c>
      <c r="R159" s="172">
        <v>7498</v>
      </c>
      <c r="S159" s="171">
        <v>159.69999999999999</v>
      </c>
      <c r="T159" s="171">
        <f t="shared" si="3"/>
        <v>217.57895998240988</v>
      </c>
    </row>
    <row r="160" spans="1:20" x14ac:dyDescent="0.2">
      <c r="A160" s="166">
        <v>2</v>
      </c>
      <c r="B160" s="166"/>
      <c r="C160" s="174">
        <f>+E160-E159</f>
        <v>143.51699999999997</v>
      </c>
      <c r="D160" s="166">
        <f>+G160-G159</f>
        <v>128.79</v>
      </c>
      <c r="E160" s="166">
        <v>290.82799999999997</v>
      </c>
      <c r="G160" s="166">
        <v>262.54599999999999</v>
      </c>
      <c r="I160" s="171">
        <v>115.2</v>
      </c>
      <c r="J160" s="163">
        <v>2</v>
      </c>
      <c r="L160" s="172">
        <v>14855</v>
      </c>
      <c r="M160" s="171">
        <v>323.20000000000005</v>
      </c>
      <c r="N160" s="171">
        <f t="shared" si="4"/>
        <v>434.60159722222232</v>
      </c>
      <c r="O160" s="172">
        <v>6172</v>
      </c>
      <c r="P160" s="171">
        <v>745.5</v>
      </c>
      <c r="Q160" s="171">
        <f t="shared" si="2"/>
        <v>1002.4612955729167</v>
      </c>
      <c r="R160" s="172">
        <v>11610</v>
      </c>
      <c r="S160" s="171">
        <v>152.50000000000006</v>
      </c>
      <c r="T160" s="171">
        <f t="shared" si="3"/>
        <v>205.064181857639</v>
      </c>
    </row>
    <row r="161" spans="1:20" x14ac:dyDescent="0.2">
      <c r="A161" s="166">
        <v>3</v>
      </c>
      <c r="B161" s="166"/>
      <c r="C161" s="174">
        <f>+E161-E160</f>
        <v>134.78300000000002</v>
      </c>
      <c r="D161" s="166">
        <f>+G161-G160</f>
        <v>120.57100000000003</v>
      </c>
      <c r="E161" s="166">
        <v>425.61099999999999</v>
      </c>
      <c r="G161" s="166">
        <v>383.11700000000002</v>
      </c>
      <c r="I161" s="171">
        <v>115.1</v>
      </c>
      <c r="J161" s="163">
        <v>3</v>
      </c>
      <c r="L161" s="172">
        <v>13014</v>
      </c>
      <c r="M161" s="171">
        <v>448.29999999999995</v>
      </c>
      <c r="N161" s="171">
        <f t="shared" si="4"/>
        <v>603.34519765421373</v>
      </c>
      <c r="O161" s="172">
        <v>6734</v>
      </c>
      <c r="P161" s="171">
        <v>832.10000000000014</v>
      </c>
      <c r="Q161" s="171">
        <f t="shared" si="2"/>
        <v>1119.8829778453523</v>
      </c>
      <c r="R161" s="172">
        <v>8742</v>
      </c>
      <c r="S161" s="171">
        <v>152.99999999999994</v>
      </c>
      <c r="T161" s="171">
        <f t="shared" si="3"/>
        <v>205.91526933101645</v>
      </c>
    </row>
    <row r="162" spans="1:20" x14ac:dyDescent="0.2">
      <c r="A162" s="166">
        <v>4</v>
      </c>
      <c r="B162" s="166"/>
      <c r="C162" s="174">
        <f>+E162-E161</f>
        <v>137.37</v>
      </c>
      <c r="D162" s="166">
        <f>+G162-G161</f>
        <v>124.38200000000001</v>
      </c>
      <c r="E162" s="166">
        <v>562.98099999999999</v>
      </c>
      <c r="G162" s="166">
        <v>507.49900000000002</v>
      </c>
      <c r="I162" s="171">
        <v>116</v>
      </c>
      <c r="J162" s="163">
        <v>4</v>
      </c>
      <c r="L162" s="172">
        <v>22745</v>
      </c>
      <c r="M162" s="171">
        <v>478.79999999999995</v>
      </c>
      <c r="N162" s="171">
        <f t="shared" si="4"/>
        <v>639.39406034482761</v>
      </c>
      <c r="O162" s="172">
        <v>8144</v>
      </c>
      <c r="P162" s="171">
        <v>795.79999999999973</v>
      </c>
      <c r="Q162" s="171">
        <f t="shared" si="2"/>
        <v>1062.7188663793102</v>
      </c>
      <c r="R162" s="172">
        <v>11407</v>
      </c>
      <c r="S162" s="171">
        <v>142.00000000000006</v>
      </c>
      <c r="T162" s="171">
        <f t="shared" si="3"/>
        <v>189.62814655172426</v>
      </c>
    </row>
    <row r="163" spans="1:20" x14ac:dyDescent="0.2">
      <c r="A163" s="166">
        <v>1</v>
      </c>
      <c r="B163" s="166">
        <v>2006</v>
      </c>
      <c r="C163" s="174">
        <f>+E163</f>
        <v>155.21299999999999</v>
      </c>
      <c r="D163" s="166">
        <f>+G163</f>
        <v>139.72800000000001</v>
      </c>
      <c r="E163" s="166">
        <v>155.21299999999999</v>
      </c>
      <c r="G163" s="166">
        <v>139.72800000000001</v>
      </c>
      <c r="I163" s="171">
        <v>116.6</v>
      </c>
      <c r="J163" s="163">
        <v>1</v>
      </c>
      <c r="K163" s="163">
        <v>2006</v>
      </c>
      <c r="L163" s="172">
        <v>18196</v>
      </c>
      <c r="M163" s="171">
        <v>585</v>
      </c>
      <c r="N163" s="171">
        <f t="shared" si="4"/>
        <v>777.19457547169839</v>
      </c>
      <c r="O163" s="172">
        <v>6106</v>
      </c>
      <c r="P163" s="171">
        <v>947.2</v>
      </c>
      <c r="Q163" s="171">
        <f t="shared" si="2"/>
        <v>1258.3909433962269</v>
      </c>
      <c r="R163" s="172">
        <v>7106</v>
      </c>
      <c r="S163" s="171">
        <v>150.6</v>
      </c>
      <c r="T163" s="171">
        <f t="shared" si="3"/>
        <v>200.07778301886796</v>
      </c>
    </row>
    <row r="164" spans="1:20" x14ac:dyDescent="0.2">
      <c r="A164" s="166">
        <v>2</v>
      </c>
      <c r="B164" s="166"/>
      <c r="C164" s="174">
        <f>+E164-E163</f>
        <v>147.44399999999999</v>
      </c>
      <c r="D164" s="166">
        <f>+G164-G163</f>
        <v>129.572</v>
      </c>
      <c r="E164" s="166">
        <v>302.65699999999998</v>
      </c>
      <c r="G164" s="166">
        <v>269.3</v>
      </c>
      <c r="I164" s="171">
        <v>117.9</v>
      </c>
      <c r="J164" s="163">
        <v>2</v>
      </c>
      <c r="L164" s="172">
        <v>13943</v>
      </c>
      <c r="M164" s="171">
        <v>433.79999999999995</v>
      </c>
      <c r="N164" s="171">
        <f t="shared" si="4"/>
        <v>569.96500000000003</v>
      </c>
      <c r="O164" s="172">
        <v>5246</v>
      </c>
      <c r="P164" s="171">
        <v>811.2</v>
      </c>
      <c r="Q164" s="171">
        <f t="shared" si="2"/>
        <v>1065.8266666666668</v>
      </c>
      <c r="R164" s="172">
        <v>9193</v>
      </c>
      <c r="S164" s="171">
        <v>176.1</v>
      </c>
      <c r="T164" s="171">
        <f t="shared" si="3"/>
        <v>231.37583333333336</v>
      </c>
    </row>
    <row r="165" spans="1:20" x14ac:dyDescent="0.2">
      <c r="A165" s="166">
        <v>3</v>
      </c>
      <c r="B165" s="166"/>
      <c r="C165" s="174">
        <f>+E165-E164</f>
        <v>143.45100000000002</v>
      </c>
      <c r="D165" s="166">
        <f>+G165-G164</f>
        <v>126.00599999999997</v>
      </c>
      <c r="E165" s="166">
        <v>446.108</v>
      </c>
      <c r="G165" s="166">
        <v>395.30599999999998</v>
      </c>
      <c r="I165" s="175">
        <v>117.3</v>
      </c>
      <c r="J165" s="163">
        <v>3</v>
      </c>
      <c r="L165" s="172">
        <v>13690</v>
      </c>
      <c r="M165" s="171">
        <v>496.59999999999991</v>
      </c>
      <c r="N165" s="171">
        <f t="shared" si="4"/>
        <v>655.81470161977836</v>
      </c>
      <c r="O165" s="172">
        <v>9450</v>
      </c>
      <c r="P165" s="171">
        <v>855.90000000000009</v>
      </c>
      <c r="Q165" s="171">
        <f t="shared" si="2"/>
        <v>1130.3097122762151</v>
      </c>
      <c r="R165" s="172">
        <v>10840</v>
      </c>
      <c r="S165" s="171">
        <v>167.10000000000002</v>
      </c>
      <c r="T165" s="171">
        <f t="shared" si="3"/>
        <v>220.67385549872131</v>
      </c>
    </row>
    <row r="166" spans="1:20" x14ac:dyDescent="0.2">
      <c r="A166" s="166">
        <v>4</v>
      </c>
      <c r="B166" s="166"/>
      <c r="C166" s="174">
        <f>+E166-E165</f>
        <v>148.56090999999998</v>
      </c>
      <c r="D166" s="166">
        <f>+G166-G165</f>
        <v>131.19532799999996</v>
      </c>
      <c r="E166" s="166">
        <v>594.66890999999998</v>
      </c>
      <c r="G166" s="166">
        <v>526.50132799999994</v>
      </c>
      <c r="I166" s="175">
        <v>119</v>
      </c>
      <c r="J166" s="163">
        <v>4</v>
      </c>
      <c r="L166" s="172">
        <v>16682</v>
      </c>
      <c r="M166" s="171">
        <v>525.60000000000014</v>
      </c>
      <c r="N166" s="171">
        <f t="shared" si="4"/>
        <v>684.19648739495824</v>
      </c>
      <c r="O166" s="172">
        <v>10233</v>
      </c>
      <c r="P166" s="171">
        <v>826</v>
      </c>
      <c r="Q166" s="171">
        <f t="shared" si="2"/>
        <v>1075.2402941176472</v>
      </c>
      <c r="R166" s="172">
        <v>9520</v>
      </c>
      <c r="S166" s="171">
        <v>144.09999999999997</v>
      </c>
      <c r="T166" s="171">
        <f t="shared" si="3"/>
        <v>187.58126680672268</v>
      </c>
    </row>
    <row r="167" spans="1:20" x14ac:dyDescent="0.2">
      <c r="A167" s="166">
        <v>1</v>
      </c>
      <c r="B167" s="166">
        <v>2007</v>
      </c>
      <c r="C167" s="174">
        <f>+E167</f>
        <v>158.09976</v>
      </c>
      <c r="D167" s="166">
        <f>+G167</f>
        <v>141.08400800000001</v>
      </c>
      <c r="E167" s="166">
        <v>158.09976</v>
      </c>
      <c r="G167" s="166">
        <v>141.08400800000001</v>
      </c>
      <c r="I167" s="175">
        <v>117.5</v>
      </c>
      <c r="J167" s="163">
        <v>1</v>
      </c>
      <c r="K167" s="163">
        <v>2007</v>
      </c>
      <c r="L167" s="172">
        <v>18623</v>
      </c>
      <c r="M167" s="171">
        <v>649.6</v>
      </c>
      <c r="N167" s="171">
        <f t="shared" si="4"/>
        <v>856.4077617021278</v>
      </c>
      <c r="O167" s="172">
        <v>7737</v>
      </c>
      <c r="P167" s="171">
        <v>1092.1999999999998</v>
      </c>
      <c r="Q167" s="171">
        <f t="shared" si="2"/>
        <v>1439.91465106383</v>
      </c>
      <c r="R167" s="172">
        <v>8112</v>
      </c>
      <c r="S167" s="171">
        <v>167.4</v>
      </c>
      <c r="T167" s="171">
        <f t="shared" si="3"/>
        <v>220.69374893617027</v>
      </c>
    </row>
    <row r="168" spans="1:20" x14ac:dyDescent="0.2">
      <c r="A168" s="166">
        <v>2</v>
      </c>
      <c r="B168" s="166"/>
      <c r="C168" s="174">
        <f>+E168-E167</f>
        <v>161.61276000000004</v>
      </c>
      <c r="D168" s="166">
        <f>+G168-G167</f>
        <v>142.897008</v>
      </c>
      <c r="E168" s="166">
        <v>319.71252000000004</v>
      </c>
      <c r="G168" s="166">
        <v>283.98101600000001</v>
      </c>
      <c r="I168" s="175">
        <v>118.3</v>
      </c>
      <c r="J168" s="163">
        <v>2</v>
      </c>
      <c r="L168" s="172">
        <v>15831</v>
      </c>
      <c r="M168" s="171">
        <v>514.19999999999993</v>
      </c>
      <c r="N168" s="171">
        <f t="shared" si="4"/>
        <v>673.31729923922239</v>
      </c>
      <c r="O168" s="172">
        <v>5067</v>
      </c>
      <c r="P168" s="171">
        <v>1041.6999999999998</v>
      </c>
      <c r="Q168" s="171">
        <f t="shared" ref="Q168:Q189" si="5">P168/I168*$I$69</f>
        <v>1364.0502345731193</v>
      </c>
      <c r="R168" s="172">
        <v>10608</v>
      </c>
      <c r="S168" s="171">
        <v>160.99999999999997</v>
      </c>
      <c r="T168" s="171">
        <f t="shared" ref="T168:T189" si="6">S168/I168*$I$69</f>
        <v>210.8208579881657</v>
      </c>
    </row>
    <row r="169" spans="1:20" x14ac:dyDescent="0.2">
      <c r="A169" s="166">
        <v>3</v>
      </c>
      <c r="B169" s="166"/>
      <c r="C169" s="174">
        <f>+E169-E168</f>
        <v>135.82058024999998</v>
      </c>
      <c r="D169" s="166">
        <f>+G169-G168</f>
        <v>119.75308425000003</v>
      </c>
      <c r="E169" s="166">
        <v>455.53310025000002</v>
      </c>
      <c r="G169" s="166">
        <v>403.73410025000004</v>
      </c>
      <c r="I169" s="175">
        <v>117.8</v>
      </c>
      <c r="J169" s="163">
        <v>3</v>
      </c>
      <c r="L169" s="172">
        <v>18428</v>
      </c>
      <c r="M169" s="171">
        <v>654.20000000000027</v>
      </c>
      <c r="N169" s="171">
        <f t="shared" si="4"/>
        <v>860.27577674023826</v>
      </c>
      <c r="O169" s="172">
        <v>6417</v>
      </c>
      <c r="P169" s="171">
        <v>679.60000000000036</v>
      </c>
      <c r="Q169" s="171">
        <f t="shared" si="5"/>
        <v>893.67688455008556</v>
      </c>
      <c r="R169" s="172">
        <v>10319</v>
      </c>
      <c r="S169" s="171">
        <v>152.89999999999998</v>
      </c>
      <c r="T169" s="171">
        <f t="shared" si="6"/>
        <v>201.06414898132428</v>
      </c>
    </row>
    <row r="170" spans="1:20" x14ac:dyDescent="0.2">
      <c r="A170" s="166">
        <v>4</v>
      </c>
      <c r="B170" s="166"/>
      <c r="C170" s="174">
        <f>+E170-E169</f>
        <v>149.79139924999998</v>
      </c>
      <c r="D170" s="166">
        <f>+G170-G169</f>
        <v>133.49839924999998</v>
      </c>
      <c r="E170" s="166">
        <v>605.3244995</v>
      </c>
      <c r="G170" s="166">
        <v>537.23249950000002</v>
      </c>
      <c r="I170" s="175">
        <v>120.8</v>
      </c>
      <c r="J170" s="163">
        <v>4</v>
      </c>
      <c r="L170" s="172">
        <v>15870</v>
      </c>
      <c r="M170" s="171">
        <v>567.19999999999959</v>
      </c>
      <c r="N170" s="171">
        <f t="shared" si="4"/>
        <v>727.34713576158913</v>
      </c>
      <c r="O170" s="172">
        <v>5114</v>
      </c>
      <c r="P170" s="171">
        <v>911.69999999999982</v>
      </c>
      <c r="Q170" s="171">
        <f t="shared" si="5"/>
        <v>1169.1156270695365</v>
      </c>
      <c r="R170" s="172">
        <v>8645</v>
      </c>
      <c r="S170" s="171">
        <v>142.80000000000007</v>
      </c>
      <c r="T170" s="171">
        <f t="shared" si="6"/>
        <v>183.1191307947021</v>
      </c>
    </row>
    <row r="171" spans="1:20" x14ac:dyDescent="0.2">
      <c r="A171" s="166">
        <v>1</v>
      </c>
      <c r="B171" s="166">
        <v>2008</v>
      </c>
      <c r="C171" s="174">
        <f>+E171</f>
        <v>164.64169099999998</v>
      </c>
      <c r="D171" s="166">
        <f>+G171</f>
        <v>148.61369099999999</v>
      </c>
      <c r="E171" s="166">
        <v>164.64169099999998</v>
      </c>
      <c r="G171" s="166">
        <v>148.61369099999999</v>
      </c>
      <c r="I171" s="175">
        <v>121.9</v>
      </c>
      <c r="J171" s="163">
        <v>1</v>
      </c>
      <c r="K171" s="163">
        <v>2008</v>
      </c>
      <c r="L171" s="172">
        <v>17004</v>
      </c>
      <c r="M171" s="171">
        <v>591.9</v>
      </c>
      <c r="N171" s="171">
        <f t="shared" si="4"/>
        <v>752.17185602953248</v>
      </c>
      <c r="O171" s="172">
        <v>6274</v>
      </c>
      <c r="P171" s="171">
        <v>963.6</v>
      </c>
      <c r="Q171" s="171">
        <f t="shared" si="5"/>
        <v>1224.5190073831011</v>
      </c>
      <c r="R171" s="172">
        <v>7939</v>
      </c>
      <c r="S171" s="171">
        <v>160.1</v>
      </c>
      <c r="T171" s="171">
        <f t="shared" si="6"/>
        <v>203.45111361771947</v>
      </c>
    </row>
    <row r="172" spans="1:20" x14ac:dyDescent="0.2">
      <c r="A172" s="166">
        <v>2</v>
      </c>
      <c r="B172" s="166"/>
      <c r="C172" s="174">
        <f>+E172-E171</f>
        <v>197.28657850000002</v>
      </c>
      <c r="D172" s="166">
        <f>+G172-G171</f>
        <v>175.71357850000001</v>
      </c>
      <c r="E172" s="166">
        <v>361.9282695</v>
      </c>
      <c r="G172" s="166">
        <v>324.3272695</v>
      </c>
      <c r="I172" s="175">
        <v>122</v>
      </c>
      <c r="J172" s="163">
        <v>2</v>
      </c>
      <c r="L172" s="172">
        <v>14987</v>
      </c>
      <c r="M172" s="171">
        <v>548.4</v>
      </c>
      <c r="N172" s="171">
        <f t="shared" ref="N172:N181" si="7">M172/I172*$I$69</f>
        <v>696.32190983606574</v>
      </c>
      <c r="O172" s="172">
        <v>5831</v>
      </c>
      <c r="P172" s="171">
        <v>1153.8000000000002</v>
      </c>
      <c r="Q172" s="171">
        <f t="shared" si="5"/>
        <v>1465.0186352459023</v>
      </c>
      <c r="R172" s="172">
        <v>10207</v>
      </c>
      <c r="S172" s="171">
        <v>188.4</v>
      </c>
      <c r="T172" s="171">
        <f t="shared" si="6"/>
        <v>239.21781147540989</v>
      </c>
    </row>
    <row r="173" spans="1:20" x14ac:dyDescent="0.2">
      <c r="A173" s="166">
        <v>3</v>
      </c>
      <c r="B173" s="166"/>
      <c r="C173" s="174">
        <f>+E173-E172</f>
        <v>159.71767174999997</v>
      </c>
      <c r="D173" s="166">
        <f>+G173-G172</f>
        <v>141.40667174999999</v>
      </c>
      <c r="E173" s="166">
        <v>521.64594124999996</v>
      </c>
      <c r="G173" s="166">
        <v>465.73394124999999</v>
      </c>
      <c r="I173" s="175">
        <v>123.1</v>
      </c>
      <c r="J173" s="163">
        <v>3</v>
      </c>
      <c r="L173" s="172">
        <v>19290</v>
      </c>
      <c r="M173" s="171">
        <v>722.70000000000027</v>
      </c>
      <c r="N173" s="171">
        <f t="shared" si="7"/>
        <v>909.43663891145468</v>
      </c>
      <c r="O173" s="172">
        <v>12252</v>
      </c>
      <c r="P173" s="171">
        <v>1486.4999999999995</v>
      </c>
      <c r="Q173" s="171">
        <f t="shared" si="5"/>
        <v>1870.5930036555644</v>
      </c>
      <c r="R173" s="172">
        <v>11007</v>
      </c>
      <c r="S173" s="171">
        <v>186.29999999999995</v>
      </c>
      <c r="T173" s="171">
        <f t="shared" si="6"/>
        <v>234.43758935824533</v>
      </c>
    </row>
    <row r="174" spans="1:20" x14ac:dyDescent="0.2">
      <c r="A174" s="166">
        <v>4</v>
      </c>
      <c r="B174" s="166"/>
      <c r="C174" s="174">
        <f>+E174-E173</f>
        <v>170.05706974999998</v>
      </c>
      <c r="D174" s="166">
        <f>+G174-G173</f>
        <v>152.54014889999991</v>
      </c>
      <c r="E174" s="166">
        <v>691.70301099999995</v>
      </c>
      <c r="G174" s="166">
        <v>618.27409014999989</v>
      </c>
      <c r="I174" s="171">
        <v>124.7</v>
      </c>
      <c r="J174" s="163">
        <v>4</v>
      </c>
      <c r="L174" s="172">
        <v>16976</v>
      </c>
      <c r="M174" s="171">
        <v>703.10000000000014</v>
      </c>
      <c r="N174" s="171">
        <f t="shared" si="7"/>
        <v>873.41991379310377</v>
      </c>
      <c r="O174" s="172">
        <v>7247</v>
      </c>
      <c r="P174" s="171">
        <v>1160</v>
      </c>
      <c r="Q174" s="171">
        <f t="shared" si="5"/>
        <v>1441.0000000000002</v>
      </c>
      <c r="R174" s="172">
        <v>10145</v>
      </c>
      <c r="S174" s="171">
        <v>269.60000000000014</v>
      </c>
      <c r="T174" s="171">
        <f t="shared" si="6"/>
        <v>334.90827586206922</v>
      </c>
    </row>
    <row r="175" spans="1:20" x14ac:dyDescent="0.2">
      <c r="A175" s="166">
        <v>1</v>
      </c>
      <c r="B175" s="166">
        <v>2009</v>
      </c>
      <c r="C175" s="174">
        <f>+E175</f>
        <v>191.37959499999999</v>
      </c>
      <c r="D175" s="166">
        <f>+G175</f>
        <v>172.55938714999999</v>
      </c>
      <c r="E175" s="166">
        <v>191.37959499999999</v>
      </c>
      <c r="G175" s="166">
        <v>172.55938714999999</v>
      </c>
      <c r="I175" s="171">
        <v>125</v>
      </c>
      <c r="J175" s="163">
        <v>1</v>
      </c>
      <c r="K175" s="163">
        <v>2009</v>
      </c>
      <c r="L175" s="172">
        <v>18865</v>
      </c>
      <c r="M175" s="171">
        <v>739.59999999999991</v>
      </c>
      <c r="N175" s="171">
        <f t="shared" si="7"/>
        <v>916.5566960000001</v>
      </c>
      <c r="O175" s="172">
        <v>6194</v>
      </c>
      <c r="P175" s="171">
        <v>1049.9000000000001</v>
      </c>
      <c r="Q175" s="171">
        <f t="shared" si="5"/>
        <v>1301.0990740000002</v>
      </c>
      <c r="R175" s="172">
        <v>8619</v>
      </c>
      <c r="S175" s="171">
        <v>213.2</v>
      </c>
      <c r="T175" s="171">
        <f t="shared" si="6"/>
        <v>264.21023200000002</v>
      </c>
    </row>
    <row r="176" spans="1:20" x14ac:dyDescent="0.2">
      <c r="A176" s="166">
        <v>2</v>
      </c>
      <c r="B176" s="166"/>
      <c r="C176" s="174">
        <f>+E176-E175</f>
        <v>178.90604250000001</v>
      </c>
      <c r="D176" s="166">
        <f>+G176-G175</f>
        <v>160.765232725</v>
      </c>
      <c r="E176" s="166">
        <v>370.28563750000001</v>
      </c>
      <c r="G176" s="166">
        <v>333.324619875</v>
      </c>
      <c r="I176" s="171">
        <v>125.7</v>
      </c>
      <c r="J176" s="163">
        <v>2</v>
      </c>
      <c r="L176" s="172">
        <v>14610</v>
      </c>
      <c r="M176" s="171">
        <v>603.80000000000018</v>
      </c>
      <c r="N176" s="171">
        <f t="shared" si="7"/>
        <v>744.09823786793982</v>
      </c>
      <c r="O176" s="172">
        <v>5486</v>
      </c>
      <c r="P176" s="171">
        <v>1077.9000000000001</v>
      </c>
      <c r="Q176" s="171">
        <f t="shared" si="5"/>
        <v>1328.3595405727926</v>
      </c>
      <c r="R176" s="172">
        <v>11296</v>
      </c>
      <c r="S176" s="171">
        <v>235.3</v>
      </c>
      <c r="T176" s="171">
        <f t="shared" si="6"/>
        <v>289.97402346857604</v>
      </c>
    </row>
    <row r="177" spans="1:20" x14ac:dyDescent="0.2">
      <c r="A177" s="166">
        <v>3</v>
      </c>
      <c r="B177" s="166"/>
      <c r="C177" s="174">
        <f>+E177-E176</f>
        <v>160.23377500000004</v>
      </c>
      <c r="D177" s="166">
        <f>+G177-G176</f>
        <v>142.31202375000004</v>
      </c>
      <c r="E177" s="166">
        <v>530.51941250000004</v>
      </c>
      <c r="G177" s="166">
        <v>475.63664362500003</v>
      </c>
      <c r="I177" s="171">
        <v>125.4</v>
      </c>
      <c r="J177" s="163">
        <v>3</v>
      </c>
      <c r="L177" s="172">
        <v>19220</v>
      </c>
      <c r="M177" s="171">
        <v>795.69999999999982</v>
      </c>
      <c r="N177" s="171">
        <f t="shared" si="7"/>
        <v>982.93379385964897</v>
      </c>
      <c r="O177" s="172">
        <v>13278</v>
      </c>
      <c r="P177" s="171">
        <v>1278.0999999999999</v>
      </c>
      <c r="Q177" s="171">
        <f t="shared" si="5"/>
        <v>1578.8458991228069</v>
      </c>
      <c r="R177" s="172">
        <v>11383</v>
      </c>
      <c r="S177" s="171">
        <v>231.79999999999995</v>
      </c>
      <c r="T177" s="171">
        <f t="shared" si="6"/>
        <v>286.34416666666664</v>
      </c>
    </row>
    <row r="178" spans="1:20" x14ac:dyDescent="0.2">
      <c r="A178" s="166">
        <v>4</v>
      </c>
      <c r="B178" s="166"/>
      <c r="C178" s="174">
        <f>+E178-E177</f>
        <v>179.8571388695641</v>
      </c>
      <c r="D178" s="166">
        <f>+G178-G177</f>
        <v>163.53199924456408</v>
      </c>
      <c r="E178" s="166">
        <v>710.37655136956414</v>
      </c>
      <c r="G178" s="166">
        <v>639.16864286956411</v>
      </c>
      <c r="I178" s="171">
        <v>126.6</v>
      </c>
      <c r="J178" s="163">
        <v>4</v>
      </c>
      <c r="L178" s="172">
        <v>16838</v>
      </c>
      <c r="M178" s="171">
        <v>759.30000000000018</v>
      </c>
      <c r="N178" s="171">
        <f t="shared" si="7"/>
        <v>929.07792061611417</v>
      </c>
      <c r="O178" s="172">
        <v>6227</v>
      </c>
      <c r="P178" s="171">
        <v>1192.2000000000003</v>
      </c>
      <c r="Q178" s="171">
        <f t="shared" si="5"/>
        <v>1458.7734715639817</v>
      </c>
      <c r="R178" s="172">
        <v>10409</v>
      </c>
      <c r="S178" s="171">
        <v>276.40000000000009</v>
      </c>
      <c r="T178" s="171">
        <f t="shared" si="6"/>
        <v>338.20247235387063</v>
      </c>
    </row>
    <row r="179" spans="1:20" x14ac:dyDescent="0.2">
      <c r="A179" s="166">
        <v>1</v>
      </c>
      <c r="B179" s="166">
        <v>2010</v>
      </c>
      <c r="C179" s="174">
        <f>+E179</f>
        <v>204.63648875000001</v>
      </c>
      <c r="D179" s="166">
        <f>+G179</f>
        <v>186.506571025</v>
      </c>
      <c r="E179" s="166">
        <v>204.63648875000001</v>
      </c>
      <c r="G179" s="166">
        <v>186.506571025</v>
      </c>
      <c r="I179" s="171">
        <v>128.69999999999999</v>
      </c>
      <c r="J179" s="163">
        <v>1</v>
      </c>
      <c r="K179" s="163">
        <v>2010</v>
      </c>
      <c r="L179" s="172">
        <v>40484.70904761905</v>
      </c>
      <c r="M179" s="171">
        <v>1693.2251146266974</v>
      </c>
      <c r="N179" s="171">
        <f t="shared" si="7"/>
        <v>2038.020741600895</v>
      </c>
      <c r="O179" s="172">
        <v>6690</v>
      </c>
      <c r="P179" s="171">
        <v>1648.5</v>
      </c>
      <c r="Q179" s="171">
        <f t="shared" si="5"/>
        <v>1984.1881410256417</v>
      </c>
      <c r="R179" s="172">
        <v>7227</v>
      </c>
      <c r="S179" s="171">
        <v>243.10000000000002</v>
      </c>
      <c r="T179" s="171">
        <f t="shared" si="6"/>
        <v>292.60305555555567</v>
      </c>
    </row>
    <row r="180" spans="1:20" x14ac:dyDescent="0.2">
      <c r="A180" s="166">
        <v>2</v>
      </c>
      <c r="B180" s="166"/>
      <c r="C180" s="174">
        <f>+E180-E179</f>
        <v>188.95691625000001</v>
      </c>
      <c r="D180" s="166">
        <f>+G180-G179</f>
        <v>170.46253197500002</v>
      </c>
      <c r="E180" s="166">
        <v>393.59340500000002</v>
      </c>
      <c r="G180" s="166">
        <v>356.96910300000002</v>
      </c>
      <c r="I180" s="171">
        <v>128.9</v>
      </c>
      <c r="J180" s="163">
        <v>2</v>
      </c>
      <c r="L180" s="172">
        <v>20633.79583333333</v>
      </c>
      <c r="M180" s="171">
        <v>864.97098885712671</v>
      </c>
      <c r="N180" s="171">
        <f t="shared" si="7"/>
        <v>1039.4918033854567</v>
      </c>
      <c r="O180" s="172">
        <v>5716</v>
      </c>
      <c r="P180" s="171">
        <v>1381.6999999999998</v>
      </c>
      <c r="Q180" s="171">
        <f t="shared" si="5"/>
        <v>1660.4786093871217</v>
      </c>
      <c r="R180" s="172">
        <v>10696</v>
      </c>
      <c r="S180" s="171">
        <v>201.60000000000002</v>
      </c>
      <c r="T180" s="171">
        <f t="shared" si="6"/>
        <v>242.2758107059737</v>
      </c>
    </row>
    <row r="181" spans="1:20" x14ac:dyDescent="0.2">
      <c r="A181" s="166">
        <v>3</v>
      </c>
      <c r="B181" s="166"/>
      <c r="C181" s="174">
        <f>+E181-E180</f>
        <v>172.07737875000004</v>
      </c>
      <c r="D181" s="166">
        <f>+G181-G180</f>
        <v>154.15607493749997</v>
      </c>
      <c r="E181" s="166">
        <v>565.67078375000006</v>
      </c>
      <c r="G181" s="166">
        <v>511.12517793749998</v>
      </c>
      <c r="I181" s="171">
        <v>127.8</v>
      </c>
      <c r="J181" s="163">
        <v>3</v>
      </c>
      <c r="L181" s="172">
        <v>19149.335833333338</v>
      </c>
      <c r="M181" s="171">
        <v>861.71516601647909</v>
      </c>
      <c r="N181" s="171">
        <f t="shared" si="7"/>
        <v>1044.4925045359762</v>
      </c>
      <c r="O181" s="172">
        <v>9089</v>
      </c>
      <c r="P181" s="171">
        <v>1286.1999999999998</v>
      </c>
      <c r="Q181" s="171">
        <f t="shared" si="5"/>
        <v>1559.0142918622851</v>
      </c>
      <c r="R181" s="172">
        <v>11532</v>
      </c>
      <c r="S181" s="171">
        <v>200.69999999999993</v>
      </c>
      <c r="T181" s="171">
        <f t="shared" si="6"/>
        <v>243.2702288732394</v>
      </c>
    </row>
    <row r="182" spans="1:20" x14ac:dyDescent="0.2">
      <c r="A182" s="166">
        <v>4</v>
      </c>
      <c r="B182" s="166"/>
      <c r="C182" s="174">
        <f>+E182-E181</f>
        <v>192.96143124999992</v>
      </c>
      <c r="D182" s="166">
        <f>+G182-G181</f>
        <v>174.39946771249993</v>
      </c>
      <c r="E182" s="166">
        <v>758.63221499999997</v>
      </c>
      <c r="G182" s="166">
        <v>685.52464564999991</v>
      </c>
      <c r="I182" s="171">
        <v>129</v>
      </c>
      <c r="J182" s="163">
        <v>4</v>
      </c>
      <c r="L182" s="172">
        <v>22322.361666666664</v>
      </c>
      <c r="M182" s="171">
        <v>889.84894905372039</v>
      </c>
      <c r="N182" s="171">
        <f t="shared" ref="N182" si="8">M182/I182*$I$69</f>
        <v>1068.5602796553428</v>
      </c>
      <c r="O182" s="172">
        <v>5858</v>
      </c>
      <c r="P182" s="171">
        <v>1310.8000000000011</v>
      </c>
      <c r="Q182" s="171">
        <f t="shared" si="5"/>
        <v>1574.0523333333349</v>
      </c>
      <c r="R182" s="172">
        <v>9548</v>
      </c>
      <c r="S182" s="171">
        <v>205</v>
      </c>
      <c r="T182" s="171">
        <f t="shared" si="6"/>
        <v>246.17083333333338</v>
      </c>
    </row>
    <row r="183" spans="1:20" x14ac:dyDescent="0.2">
      <c r="A183" s="166">
        <v>1</v>
      </c>
      <c r="B183" s="166">
        <v>2011</v>
      </c>
      <c r="C183" s="174">
        <f>+E183</f>
        <v>204.00503875000001</v>
      </c>
      <c r="D183" s="166">
        <f>+G183</f>
        <v>184.8599929625</v>
      </c>
      <c r="E183" s="166">
        <v>204.00503875000001</v>
      </c>
      <c r="G183" s="166">
        <v>184.8599929625</v>
      </c>
      <c r="I183" s="171">
        <v>130.19999999999999</v>
      </c>
      <c r="J183" s="163">
        <v>1</v>
      </c>
      <c r="K183" s="163">
        <v>2011</v>
      </c>
      <c r="L183" s="172">
        <v>26141.662648809524</v>
      </c>
      <c r="M183" s="171">
        <v>1061.4209517567813</v>
      </c>
      <c r="N183" s="171">
        <f t="shared" ref="N183:N186" si="9">M183/I183*$I$69</f>
        <v>1262.8422894336686</v>
      </c>
      <c r="O183" s="172">
        <v>5959</v>
      </c>
      <c r="P183" s="171">
        <v>1698.7</v>
      </c>
      <c r="Q183" s="171">
        <f t="shared" si="5"/>
        <v>2021.0550710445473</v>
      </c>
      <c r="R183" s="172">
        <v>6732</v>
      </c>
      <c r="S183" s="171">
        <v>156.5</v>
      </c>
      <c r="T183" s="171">
        <f t="shared" si="6"/>
        <v>186.19833909370206</v>
      </c>
    </row>
    <row r="184" spans="1:20" x14ac:dyDescent="0.2">
      <c r="A184" s="166">
        <v>2</v>
      </c>
      <c r="B184" s="166"/>
      <c r="C184" s="174">
        <f>+E184-E183</f>
        <v>188.74104374999999</v>
      </c>
      <c r="D184" s="166">
        <f>+G184-G183</f>
        <v>171.33320521249996</v>
      </c>
      <c r="E184" s="163">
        <v>392.7460825</v>
      </c>
      <c r="G184" s="163">
        <v>356.19319817499996</v>
      </c>
      <c r="I184" s="171">
        <v>131</v>
      </c>
      <c r="J184" s="163">
        <v>2</v>
      </c>
      <c r="L184" s="180">
        <v>18851.951101190472</v>
      </c>
      <c r="M184" s="181">
        <v>776.58308820124375</v>
      </c>
      <c r="N184" s="171">
        <f t="shared" si="9"/>
        <v>918.30950179797094</v>
      </c>
      <c r="O184" s="172">
        <v>7524</v>
      </c>
      <c r="P184" s="171">
        <v>1533.4000000000003</v>
      </c>
      <c r="Q184" s="171">
        <f t="shared" si="5"/>
        <v>1813.2455000000007</v>
      </c>
      <c r="R184" s="172">
        <v>10017</v>
      </c>
      <c r="S184" s="171">
        <v>197.79999999999995</v>
      </c>
      <c r="T184" s="171">
        <f t="shared" si="6"/>
        <v>233.89849999999998</v>
      </c>
    </row>
    <row r="185" spans="1:20" x14ac:dyDescent="0.2">
      <c r="A185" s="166">
        <v>3</v>
      </c>
      <c r="C185" s="174">
        <f>+E185-E184</f>
        <v>169.93391749999995</v>
      </c>
      <c r="D185" s="166">
        <f>+G185-G184</f>
        <v>151.69380182500004</v>
      </c>
      <c r="E185" s="163">
        <v>562.67999999999995</v>
      </c>
      <c r="G185" s="163">
        <v>507.887</v>
      </c>
      <c r="I185" s="171">
        <v>129.4</v>
      </c>
      <c r="J185" s="163">
        <v>3</v>
      </c>
      <c r="L185" s="180">
        <v>24107.386250000007</v>
      </c>
      <c r="M185" s="181">
        <v>914.64669811090494</v>
      </c>
      <c r="N185" s="171">
        <f t="shared" si="9"/>
        <v>1094.9430710016616</v>
      </c>
      <c r="O185" s="172">
        <v>10171</v>
      </c>
      <c r="P185" s="171">
        <v>1285.3999999999996</v>
      </c>
      <c r="Q185" s="171">
        <f t="shared" si="5"/>
        <v>1538.7797565687788</v>
      </c>
      <c r="R185" s="172">
        <v>10339</v>
      </c>
      <c r="S185" s="171">
        <v>167.29999999999995</v>
      </c>
      <c r="T185" s="171">
        <f t="shared" si="6"/>
        <v>200.27839837712514</v>
      </c>
    </row>
    <row r="186" spans="1:20" x14ac:dyDescent="0.2">
      <c r="A186" s="163">
        <v>4</v>
      </c>
      <c r="C186" s="174">
        <f>+E186-E185</f>
        <v>202.17554500000006</v>
      </c>
      <c r="D186" s="166">
        <f>+G186-G185</f>
        <v>178.91908595000001</v>
      </c>
      <c r="E186" s="163">
        <v>764.85554500000001</v>
      </c>
      <c r="G186" s="163">
        <v>686.80608595000001</v>
      </c>
      <c r="I186" s="163">
        <v>130.5</v>
      </c>
      <c r="J186" s="163">
        <v>4</v>
      </c>
      <c r="L186" s="180">
        <v>18022.572976190484</v>
      </c>
      <c r="M186" s="171">
        <v>777.38419736292576</v>
      </c>
      <c r="N186" s="171">
        <f t="shared" si="9"/>
        <v>922.77887013791155</v>
      </c>
      <c r="O186" s="180">
        <v>8775.7956028314002</v>
      </c>
      <c r="P186" s="171">
        <v>1286.8626975018997</v>
      </c>
      <c r="Q186" s="171">
        <f t="shared" si="5"/>
        <v>1527.5454660021117</v>
      </c>
      <c r="R186" s="180">
        <v>9645.4866500746648</v>
      </c>
      <c r="S186" s="171">
        <v>181.103452008619</v>
      </c>
      <c r="T186" s="171">
        <f t="shared" si="6"/>
        <v>214.97534859789391</v>
      </c>
    </row>
    <row r="187" spans="1:20" x14ac:dyDescent="0.2">
      <c r="A187" s="163">
        <v>1</v>
      </c>
      <c r="B187" s="163">
        <v>2012</v>
      </c>
      <c r="C187" s="174">
        <f>+E187</f>
        <v>195.82938625</v>
      </c>
      <c r="D187" s="166">
        <f>+G187</f>
        <v>177.0717714875</v>
      </c>
      <c r="E187" s="163">
        <v>195.82938625</v>
      </c>
      <c r="G187" s="163">
        <v>177.0717714875</v>
      </c>
      <c r="I187" s="163">
        <v>131.69999999999999</v>
      </c>
      <c r="J187" s="163">
        <v>1</v>
      </c>
      <c r="K187" s="163">
        <v>2012</v>
      </c>
      <c r="L187" s="180">
        <v>18517.39324404762</v>
      </c>
      <c r="M187" s="171">
        <v>869.15461769403078</v>
      </c>
      <c r="N187" s="171">
        <f t="shared" ref="N187:N193" si="10">M187/I187*$I$69</f>
        <v>1022.3125963586797</v>
      </c>
      <c r="O187" s="172">
        <v>6822.44890070785</v>
      </c>
      <c r="P187" s="171">
        <v>1150.314057295883</v>
      </c>
      <c r="Q187" s="171">
        <f t="shared" si="5"/>
        <v>1353.0165135198333</v>
      </c>
      <c r="R187" s="172">
        <v>7564.3716625186662</v>
      </c>
      <c r="S187" s="171">
        <v>175.73767321176348</v>
      </c>
      <c r="T187" s="171">
        <f t="shared" si="6"/>
        <v>206.70526661390477</v>
      </c>
    </row>
    <row r="188" spans="1:20" x14ac:dyDescent="0.2">
      <c r="A188" s="163">
        <v>2</v>
      </c>
      <c r="C188" s="174">
        <f>+E188-E187</f>
        <v>182.75061374999999</v>
      </c>
      <c r="D188" s="166">
        <f>+G188-G187</f>
        <v>165.12822851249999</v>
      </c>
      <c r="E188" s="182">
        <v>378.58</v>
      </c>
      <c r="G188" s="182">
        <v>342.2</v>
      </c>
      <c r="I188" s="163">
        <v>131.69999999999999</v>
      </c>
      <c r="J188" s="163">
        <v>2</v>
      </c>
      <c r="L188" s="180">
        <v>14087.60675595238</v>
      </c>
      <c r="M188" s="171">
        <v>635.43152402028181</v>
      </c>
      <c r="N188" s="171">
        <f t="shared" si="10"/>
        <v>747.40401524048468</v>
      </c>
      <c r="O188" s="172">
        <v>4838.55109929215</v>
      </c>
      <c r="P188" s="171">
        <v>1037.7970664905204</v>
      </c>
      <c r="Q188" s="171">
        <f t="shared" si="5"/>
        <v>1220.6723544220222</v>
      </c>
      <c r="R188" s="172">
        <v>10002.628337481334</v>
      </c>
      <c r="S188" s="171">
        <v>184.20744441885319</v>
      </c>
      <c r="T188" s="171">
        <f t="shared" si="6"/>
        <v>216.66753755742982</v>
      </c>
    </row>
    <row r="189" spans="1:20" x14ac:dyDescent="0.2">
      <c r="A189" s="166">
        <v>3</v>
      </c>
      <c r="C189" s="174">
        <f>+E189-E188</f>
        <v>165.72960875000007</v>
      </c>
      <c r="D189" s="166">
        <f>+G189-G188</f>
        <v>148.24155396250001</v>
      </c>
      <c r="E189" s="163">
        <v>544.30960875000005</v>
      </c>
      <c r="G189" s="163">
        <v>490.4415539625</v>
      </c>
      <c r="I189" s="163">
        <v>130</v>
      </c>
      <c r="J189" s="163">
        <v>3</v>
      </c>
      <c r="L189" s="183">
        <v>20999.460714285713</v>
      </c>
      <c r="M189" s="184">
        <v>864.77367174435972</v>
      </c>
      <c r="N189" s="171">
        <f t="shared" si="10"/>
        <v>1030.4609811979956</v>
      </c>
      <c r="O189" s="183">
        <v>6828.0536397386386</v>
      </c>
      <c r="P189" s="184">
        <v>1132.0609213635664</v>
      </c>
      <c r="Q189" s="171">
        <f t="shared" si="5"/>
        <v>1348.9594398163592</v>
      </c>
      <c r="R189" s="183">
        <v>10877.781177428844</v>
      </c>
      <c r="S189" s="184">
        <v>190.02859425457928</v>
      </c>
      <c r="T189" s="171">
        <f t="shared" si="6"/>
        <v>226.43734203454804</v>
      </c>
    </row>
    <row r="190" spans="1:20" x14ac:dyDescent="0.2">
      <c r="A190" s="166">
        <v>4</v>
      </c>
      <c r="C190" s="174">
        <f>+E190-E189</f>
        <v>166.80539124999996</v>
      </c>
      <c r="D190" s="166">
        <f>+G190-G189</f>
        <v>151.72844603749996</v>
      </c>
      <c r="E190" s="163">
        <v>711.11500000000001</v>
      </c>
      <c r="G190" s="163">
        <v>642.16999999999996</v>
      </c>
      <c r="I190" s="163">
        <v>132</v>
      </c>
      <c r="J190" s="163">
        <v>4</v>
      </c>
      <c r="L190" s="183">
        <v>17946.539285714287</v>
      </c>
      <c r="M190" s="184">
        <v>826.79347775776318</v>
      </c>
      <c r="N190" s="171">
        <f t="shared" si="10"/>
        <v>970.27659587697508</v>
      </c>
      <c r="O190" s="183">
        <v>5621.9463602613596</v>
      </c>
      <c r="P190" s="184">
        <v>1071.0118577206574</v>
      </c>
      <c r="Q190" s="171">
        <f t="shared" ref="Q190:Q219" si="11">P190/I190*$I$69</f>
        <v>1256.8770405292632</v>
      </c>
      <c r="R190" s="183">
        <v>8525.2188225711561</v>
      </c>
      <c r="S190" s="184">
        <v>190.41732478586363</v>
      </c>
      <c r="T190" s="171">
        <f t="shared" ref="T190:T219" si="12">S190/I190*$I$69</f>
        <v>223.4626646914104</v>
      </c>
    </row>
    <row r="191" spans="1:20" x14ac:dyDescent="0.2">
      <c r="A191" s="163">
        <v>1</v>
      </c>
      <c r="B191" s="163">
        <v>2013</v>
      </c>
      <c r="C191" s="174">
        <f>+E191</f>
        <v>199.180995</v>
      </c>
      <c r="D191" s="166">
        <f>+G191</f>
        <v>183.65288545000001</v>
      </c>
      <c r="E191" s="163">
        <v>199.180995</v>
      </c>
      <c r="G191" s="163">
        <v>183.65288545000001</v>
      </c>
      <c r="I191" s="163">
        <v>133</v>
      </c>
      <c r="J191" s="163">
        <v>1</v>
      </c>
      <c r="K191" s="163">
        <f>B191</f>
        <v>2013</v>
      </c>
      <c r="L191" s="183">
        <v>21974.571815476189</v>
      </c>
      <c r="M191" s="184">
        <v>1023.0812127444322</v>
      </c>
      <c r="N191" s="171">
        <f t="shared" si="10"/>
        <v>1191.6011500993093</v>
      </c>
      <c r="O191" s="183">
        <v>5520.4451678348678</v>
      </c>
      <c r="P191" s="184">
        <v>1148.1840804128565</v>
      </c>
      <c r="Q191" s="171">
        <f t="shared" si="11"/>
        <v>1337.3107175680798</v>
      </c>
      <c r="R191" s="183">
        <v>5958.3970505452735</v>
      </c>
      <c r="S191" s="184">
        <v>167.84779905693762</v>
      </c>
      <c r="T191" s="171">
        <f t="shared" si="12"/>
        <v>195.49536039407946</v>
      </c>
    </row>
    <row r="192" spans="1:20" x14ac:dyDescent="0.2">
      <c r="A192" s="163">
        <v>2</v>
      </c>
      <c r="C192" s="174">
        <f>+E192-E191</f>
        <v>205.01500500000003</v>
      </c>
      <c r="D192" s="166">
        <f>+G192-G191</f>
        <v>185.63411454999996</v>
      </c>
      <c r="E192" s="163">
        <v>404.19600000000003</v>
      </c>
      <c r="G192" s="163">
        <v>369.28699999999998</v>
      </c>
      <c r="I192" s="163">
        <v>134.30000000000001</v>
      </c>
      <c r="J192" s="163">
        <v>2</v>
      </c>
      <c r="L192" s="183">
        <v>23960.428184523811</v>
      </c>
      <c r="M192" s="184">
        <v>1011.581560458749</v>
      </c>
      <c r="N192" s="171">
        <f t="shared" si="10"/>
        <v>1166.8024614799976</v>
      </c>
      <c r="O192" s="183">
        <v>6388.5548321651322</v>
      </c>
      <c r="P192" s="184">
        <v>1133.7065185307133</v>
      </c>
      <c r="Q192" s="171">
        <f t="shared" si="11"/>
        <v>1307.6667350654986</v>
      </c>
      <c r="R192" s="183">
        <v>10154.602949454726</v>
      </c>
      <c r="S192" s="184">
        <v>176.1673175310234</v>
      </c>
      <c r="T192" s="171">
        <f t="shared" si="12"/>
        <v>203.19909709930758</v>
      </c>
    </row>
    <row r="193" spans="1:20" x14ac:dyDescent="0.2">
      <c r="A193" s="163">
        <v>3</v>
      </c>
      <c r="C193" s="174">
        <f>+E193-E192</f>
        <v>172.04383408071794</v>
      </c>
      <c r="D193" s="166">
        <f>+G193-G192</f>
        <v>153.21019910313902</v>
      </c>
      <c r="E193" s="163">
        <v>576.23983408071797</v>
      </c>
      <c r="G193" s="163">
        <v>522.497199103139</v>
      </c>
      <c r="I193" s="163">
        <v>134.19999999999999</v>
      </c>
      <c r="J193" s="163">
        <v>3</v>
      </c>
      <c r="L193" s="183">
        <v>18388.581422924897</v>
      </c>
      <c r="M193" s="184">
        <v>735.52528494140915</v>
      </c>
      <c r="N193" s="171">
        <f t="shared" si="10"/>
        <v>849.01924796618005</v>
      </c>
      <c r="O193" s="183">
        <v>11492.955434782609</v>
      </c>
      <c r="P193" s="184">
        <v>1323.3889549928699</v>
      </c>
      <c r="Q193" s="171">
        <f t="shared" si="11"/>
        <v>1527.5922097284504</v>
      </c>
      <c r="R193" s="183">
        <v>11786.02326086957</v>
      </c>
      <c r="S193" s="184">
        <v>172.41802435151402</v>
      </c>
      <c r="T193" s="171">
        <f t="shared" si="12"/>
        <v>199.02269081395056</v>
      </c>
    </row>
    <row r="194" spans="1:20" x14ac:dyDescent="0.2">
      <c r="A194" s="166">
        <v>4</v>
      </c>
      <c r="C194" s="174">
        <f>+E194-E193</f>
        <v>204.099832585949</v>
      </c>
      <c r="D194" s="166">
        <f>+G194-G193</f>
        <v>188.07946756352794</v>
      </c>
      <c r="E194" s="163">
        <v>780.33966666666697</v>
      </c>
      <c r="G194" s="163">
        <v>710.57666666666694</v>
      </c>
      <c r="I194" s="163">
        <v>135.30000000000001</v>
      </c>
      <c r="J194" s="163">
        <v>4</v>
      </c>
      <c r="L194" s="183">
        <v>18420.418577075106</v>
      </c>
      <c r="M194" s="183">
        <v>895.71090498583999</v>
      </c>
      <c r="N194" s="171">
        <f>M194/I194*$I$69</f>
        <v>1025.5161641839914</v>
      </c>
      <c r="O194" s="183">
        <v>7745.0445652173912</v>
      </c>
      <c r="P194" s="183">
        <v>1212.6630411771803</v>
      </c>
      <c r="Q194" s="171">
        <f t="shared" si="11"/>
        <v>1388.4005916567189</v>
      </c>
      <c r="R194" s="183">
        <v>11621.97673913043</v>
      </c>
      <c r="S194" s="183">
        <v>180.100371437175</v>
      </c>
      <c r="T194" s="171">
        <f t="shared" si="12"/>
        <v>206.20028298894448</v>
      </c>
    </row>
    <row r="195" spans="1:20" x14ac:dyDescent="0.2">
      <c r="A195" s="166">
        <v>1</v>
      </c>
      <c r="B195" s="163">
        <v>2014</v>
      </c>
      <c r="C195" s="174">
        <f>E195</f>
        <v>196.17699999999999</v>
      </c>
      <c r="D195" s="166">
        <f>G195</f>
        <v>179.55199999999999</v>
      </c>
      <c r="E195" s="163">
        <v>196.17699999999999</v>
      </c>
      <c r="G195" s="163">
        <v>179.55199999999999</v>
      </c>
      <c r="I195" s="163">
        <v>135.80000000000001</v>
      </c>
      <c r="J195" s="163">
        <f>A195</f>
        <v>1</v>
      </c>
      <c r="K195" s="163">
        <f>B195</f>
        <v>2014</v>
      </c>
      <c r="L195" s="183">
        <v>19713</v>
      </c>
      <c r="M195" s="183">
        <v>886.67647724495987</v>
      </c>
      <c r="N195" s="171">
        <f>M195/I195*$I$69</f>
        <v>1011.4347304773464</v>
      </c>
      <c r="O195" s="183">
        <v>7032</v>
      </c>
      <c r="P195" s="183">
        <v>1484.9150299297401</v>
      </c>
      <c r="Q195" s="171">
        <f t="shared" ref="Q195" si="13">P195/I195*$I$69</f>
        <v>1693.8473858530283</v>
      </c>
      <c r="R195" s="183">
        <v>8004</v>
      </c>
      <c r="S195" s="183">
        <v>165.16263465729782</v>
      </c>
      <c r="T195" s="171">
        <f t="shared" ref="T195" si="14">S195/I195*$I$69</f>
        <v>188.40155249024568</v>
      </c>
    </row>
    <row r="196" spans="1:20" x14ac:dyDescent="0.2">
      <c r="A196" s="163">
        <v>2</v>
      </c>
      <c r="C196" s="174">
        <f>+E196-E195</f>
        <v>197.965</v>
      </c>
      <c r="D196" s="166">
        <f>+G196-G195</f>
        <v>179.76700000000002</v>
      </c>
      <c r="E196" s="163">
        <v>394.142</v>
      </c>
      <c r="G196" s="163">
        <v>359.31900000000002</v>
      </c>
      <c r="I196" s="163">
        <v>136.69999999999999</v>
      </c>
      <c r="J196" s="163">
        <v>2</v>
      </c>
      <c r="L196" s="183">
        <v>16691</v>
      </c>
      <c r="M196" s="183">
        <v>732.96206934555016</v>
      </c>
      <c r="N196" s="171">
        <f t="shared" ref="N196:N219" si="15">M196/I196*$I$69</f>
        <v>830.58757686280785</v>
      </c>
      <c r="O196" s="183">
        <v>6228</v>
      </c>
      <c r="P196" s="183">
        <v>1158.7677611998799</v>
      </c>
      <c r="Q196" s="171">
        <f t="shared" si="11"/>
        <v>1313.1076588739609</v>
      </c>
      <c r="R196" s="183">
        <v>11579</v>
      </c>
      <c r="S196" s="183">
        <v>167.32102845142202</v>
      </c>
      <c r="T196" s="171">
        <f t="shared" si="12"/>
        <v>189.60703887958056</v>
      </c>
    </row>
    <row r="197" spans="1:20" x14ac:dyDescent="0.2">
      <c r="A197" s="163">
        <v>3</v>
      </c>
      <c r="C197" s="174">
        <f>+E197-E196</f>
        <v>192.10452006852</v>
      </c>
      <c r="D197" s="166">
        <f>+G197-G196</f>
        <v>173.47352006851992</v>
      </c>
      <c r="E197" s="163">
        <v>586.24652006852</v>
      </c>
      <c r="G197" s="163">
        <v>532.79252006851993</v>
      </c>
      <c r="I197" s="163">
        <v>137</v>
      </c>
      <c r="J197" s="163">
        <v>3</v>
      </c>
      <c r="L197" s="183">
        <v>21817</v>
      </c>
      <c r="M197" s="183">
        <v>1080.59231996894</v>
      </c>
      <c r="N197" s="171">
        <f t="shared" si="15"/>
        <v>1221.8383562451722</v>
      </c>
      <c r="O197" s="183">
        <v>20407</v>
      </c>
      <c r="P197" s="183">
        <v>1259.8740491119995</v>
      </c>
      <c r="Q197" s="171">
        <f t="shared" si="11"/>
        <v>1424.5543011884461</v>
      </c>
      <c r="R197" s="183">
        <v>11684</v>
      </c>
      <c r="S197" s="183">
        <v>177.03184293206914</v>
      </c>
      <c r="T197" s="171">
        <f t="shared" si="12"/>
        <v>200.17197232846354</v>
      </c>
    </row>
    <row r="198" spans="1:20" x14ac:dyDescent="0.2">
      <c r="A198" s="163">
        <v>4</v>
      </c>
      <c r="C198" s="174">
        <f>+E198-E197</f>
        <v>196.808833167682</v>
      </c>
      <c r="D198" s="166">
        <f>+G198-G197</f>
        <v>184.73883316768206</v>
      </c>
      <c r="E198" s="163">
        <v>783.055353236202</v>
      </c>
      <c r="G198" s="163">
        <v>717.53135323620199</v>
      </c>
      <c r="I198" s="163">
        <v>137.9</v>
      </c>
      <c r="J198" s="163">
        <v>4</v>
      </c>
      <c r="L198" s="183">
        <v>20183</v>
      </c>
      <c r="M198" s="183">
        <v>869.67426416194962</v>
      </c>
      <c r="N198" s="171">
        <f t="shared" si="15"/>
        <v>976.93303898235843</v>
      </c>
      <c r="O198" s="183">
        <v>12863</v>
      </c>
      <c r="P198" s="183">
        <v>1106.850761909501</v>
      </c>
      <c r="Q198" s="171">
        <f t="shared" si="11"/>
        <v>1243.3610181326762</v>
      </c>
      <c r="R198" s="183">
        <v>9690</v>
      </c>
      <c r="S198" s="183">
        <v>175.42101671448501</v>
      </c>
      <c r="T198" s="171">
        <f t="shared" si="12"/>
        <v>197.05606342783966</v>
      </c>
    </row>
    <row r="199" spans="1:20" x14ac:dyDescent="0.2">
      <c r="A199" s="163">
        <v>1</v>
      </c>
      <c r="B199" s="163">
        <v>2015</v>
      </c>
      <c r="C199" s="174">
        <f>E199</f>
        <v>219.418599054541</v>
      </c>
      <c r="D199" s="166">
        <f>G199</f>
        <v>202.59159905454101</v>
      </c>
      <c r="E199" s="163">
        <v>219.418599054541</v>
      </c>
      <c r="G199" s="163">
        <v>202.59159905454101</v>
      </c>
      <c r="I199" s="163">
        <v>138.4</v>
      </c>
      <c r="J199" s="163">
        <v>1</v>
      </c>
      <c r="K199" s="163">
        <v>2015</v>
      </c>
      <c r="L199" s="183">
        <v>19630</v>
      </c>
      <c r="M199" s="183">
        <v>957.60520650282388</v>
      </c>
      <c r="N199" s="171">
        <f t="shared" si="15"/>
        <v>1071.8224604504062</v>
      </c>
      <c r="O199" s="183">
        <v>9848</v>
      </c>
      <c r="P199" s="183">
        <v>1279.8360091262539</v>
      </c>
      <c r="Q199" s="171">
        <f t="shared" si="11"/>
        <v>1432.4869695355867</v>
      </c>
      <c r="R199" s="183">
        <v>7135</v>
      </c>
      <c r="S199" s="183">
        <v>155.36971992416409</v>
      </c>
      <c r="T199" s="171">
        <f t="shared" si="12"/>
        <v>173.90126364994546</v>
      </c>
    </row>
    <row r="200" spans="1:20" x14ac:dyDescent="0.2">
      <c r="A200" s="163">
        <v>2</v>
      </c>
      <c r="C200" s="174">
        <f>+E200-E199</f>
        <v>188.69592411436798</v>
      </c>
      <c r="D200" s="166">
        <f>+G200-G199</f>
        <v>171.45081948058601</v>
      </c>
      <c r="E200" s="163">
        <v>408.11452316890899</v>
      </c>
      <c r="G200" s="163">
        <v>374.04241853512701</v>
      </c>
      <c r="I200" s="163">
        <v>139.6</v>
      </c>
      <c r="J200" s="163">
        <v>2</v>
      </c>
      <c r="L200" s="183">
        <v>15703.949675889351</v>
      </c>
      <c r="M200" s="183">
        <v>739.71582874915612</v>
      </c>
      <c r="N200" s="171">
        <f t="shared" si="15"/>
        <v>820.82757694813699</v>
      </c>
      <c r="O200" s="183">
        <v>5422.7168724637304</v>
      </c>
      <c r="P200" s="183">
        <v>1206.7408437095464</v>
      </c>
      <c r="Q200" s="171">
        <f t="shared" si="11"/>
        <v>1339.0630891614371</v>
      </c>
      <c r="R200" s="183">
        <v>9988.3050621118018</v>
      </c>
      <c r="S200" s="183">
        <v>168.85276765034422</v>
      </c>
      <c r="T200" s="171">
        <f t="shared" si="12"/>
        <v>187.36790906014113</v>
      </c>
    </row>
    <row r="201" spans="1:20" x14ac:dyDescent="0.2">
      <c r="A201" s="163">
        <v>3</v>
      </c>
      <c r="C201" s="174">
        <f>+E201-E200</f>
        <v>180.38826158445403</v>
      </c>
      <c r="D201" s="166">
        <f>+G201-G200</f>
        <v>162.29720926756397</v>
      </c>
      <c r="E201" s="163">
        <v>588.50278475336302</v>
      </c>
      <c r="G201" s="163">
        <v>536.33962780269098</v>
      </c>
      <c r="I201" s="163">
        <v>139.69999999999999</v>
      </c>
      <c r="J201" s="163">
        <v>3</v>
      </c>
      <c r="L201" s="183">
        <v>22728.974837944646</v>
      </c>
      <c r="M201" s="183">
        <v>979.87465749478997</v>
      </c>
      <c r="N201" s="171">
        <f t="shared" si="15"/>
        <v>1086.5421152890067</v>
      </c>
      <c r="O201" s="183">
        <v>8619.8584362319707</v>
      </c>
      <c r="P201" s="183">
        <v>1341.1049733657396</v>
      </c>
      <c r="Q201" s="171">
        <f t="shared" si="11"/>
        <v>1487.0953375923648</v>
      </c>
      <c r="R201" s="183">
        <v>10649.652531055901</v>
      </c>
      <c r="S201" s="183">
        <v>131.16322330640469</v>
      </c>
      <c r="T201" s="171">
        <f t="shared" si="12"/>
        <v>145.44142458365704</v>
      </c>
    </row>
    <row r="202" spans="1:20" x14ac:dyDescent="0.2">
      <c r="A202" s="163">
        <v>4</v>
      </c>
      <c r="C202" s="174">
        <f>+E202-E201</f>
        <v>195.22963867497901</v>
      </c>
      <c r="D202" s="166">
        <f>+G202-G201</f>
        <v>179.89113138755602</v>
      </c>
      <c r="E202" s="163">
        <v>783.73242342834203</v>
      </c>
      <c r="G202" s="163">
        <v>716.230759190247</v>
      </c>
      <c r="I202" s="163">
        <v>141.69999999999999</v>
      </c>
      <c r="J202" s="163">
        <v>4</v>
      </c>
      <c r="L202" s="183">
        <v>17661.404213438705</v>
      </c>
      <c r="M202" s="183">
        <v>882.4718984768997</v>
      </c>
      <c r="N202" s="171">
        <f t="shared" si="15"/>
        <v>964.72488082787845</v>
      </c>
      <c r="O202" s="183">
        <v>7193.856491304301</v>
      </c>
      <c r="P202" s="183">
        <v>1425.3376484527203</v>
      </c>
      <c r="Q202" s="171">
        <f t="shared" si="11"/>
        <v>1558.1897796590672</v>
      </c>
      <c r="R202" s="183">
        <v>9159.825978260902</v>
      </c>
      <c r="S202" s="183">
        <v>158.55842389179503</v>
      </c>
      <c r="T202" s="171">
        <f t="shared" si="12"/>
        <v>173.33725510951479</v>
      </c>
    </row>
    <row r="203" spans="1:20" x14ac:dyDescent="0.2">
      <c r="A203" s="163">
        <v>1</v>
      </c>
      <c r="B203" s="163">
        <v>2016</v>
      </c>
      <c r="C203" s="174">
        <f>E203</f>
        <v>217.297581707322</v>
      </c>
      <c r="D203" s="166">
        <f>G203</f>
        <v>201.19677375494101</v>
      </c>
      <c r="E203" s="163">
        <v>217.297581707322</v>
      </c>
      <c r="G203" s="163">
        <v>201.19677375494101</v>
      </c>
      <c r="I203" s="163">
        <v>142.69999999999999</v>
      </c>
      <c r="J203" s="163">
        <v>1</v>
      </c>
      <c r="K203" s="163">
        <v>2016</v>
      </c>
      <c r="L203" s="183">
        <v>20668.165818181998</v>
      </c>
      <c r="M203" s="183">
        <v>1021.6300324660001</v>
      </c>
      <c r="N203" s="171">
        <f t="shared" si="15"/>
        <v>1109.0270094900277</v>
      </c>
      <c r="O203" s="183">
        <v>6682.5362000000005</v>
      </c>
      <c r="P203" s="183">
        <v>1267.176908724</v>
      </c>
      <c r="Q203" s="171">
        <f t="shared" si="11"/>
        <v>1375.5795864622501</v>
      </c>
      <c r="R203" s="183">
        <v>6340.7358571430004</v>
      </c>
      <c r="S203" s="183">
        <v>128.592957756</v>
      </c>
      <c r="T203" s="171">
        <f t="shared" si="12"/>
        <v>139.59364823817504</v>
      </c>
    </row>
    <row r="204" spans="1:20" x14ac:dyDescent="0.2">
      <c r="A204" s="163">
        <v>2</v>
      </c>
      <c r="C204" s="174">
        <f>+E204-E203</f>
        <v>210.94903078835901</v>
      </c>
      <c r="D204" s="166">
        <f>+G204-G203</f>
        <v>192.89311593057502</v>
      </c>
      <c r="E204" s="163">
        <v>428.24661249568101</v>
      </c>
      <c r="G204" s="163">
        <v>394.08988968551603</v>
      </c>
      <c r="I204" s="163">
        <v>144.30000000000001</v>
      </c>
      <c r="J204" s="163">
        <v>2</v>
      </c>
      <c r="L204" s="183">
        <v>19039.287573122998</v>
      </c>
      <c r="M204" s="183">
        <v>795.20392340999979</v>
      </c>
      <c r="N204" s="171">
        <f t="shared" si="15"/>
        <v>853.6594023952498</v>
      </c>
      <c r="O204" s="183">
        <v>5385.3991579709982</v>
      </c>
      <c r="P204" s="183">
        <v>991.5183596400002</v>
      </c>
      <c r="Q204" s="171">
        <f t="shared" si="11"/>
        <v>1064.4049223557404</v>
      </c>
      <c r="R204" s="183">
        <v>10107.700518632999</v>
      </c>
      <c r="S204" s="183">
        <v>152.61472035099999</v>
      </c>
      <c r="T204" s="171">
        <f t="shared" si="12"/>
        <v>163.83343584734951</v>
      </c>
    </row>
    <row r="205" spans="1:20" x14ac:dyDescent="0.2">
      <c r="A205" s="163">
        <v>3</v>
      </c>
      <c r="C205" s="174">
        <f>+E205-E204</f>
        <v>193.64755294266695</v>
      </c>
      <c r="D205" s="166">
        <f>+G205-G204</f>
        <v>175.641874720337</v>
      </c>
      <c r="E205" s="163">
        <v>621.89416543834795</v>
      </c>
      <c r="G205" s="163">
        <v>569.73176440585303</v>
      </c>
      <c r="I205" s="163">
        <v>145.30000000000001</v>
      </c>
      <c r="J205" s="163">
        <v>3</v>
      </c>
      <c r="L205" s="183">
        <v>25325.005330874006</v>
      </c>
      <c r="M205" s="183">
        <v>1404.3111468839998</v>
      </c>
      <c r="N205" s="171">
        <f t="shared" si="15"/>
        <v>1497.1667514517083</v>
      </c>
      <c r="O205" s="183">
        <v>9666.7747891530034</v>
      </c>
      <c r="P205" s="183">
        <v>1492.4533452979995</v>
      </c>
      <c r="Q205" s="171">
        <f t="shared" si="11"/>
        <v>1591.1370721730893</v>
      </c>
      <c r="R205" s="183">
        <v>10325.156290487997</v>
      </c>
      <c r="S205" s="183">
        <v>149.15188867200001</v>
      </c>
      <c r="T205" s="171">
        <f t="shared" si="12"/>
        <v>159.01408254960663</v>
      </c>
    </row>
    <row r="206" spans="1:20" x14ac:dyDescent="0.2">
      <c r="A206" s="163">
        <v>4</v>
      </c>
      <c r="C206" s="174">
        <f>+E206-E205</f>
        <v>194.66297676649504</v>
      </c>
      <c r="D206" s="166">
        <f>+G206-G205</f>
        <v>178.45454935802093</v>
      </c>
      <c r="E206" s="163">
        <v>816.55714220484299</v>
      </c>
      <c r="G206" s="163">
        <v>748.18631376387395</v>
      </c>
      <c r="I206" s="163">
        <v>146.69999999999999</v>
      </c>
      <c r="J206" s="163">
        <v>4</v>
      </c>
      <c r="L206" s="183">
        <v>18369.446222722992</v>
      </c>
      <c r="M206" s="183">
        <v>962.00640138500057</v>
      </c>
      <c r="N206" s="171">
        <f t="shared" si="15"/>
        <v>1015.8282660023655</v>
      </c>
      <c r="O206" s="183">
        <v>6575.4640743699983</v>
      </c>
      <c r="P206" s="183">
        <v>1222.1149542560006</v>
      </c>
      <c r="Q206" s="171">
        <f t="shared" si="11"/>
        <v>1290.4892452379786</v>
      </c>
      <c r="R206" s="183">
        <v>7957.0224983410008</v>
      </c>
      <c r="S206" s="183">
        <v>147.86469469900001</v>
      </c>
      <c r="T206" s="171">
        <f t="shared" si="12"/>
        <v>156.13735646956613</v>
      </c>
    </row>
    <row r="207" spans="1:20" x14ac:dyDescent="0.2">
      <c r="A207" s="163">
        <v>1</v>
      </c>
      <c r="B207" s="163">
        <v>2017</v>
      </c>
      <c r="C207" s="174">
        <f>E207</f>
        <v>227.02914608932699</v>
      </c>
      <c r="D207" s="166">
        <f>G207</f>
        <v>210.737716871462</v>
      </c>
      <c r="E207" s="163">
        <v>227.02914608932699</v>
      </c>
      <c r="G207" s="163">
        <v>210.737716871462</v>
      </c>
      <c r="I207" s="163">
        <v>146.4</v>
      </c>
      <c r="J207" s="163">
        <v>1</v>
      </c>
      <c r="K207" s="163">
        <v>2017</v>
      </c>
      <c r="L207" s="183">
        <v>20188.970584052</v>
      </c>
      <c r="M207" s="183">
        <v>1029.1484993670001</v>
      </c>
      <c r="N207" s="171">
        <f t="shared" si="15"/>
        <v>1088.9536964869781</v>
      </c>
      <c r="O207" s="183">
        <v>7124.2571060979999</v>
      </c>
      <c r="P207" s="183">
        <v>1296.4468783369998</v>
      </c>
      <c r="Q207" s="171">
        <f t="shared" si="11"/>
        <v>1371.78514211741</v>
      </c>
      <c r="R207" s="183">
        <v>6121.3819215860003</v>
      </c>
      <c r="S207" s="183">
        <v>141.149656131</v>
      </c>
      <c r="T207" s="171">
        <f t="shared" si="12"/>
        <v>149.35205161962352</v>
      </c>
    </row>
    <row r="208" spans="1:20" x14ac:dyDescent="0.2">
      <c r="A208" s="163">
        <v>2</v>
      </c>
      <c r="C208" s="174">
        <f>+E208-E207</f>
        <v>200.76722202181199</v>
      </c>
      <c r="D208" s="166">
        <f>+G208-G207</f>
        <v>183.70797761744905</v>
      </c>
      <c r="E208" s="163">
        <v>427.79636811113897</v>
      </c>
      <c r="G208" s="163">
        <v>394.44569448891104</v>
      </c>
      <c r="I208" s="163">
        <v>147.4</v>
      </c>
      <c r="J208" s="163">
        <v>2</v>
      </c>
      <c r="L208" s="183">
        <v>16357.538075795001</v>
      </c>
      <c r="M208" s="183">
        <v>768.50776898899994</v>
      </c>
      <c r="N208" s="171">
        <f t="shared" si="15"/>
        <v>807.65004901399948</v>
      </c>
      <c r="O208" s="183">
        <v>5007.3623026510004</v>
      </c>
      <c r="P208" s="183">
        <v>1681.8190342150001</v>
      </c>
      <c r="Q208" s="171">
        <f t="shared" si="11"/>
        <v>1767.4788469651301</v>
      </c>
      <c r="R208" s="183">
        <v>7194.9193664359991</v>
      </c>
      <c r="S208" s="183">
        <v>119.946167266</v>
      </c>
      <c r="T208" s="171">
        <f t="shared" si="12"/>
        <v>126.05536571070488</v>
      </c>
    </row>
    <row r="209" spans="1:20" x14ac:dyDescent="0.2">
      <c r="A209" s="163">
        <v>3</v>
      </c>
      <c r="C209" s="174">
        <f>+E209-E208</f>
        <v>195.05863188886104</v>
      </c>
      <c r="D209" s="166">
        <f>+G209-G208</f>
        <v>176.76630551108894</v>
      </c>
      <c r="E209" s="163">
        <v>622.85500000000002</v>
      </c>
      <c r="G209" s="163">
        <v>571.21199999999999</v>
      </c>
      <c r="I209" s="163">
        <v>147.30000000000001</v>
      </c>
      <c r="J209" s="163">
        <v>3</v>
      </c>
      <c r="L209" s="183">
        <v>19399</v>
      </c>
      <c r="M209" s="183">
        <v>907</v>
      </c>
      <c r="N209" s="171">
        <f t="shared" si="15"/>
        <v>953.84319416157507</v>
      </c>
      <c r="O209" s="183">
        <v>8892</v>
      </c>
      <c r="P209" s="183">
        <v>954</v>
      </c>
      <c r="Q209" s="171">
        <f t="shared" si="11"/>
        <v>1003.2705702647659</v>
      </c>
      <c r="R209" s="183">
        <v>8727</v>
      </c>
      <c r="S209" s="183">
        <v>128</v>
      </c>
      <c r="T209" s="171">
        <f t="shared" si="12"/>
        <v>134.61072640868974</v>
      </c>
    </row>
    <row r="210" spans="1:20" x14ac:dyDescent="0.2">
      <c r="A210" s="163">
        <v>4</v>
      </c>
      <c r="C210" s="174">
        <f>+E210-E209</f>
        <v>225.423</v>
      </c>
      <c r="D210" s="166">
        <f>+G210-G209</f>
        <v>208.21799999999996</v>
      </c>
      <c r="E210" s="163">
        <v>848.27800000000002</v>
      </c>
      <c r="G210" s="163">
        <v>779.43</v>
      </c>
      <c r="I210" s="163">
        <v>148.4</v>
      </c>
      <c r="J210" s="163">
        <v>4</v>
      </c>
      <c r="L210" s="183">
        <v>23333</v>
      </c>
      <c r="M210" s="183">
        <v>1141</v>
      </c>
      <c r="N210" s="171">
        <f t="shared" si="15"/>
        <v>1191.0340801886794</v>
      </c>
      <c r="O210" s="183">
        <v>6366</v>
      </c>
      <c r="P210" s="183">
        <v>1205</v>
      </c>
      <c r="Q210" s="171">
        <f t="shared" si="11"/>
        <v>1257.8405491913747</v>
      </c>
      <c r="R210" s="183">
        <v>7520</v>
      </c>
      <c r="S210" s="183">
        <v>124</v>
      </c>
      <c r="T210" s="171">
        <f t="shared" si="12"/>
        <v>129.43753369272241</v>
      </c>
    </row>
    <row r="211" spans="1:20" x14ac:dyDescent="0.2">
      <c r="A211" s="163">
        <v>1</v>
      </c>
      <c r="B211" s="163">
        <v>2018</v>
      </c>
      <c r="C211" s="174">
        <f>E211</f>
        <v>241.52799999999999</v>
      </c>
      <c r="D211" s="166">
        <f>G211</f>
        <v>222.678</v>
      </c>
      <c r="E211" s="163">
        <v>241.52799999999999</v>
      </c>
      <c r="G211" s="163">
        <v>222.678</v>
      </c>
      <c r="I211" s="163">
        <v>149.69999999999999</v>
      </c>
      <c r="J211" s="163">
        <v>1</v>
      </c>
      <c r="K211" s="163">
        <v>2018</v>
      </c>
      <c r="L211" s="183">
        <v>25111</v>
      </c>
      <c r="M211" s="183">
        <v>1175</v>
      </c>
      <c r="N211" s="171">
        <f t="shared" si="15"/>
        <v>1215.8738309953242</v>
      </c>
      <c r="O211" s="183">
        <v>6317</v>
      </c>
      <c r="P211" s="183">
        <v>1262</v>
      </c>
      <c r="Q211" s="171">
        <f t="shared" si="11"/>
        <v>1305.9002338009357</v>
      </c>
      <c r="R211" s="183">
        <v>5433</v>
      </c>
      <c r="S211" s="183">
        <v>116</v>
      </c>
      <c r="T211" s="171">
        <f t="shared" si="12"/>
        <v>120.03520374081499</v>
      </c>
    </row>
    <row r="212" spans="1:20" x14ac:dyDescent="0.2">
      <c r="A212" s="163">
        <v>2</v>
      </c>
      <c r="C212" s="174">
        <f>+E212-E211</f>
        <v>226.77080239162902</v>
      </c>
      <c r="D212" s="166">
        <f>+G212-G211</f>
        <v>208.83864191330298</v>
      </c>
      <c r="E212" s="163">
        <v>468.29880239162901</v>
      </c>
      <c r="G212" s="163">
        <v>431.51664191330298</v>
      </c>
      <c r="I212" s="163">
        <v>150.80000000000001</v>
      </c>
      <c r="J212" s="163">
        <v>2</v>
      </c>
      <c r="L212" s="183">
        <v>20973.437462450995</v>
      </c>
      <c r="M212" s="183">
        <v>1076.7915513600001</v>
      </c>
      <c r="N212" s="171">
        <f t="shared" si="15"/>
        <v>1106.1212681850081</v>
      </c>
      <c r="O212" s="183">
        <v>5869.5992710140017</v>
      </c>
      <c r="P212" s="183">
        <v>1471.9660798479999</v>
      </c>
      <c r="Q212" s="171">
        <f t="shared" si="11"/>
        <v>1512.0595856369632</v>
      </c>
      <c r="R212" s="183">
        <v>9319.6839472049996</v>
      </c>
      <c r="S212" s="183">
        <v>135.61776245999999</v>
      </c>
      <c r="T212" s="171">
        <f t="shared" si="12"/>
        <v>139.311727707377</v>
      </c>
    </row>
    <row r="213" spans="1:20" x14ac:dyDescent="0.2">
      <c r="A213" s="163">
        <v>3</v>
      </c>
      <c r="C213" s="174">
        <f>+E213-E212</f>
        <v>230.04425590433516</v>
      </c>
      <c r="D213" s="166">
        <f>+G213-G212</f>
        <v>207.39460472346803</v>
      </c>
      <c r="E213" s="163">
        <v>698.34305829596417</v>
      </c>
      <c r="G213" s="163">
        <v>638.91124663677101</v>
      </c>
      <c r="I213" s="163">
        <v>152.30000000000001</v>
      </c>
      <c r="J213" s="163">
        <v>3</v>
      </c>
      <c r="L213" s="183">
        <v>22635.655438734771</v>
      </c>
      <c r="M213" s="183">
        <v>1212.1884087902995</v>
      </c>
      <c r="N213" s="171">
        <f t="shared" si="15"/>
        <v>1232.9420612914205</v>
      </c>
      <c r="O213" s="183">
        <v>10333.380031159912</v>
      </c>
      <c r="P213" s="183">
        <v>1822.4517080118057</v>
      </c>
      <c r="Q213" s="171">
        <f t="shared" si="11"/>
        <v>1853.6535650613187</v>
      </c>
      <c r="R213" s="183">
        <v>9726.2967189440697</v>
      </c>
      <c r="S213" s="183">
        <v>150.27129325880639</v>
      </c>
      <c r="T213" s="171">
        <f t="shared" si="12"/>
        <v>152.84406014765958</v>
      </c>
    </row>
    <row r="214" spans="1:20" x14ac:dyDescent="0.2">
      <c r="A214" s="163">
        <v>4</v>
      </c>
      <c r="C214" s="174">
        <f>+E214-E213</f>
        <v>212.66674917787782</v>
      </c>
      <c r="D214" s="166">
        <f>+G214-G213</f>
        <v>195.66619934230232</v>
      </c>
      <c r="E214" s="163">
        <v>911.00980747384199</v>
      </c>
      <c r="G214" s="163">
        <v>834.57744597907333</v>
      </c>
      <c r="I214" s="163">
        <v>153.6</v>
      </c>
      <c r="J214" s="163">
        <v>4</v>
      </c>
      <c r="L214" s="183">
        <v>22335.438371541502</v>
      </c>
      <c r="M214" s="183">
        <v>1078.6341079945755</v>
      </c>
      <c r="N214" s="171">
        <f t="shared" si="15"/>
        <v>1087.81584039173</v>
      </c>
      <c r="O214" s="183">
        <v>7362.2217963768126</v>
      </c>
      <c r="P214" s="183">
        <v>1452.0805351783911</v>
      </c>
      <c r="Q214" s="171">
        <f t="shared" si="11"/>
        <v>1464.4411816611112</v>
      </c>
      <c r="R214" s="183">
        <v>8182.2589673913026</v>
      </c>
      <c r="S214" s="183">
        <v>116.53210966099653</v>
      </c>
      <c r="T214" s="171">
        <f t="shared" si="12"/>
        <v>117.52407407103401</v>
      </c>
    </row>
    <row r="215" spans="1:20" x14ac:dyDescent="0.2">
      <c r="A215" s="163">
        <v>1</v>
      </c>
      <c r="B215" s="163">
        <v>2019</v>
      </c>
      <c r="C215" s="174">
        <f>E215</f>
        <v>242.05576995515696</v>
      </c>
      <c r="D215" s="166">
        <f>G215</f>
        <v>223.58363596412556</v>
      </c>
      <c r="E215" s="163">
        <v>242.05576995515696</v>
      </c>
      <c r="G215" s="163">
        <v>223.58363596412556</v>
      </c>
      <c r="I215" s="163">
        <v>154.1</v>
      </c>
      <c r="J215" s="163">
        <v>1</v>
      </c>
      <c r="K215" s="163">
        <v>2019</v>
      </c>
      <c r="L215" s="183">
        <v>22394.924612648225</v>
      </c>
      <c r="M215" s="183">
        <v>1151.1138601930163</v>
      </c>
      <c r="N215" s="171">
        <f t="shared" si="15"/>
        <v>1157.1458163390637</v>
      </c>
      <c r="O215" s="183">
        <v>6179.0660115942028</v>
      </c>
      <c r="P215" s="183">
        <v>1384.5030606846908</v>
      </c>
      <c r="Q215" s="171">
        <f t="shared" si="11"/>
        <v>1391.7580004738079</v>
      </c>
      <c r="R215" s="183">
        <v>6840.1016739130437</v>
      </c>
      <c r="S215" s="183">
        <v>122.43916062391185</v>
      </c>
      <c r="T215" s="171">
        <f t="shared" si="12"/>
        <v>123.08075453827793</v>
      </c>
    </row>
    <row r="216" spans="1:20" x14ac:dyDescent="0.2">
      <c r="A216" s="163">
        <v>2</v>
      </c>
      <c r="C216" s="174">
        <f>+E216-E215</f>
        <v>221.71122705530604</v>
      </c>
      <c r="D216" s="166">
        <f>+G216-G215</f>
        <v>199.97176164424542</v>
      </c>
      <c r="E216" s="163">
        <v>463.766997010463</v>
      </c>
      <c r="G216" s="163">
        <v>423.55539760837098</v>
      </c>
      <c r="I216" s="163">
        <v>154.6</v>
      </c>
      <c r="J216" s="163">
        <v>2</v>
      </c>
      <c r="L216" s="183">
        <v>19703.243703557309</v>
      </c>
      <c r="M216" s="183">
        <v>1006.9446819648526</v>
      </c>
      <c r="N216" s="171">
        <f t="shared" si="15"/>
        <v>1008.9474988452163</v>
      </c>
      <c r="O216" s="183">
        <v>8628.701004347824</v>
      </c>
      <c r="P216" s="183">
        <v>1346.7424148398591</v>
      </c>
      <c r="Q216" s="171">
        <f t="shared" si="11"/>
        <v>1349.4210907296606</v>
      </c>
      <c r="R216" s="183">
        <v>10227.612341614906</v>
      </c>
      <c r="S216" s="183">
        <v>141.53554504088498</v>
      </c>
      <c r="T216" s="171">
        <f t="shared" si="12"/>
        <v>141.8170597892684</v>
      </c>
    </row>
    <row r="217" spans="1:20" x14ac:dyDescent="0.2">
      <c r="A217" s="163">
        <v>3</v>
      </c>
      <c r="C217" s="174">
        <f>+E217-E216</f>
        <v>200.66800298953694</v>
      </c>
      <c r="D217" s="166">
        <f>+G217-G216</f>
        <v>183.517602391629</v>
      </c>
      <c r="E217" s="163">
        <v>664.43499999999995</v>
      </c>
      <c r="G217" s="163">
        <v>607.07299999999998</v>
      </c>
      <c r="I217" s="163">
        <v>154.69999999999999</v>
      </c>
      <c r="J217" s="163">
        <v>3</v>
      </c>
      <c r="L217" s="183">
        <v>26165.077849802379</v>
      </c>
      <c r="M217" s="183">
        <v>1402.3482904344257</v>
      </c>
      <c r="N217" s="171">
        <f t="shared" si="15"/>
        <v>1404.2292682641942</v>
      </c>
      <c r="O217" s="183">
        <v>13748.462299275363</v>
      </c>
      <c r="P217" s="183">
        <v>1484.9789315777889</v>
      </c>
      <c r="Q217" s="171">
        <f t="shared" si="11"/>
        <v>1486.9707423619029</v>
      </c>
      <c r="R217" s="183">
        <v>10507.793672360251</v>
      </c>
      <c r="S217" s="183">
        <v>144.78676128055025</v>
      </c>
      <c r="T217" s="171">
        <f t="shared" si="12"/>
        <v>144.98096459642431</v>
      </c>
    </row>
    <row r="218" spans="1:20" x14ac:dyDescent="0.2">
      <c r="A218" s="163">
        <v>4</v>
      </c>
      <c r="C218" s="174">
        <f>+E218-E217</f>
        <v>216.91973572496272</v>
      </c>
      <c r="D218" s="166">
        <f>+G218-G217</f>
        <v>199.72038857997018</v>
      </c>
      <c r="E218" s="163">
        <v>881.35473572496267</v>
      </c>
      <c r="G218" s="163">
        <v>806.79338857997016</v>
      </c>
      <c r="I218" s="163">
        <v>156.1</v>
      </c>
      <c r="J218" s="163">
        <v>4</v>
      </c>
      <c r="L218" s="183">
        <v>22621.988837944664</v>
      </c>
      <c r="M218" s="183">
        <v>1317.7971704198299</v>
      </c>
      <c r="N218" s="171">
        <f t="shared" si="15"/>
        <v>1307.7300780064691</v>
      </c>
      <c r="O218" s="183">
        <v>7776.9221253623255</v>
      </c>
      <c r="P218" s="183">
        <v>1227.7391162265512</v>
      </c>
      <c r="Q218" s="171">
        <f t="shared" si="11"/>
        <v>1218.3600073469861</v>
      </c>
      <c r="R218" s="183">
        <v>9597.5708897515542</v>
      </c>
      <c r="S218" s="183">
        <v>133.20019148427383</v>
      </c>
      <c r="T218" s="171">
        <f t="shared" si="12"/>
        <v>132.18263076457498</v>
      </c>
    </row>
    <row r="219" spans="1:20" s="186" customFormat="1" x14ac:dyDescent="0.2">
      <c r="A219" s="186">
        <v>1</v>
      </c>
      <c r="B219" s="186">
        <v>2020</v>
      </c>
      <c r="C219" s="187">
        <f>E219</f>
        <v>245.16278393124065</v>
      </c>
      <c r="D219" s="188">
        <f>G219</f>
        <v>227.94719714499254</v>
      </c>
      <c r="E219" s="189">
        <v>245.16278393124065</v>
      </c>
      <c r="G219" s="189">
        <v>227.94719714499254</v>
      </c>
      <c r="I219" s="186">
        <v>155.52000000000001</v>
      </c>
      <c r="J219" s="186">
        <v>1</v>
      </c>
      <c r="K219" s="186">
        <v>2020</v>
      </c>
      <c r="L219" s="190">
        <v>22417.308750988144</v>
      </c>
      <c r="M219" s="190">
        <v>1187.0066434405767</v>
      </c>
      <c r="N219" s="181">
        <f t="shared" si="15"/>
        <v>1182.3317362318105</v>
      </c>
      <c r="O219" s="190">
        <v>7817.2878601449283</v>
      </c>
      <c r="P219" s="190">
        <v>1773.3957103534681</v>
      </c>
      <c r="Q219" s="181">
        <f t="shared" si="11"/>
        <v>1766.4113683229159</v>
      </c>
      <c r="R219" s="190">
        <v>8173.2696444099374</v>
      </c>
      <c r="S219" s="190">
        <v>145.83786039029874</v>
      </c>
      <c r="T219" s="181">
        <f t="shared" si="12"/>
        <v>145.26349253092982</v>
      </c>
    </row>
    <row r="220" spans="1:20" s="186" customFormat="1" x14ac:dyDescent="0.2">
      <c r="C220" s="187"/>
      <c r="D220" s="188"/>
      <c r="L220" s="190"/>
      <c r="M220" s="190"/>
      <c r="N220" s="181"/>
      <c r="O220" s="190"/>
      <c r="P220" s="190"/>
      <c r="Q220" s="181"/>
      <c r="R220" s="190"/>
      <c r="S220" s="190"/>
      <c r="T220" s="181"/>
    </row>
    <row r="221" spans="1:20" s="186" customFormat="1" x14ac:dyDescent="0.2">
      <c r="E221" s="191" t="s">
        <v>110</v>
      </c>
      <c r="K221" s="192" t="s">
        <v>160</v>
      </c>
      <c r="L221" s="180">
        <f>+L223</f>
        <v>22417.308750988144</v>
      </c>
      <c r="M221" s="180">
        <f>+M223</f>
        <v>1187.0066434405767</v>
      </c>
      <c r="N221" s="193" t="s">
        <v>174</v>
      </c>
      <c r="O221" s="180">
        <f>+O223</f>
        <v>7817.2878601449283</v>
      </c>
      <c r="P221" s="180">
        <f>+P223</f>
        <v>1773.3957103534681</v>
      </c>
      <c r="Q221" s="193" t="s">
        <v>174</v>
      </c>
      <c r="R221" s="180">
        <f>+R223</f>
        <v>8173.2696444099374</v>
      </c>
      <c r="S221" s="180">
        <f>+S223</f>
        <v>145.83786039029874</v>
      </c>
      <c r="T221" s="181" t="s">
        <v>174</v>
      </c>
    </row>
    <row r="222" spans="1:20" x14ac:dyDescent="0.2">
      <c r="E222" s="182">
        <f>IF('Tab5'!E8="",'Tab5'!E7,'Tab5'!E8)/1000</f>
        <v>245.16278393124065</v>
      </c>
      <c r="G222" s="182">
        <f>IF('Tab5'!E10="",'Tab5'!E9,'Tab5'!E10)/1000</f>
        <v>227.94719714499254</v>
      </c>
      <c r="K222" s="169" t="s">
        <v>188</v>
      </c>
      <c r="L222" s="172">
        <f>SUM('Tab7'!E11,'Tab11'!E11)</f>
        <v>86202.851480327357</v>
      </c>
      <c r="M222" s="171">
        <f>SUM('Tab7'!E39,'Tab11'!E39)</f>
        <v>4838.309558536148</v>
      </c>
      <c r="N222" s="185" t="s">
        <v>173</v>
      </c>
      <c r="O222" s="172">
        <f>SUM('Tab7'!E9,'Tab11'!E9)</f>
        <v>42912.336570660686</v>
      </c>
      <c r="P222" s="171">
        <f>SUM('Tab7'!E37,'Tab11'!E37)</f>
        <v>7487.529900410349</v>
      </c>
      <c r="Q222" s="185" t="s">
        <v>173</v>
      </c>
      <c r="R222" s="172">
        <f>SUM('Tab7'!E13,'Tab11'!E13)</f>
        <v>45738.353397649145</v>
      </c>
      <c r="S222" s="171">
        <f>SUM('Tab7'!E41,'Tab11'!E41)</f>
        <v>639.47273048411444</v>
      </c>
      <c r="T222" s="185" t="s">
        <v>173</v>
      </c>
    </row>
    <row r="223" spans="1:20" x14ac:dyDescent="0.2">
      <c r="K223" s="169" t="s">
        <v>187</v>
      </c>
      <c r="L223" s="172">
        <f>SUM('Tab7'!E12,'Tab11'!E12)</f>
        <v>22417.308750988144</v>
      </c>
      <c r="M223" s="171">
        <f>SUM('Tab7'!E40,'Tab11'!E40)</f>
        <v>1187.0066434405767</v>
      </c>
      <c r="N223" s="185" t="s">
        <v>173</v>
      </c>
      <c r="O223" s="172">
        <f>SUM('Tab7'!E10,'Tab11'!E10)</f>
        <v>7817.2878601449283</v>
      </c>
      <c r="P223" s="171">
        <f>SUM('Tab7'!E38,'Tab11'!E38)</f>
        <v>1773.3957103534681</v>
      </c>
      <c r="Q223" s="185" t="s">
        <v>173</v>
      </c>
      <c r="R223" s="172">
        <f>SUM('Tab7'!E14,'Tab11'!E14)</f>
        <v>8173.2696444099374</v>
      </c>
      <c r="S223" s="171">
        <f>SUM('Tab7'!E42,'Tab11'!E42)</f>
        <v>145.83786039029874</v>
      </c>
      <c r="T223" s="185"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7" orientation="portrait" horizontalDpi="300" verticalDpi="300" r:id="rId1"/>
  <headerFooter alignWithMargins="0"/>
  <rowBreaks count="1" manualBreakCount="1">
    <brk id="63" max="16383" man="1"/>
  </rowBreaks>
  <ignoredErrors>
    <ignoredError sqref="J69" numberStoredAsText="1"/>
    <ignoredError sqref="C135:D193 C195:D2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2</v>
      </c>
      <c r="B7" s="19" t="s">
        <v>3</v>
      </c>
      <c r="C7" s="20">
        <v>2118780.1395823145</v>
      </c>
      <c r="D7" s="20">
        <v>2227308.6919127963</v>
      </c>
      <c r="E7" s="79">
        <v>2721405.8523982442</v>
      </c>
      <c r="F7" s="22" t="s">
        <v>237</v>
      </c>
      <c r="G7" s="23">
        <v>28.44210692548441</v>
      </c>
      <c r="H7" s="24">
        <v>22.183595937082302</v>
      </c>
    </row>
    <row r="8" spans="1:8" x14ac:dyDescent="0.2">
      <c r="A8" s="201"/>
      <c r="B8" s="25" t="s">
        <v>238</v>
      </c>
      <c r="C8" s="26">
        <v>488627.59937055415</v>
      </c>
      <c r="D8" s="26">
        <v>535536.12529563473</v>
      </c>
      <c r="E8" s="26">
        <v>645176.5426924848</v>
      </c>
      <c r="F8" s="27"/>
      <c r="G8" s="28">
        <v>32.038497932494124</v>
      </c>
      <c r="H8" s="29">
        <v>20.473019880092068</v>
      </c>
    </row>
    <row r="9" spans="1:8" x14ac:dyDescent="0.2">
      <c r="A9" s="30" t="s">
        <v>4</v>
      </c>
      <c r="B9" s="31" t="s">
        <v>3</v>
      </c>
      <c r="C9" s="20">
        <v>682061.20020328846</v>
      </c>
      <c r="D9" s="20">
        <v>700505.74065171904</v>
      </c>
      <c r="E9" s="20">
        <v>710437.95677353931</v>
      </c>
      <c r="F9" s="22" t="s">
        <v>237</v>
      </c>
      <c r="G9" s="32">
        <v>4.1604414034683685</v>
      </c>
      <c r="H9" s="33">
        <v>1.417863629865451</v>
      </c>
    </row>
    <row r="10" spans="1:8" x14ac:dyDescent="0.2">
      <c r="A10" s="34"/>
      <c r="B10" s="25" t="s">
        <v>238</v>
      </c>
      <c r="C10" s="26">
        <v>177705.94396636772</v>
      </c>
      <c r="D10" s="26">
        <v>183623.74106278026</v>
      </c>
      <c r="E10" s="26">
        <v>185849.75766292977</v>
      </c>
      <c r="F10" s="27"/>
      <c r="G10" s="28">
        <v>4.5827469328225447</v>
      </c>
      <c r="H10" s="29">
        <v>1.2122705850919715</v>
      </c>
    </row>
    <row r="11" spans="1:8" x14ac:dyDescent="0.2">
      <c r="A11" s="30" t="s">
        <v>5</v>
      </c>
      <c r="B11" s="31" t="s">
        <v>3</v>
      </c>
      <c r="C11" s="20">
        <v>226601.60727055313</v>
      </c>
      <c r="D11" s="20">
        <v>180848.99507324363</v>
      </c>
      <c r="E11" s="20">
        <v>177127.49120772092</v>
      </c>
      <c r="F11" s="22" t="s">
        <v>237</v>
      </c>
      <c r="G11" s="37">
        <v>-21.833082588757691</v>
      </c>
      <c r="H11" s="33">
        <v>-2.0577962647873704</v>
      </c>
    </row>
    <row r="12" spans="1:8" x14ac:dyDescent="0.2">
      <c r="A12" s="34"/>
      <c r="B12" s="25" t="s">
        <v>238</v>
      </c>
      <c r="C12" s="26">
        <v>63821.611414798186</v>
      </c>
      <c r="D12" s="26">
        <v>66877.028892376693</v>
      </c>
      <c r="E12" s="26">
        <v>59313.026268310903</v>
      </c>
      <c r="F12" s="27"/>
      <c r="G12" s="28">
        <v>-7.0643549207563296</v>
      </c>
      <c r="H12" s="29">
        <v>-11.310314990575193</v>
      </c>
    </row>
    <row r="13" spans="1:8" x14ac:dyDescent="0.2">
      <c r="A13" s="30" t="s">
        <v>6</v>
      </c>
      <c r="B13" s="31" t="s">
        <v>3</v>
      </c>
      <c r="C13" s="20">
        <v>401911.93909904256</v>
      </c>
      <c r="D13" s="20">
        <v>436422.05680252536</v>
      </c>
      <c r="E13" s="20">
        <v>516311.84477175312</v>
      </c>
      <c r="F13" s="22" t="s">
        <v>237</v>
      </c>
      <c r="G13" s="23">
        <v>28.463923198986919</v>
      </c>
      <c r="H13" s="24">
        <v>18.305625649295905</v>
      </c>
    </row>
    <row r="14" spans="1:8" x14ac:dyDescent="0.2">
      <c r="A14" s="34"/>
      <c r="B14" s="25" t="s">
        <v>238</v>
      </c>
      <c r="C14" s="26">
        <v>80234.550480475766</v>
      </c>
      <c r="D14" s="26">
        <v>90726.55665428417</v>
      </c>
      <c r="E14" s="26">
        <v>105875.26420063133</v>
      </c>
      <c r="F14" s="27"/>
      <c r="G14" s="38">
        <v>31.957197449987518</v>
      </c>
      <c r="H14" s="24">
        <v>16.697104028836549</v>
      </c>
    </row>
    <row r="15" spans="1:8" x14ac:dyDescent="0.2">
      <c r="A15" s="30" t="s">
        <v>168</v>
      </c>
      <c r="B15" s="31" t="s">
        <v>3</v>
      </c>
      <c r="C15" s="20">
        <v>47104.096671444495</v>
      </c>
      <c r="D15" s="20">
        <v>46862.684981684986</v>
      </c>
      <c r="E15" s="20">
        <v>45088.254344172936</v>
      </c>
      <c r="F15" s="22" t="s">
        <v>237</v>
      </c>
      <c r="G15" s="37">
        <v>-4.2795477882364423</v>
      </c>
      <c r="H15" s="33">
        <v>-3.786446803476025</v>
      </c>
    </row>
    <row r="16" spans="1:8" x14ac:dyDescent="0.2">
      <c r="A16" s="34"/>
      <c r="B16" s="25" t="s">
        <v>238</v>
      </c>
      <c r="C16" s="26">
        <v>12011.183150183149</v>
      </c>
      <c r="D16" s="26">
        <v>12689.963847746456</v>
      </c>
      <c r="E16" s="26">
        <v>11962.421245421247</v>
      </c>
      <c r="F16" s="27"/>
      <c r="G16" s="28">
        <v>-0.405970870248197</v>
      </c>
      <c r="H16" s="29">
        <v>-5.7332125690366667</v>
      </c>
    </row>
    <row r="17" spans="1:8" x14ac:dyDescent="0.2">
      <c r="A17" s="30" t="s">
        <v>7</v>
      </c>
      <c r="B17" s="31" t="s">
        <v>3</v>
      </c>
      <c r="C17" s="20">
        <v>10868.335804081633</v>
      </c>
      <c r="D17" s="20">
        <v>9550.4275265306132</v>
      </c>
      <c r="E17" s="20">
        <v>9081.4891909468406</v>
      </c>
      <c r="F17" s="22" t="s">
        <v>237</v>
      </c>
      <c r="G17" s="23">
        <v>-16.44084839984184</v>
      </c>
      <c r="H17" s="24">
        <v>-4.9101292510841574</v>
      </c>
    </row>
    <row r="18" spans="1:8" x14ac:dyDescent="0.2">
      <c r="A18" s="30"/>
      <c r="B18" s="25" t="s">
        <v>238</v>
      </c>
      <c r="C18" s="26">
        <v>3000.3396244897958</v>
      </c>
      <c r="D18" s="26">
        <v>2645.6721469387758</v>
      </c>
      <c r="E18" s="26">
        <v>2512.8568816326533</v>
      </c>
      <c r="F18" s="27"/>
      <c r="G18" s="38">
        <v>-16.247585402603832</v>
      </c>
      <c r="H18" s="24">
        <v>-5.0200953833149242</v>
      </c>
    </row>
    <row r="19" spans="1:8" x14ac:dyDescent="0.2">
      <c r="A19" s="39" t="s">
        <v>8</v>
      </c>
      <c r="B19" s="31" t="s">
        <v>3</v>
      </c>
      <c r="C19" s="20">
        <v>4525</v>
      </c>
      <c r="D19" s="20">
        <v>5250</v>
      </c>
      <c r="E19" s="20">
        <v>5828.6409376469537</v>
      </c>
      <c r="F19" s="22" t="s">
        <v>237</v>
      </c>
      <c r="G19" s="37">
        <v>28.80974447838571</v>
      </c>
      <c r="H19" s="33">
        <v>11.021732145656273</v>
      </c>
    </row>
    <row r="20" spans="1:8" x14ac:dyDescent="0.2">
      <c r="A20" s="34"/>
      <c r="B20" s="25" t="s">
        <v>238</v>
      </c>
      <c r="C20" s="26">
        <v>1237</v>
      </c>
      <c r="D20" s="26">
        <v>1224</v>
      </c>
      <c r="E20" s="26">
        <v>1429</v>
      </c>
      <c r="F20" s="27"/>
      <c r="G20" s="28">
        <v>15.521422797089727</v>
      </c>
      <c r="H20" s="29">
        <v>16.748366013071902</v>
      </c>
    </row>
    <row r="21" spans="1:8" x14ac:dyDescent="0.2">
      <c r="A21" s="39" t="s">
        <v>9</v>
      </c>
      <c r="B21" s="31" t="s">
        <v>3</v>
      </c>
      <c r="C21" s="20">
        <v>24026.283333333333</v>
      </c>
      <c r="D21" s="20">
        <v>27254.799999999999</v>
      </c>
      <c r="E21" s="20">
        <v>28281.388601228249</v>
      </c>
      <c r="F21" s="22" t="s">
        <v>237</v>
      </c>
      <c r="G21" s="37">
        <v>17.710210143037443</v>
      </c>
      <c r="H21" s="33">
        <v>3.7666341386774178</v>
      </c>
    </row>
    <row r="22" spans="1:8" x14ac:dyDescent="0.2">
      <c r="A22" s="34"/>
      <c r="B22" s="25" t="s">
        <v>238</v>
      </c>
      <c r="C22" s="26">
        <v>6360.0533333333333</v>
      </c>
      <c r="D22" s="26">
        <v>7597.1933333333336</v>
      </c>
      <c r="E22" s="26">
        <v>7746.45</v>
      </c>
      <c r="F22" s="27"/>
      <c r="G22" s="28">
        <v>21.798506930759487</v>
      </c>
      <c r="H22" s="29">
        <v>1.9646290428307225</v>
      </c>
    </row>
    <row r="23" spans="1:8" x14ac:dyDescent="0.2">
      <c r="A23" s="39" t="s">
        <v>190</v>
      </c>
      <c r="B23" s="31" t="s">
        <v>3</v>
      </c>
      <c r="C23" s="20">
        <v>5769</v>
      </c>
      <c r="D23" s="20">
        <v>6375</v>
      </c>
      <c r="E23" s="20">
        <v>7291.9229287090548</v>
      </c>
      <c r="F23" s="22" t="s">
        <v>237</v>
      </c>
      <c r="G23" s="37">
        <v>26.398386699758277</v>
      </c>
      <c r="H23" s="33">
        <v>14.383104764063617</v>
      </c>
    </row>
    <row r="24" spans="1:8" x14ac:dyDescent="0.2">
      <c r="A24" s="34"/>
      <c r="B24" s="25" t="s">
        <v>238</v>
      </c>
      <c r="C24" s="26">
        <v>1511</v>
      </c>
      <c r="D24" s="26">
        <v>1730</v>
      </c>
      <c r="E24" s="26">
        <v>1924</v>
      </c>
      <c r="F24" s="27"/>
      <c r="G24" s="28">
        <v>27.332892124420908</v>
      </c>
      <c r="H24" s="29">
        <v>11.213872832369944</v>
      </c>
    </row>
    <row r="25" spans="1:8" x14ac:dyDescent="0.2">
      <c r="A25" s="39" t="s">
        <v>191</v>
      </c>
      <c r="B25" s="31" t="s">
        <v>3</v>
      </c>
      <c r="C25" s="20">
        <v>1154</v>
      </c>
      <c r="D25" s="20">
        <v>1628</v>
      </c>
      <c r="E25" s="20">
        <v>2027.7942386831276</v>
      </c>
      <c r="F25" s="22" t="s">
        <v>237</v>
      </c>
      <c r="G25" s="37">
        <v>75.718738187446064</v>
      </c>
      <c r="H25" s="33">
        <v>24.557385668496792</v>
      </c>
    </row>
    <row r="26" spans="1:8" x14ac:dyDescent="0.2">
      <c r="A26" s="34"/>
      <c r="B26" s="25" t="s">
        <v>238</v>
      </c>
      <c r="C26" s="26">
        <v>332</v>
      </c>
      <c r="D26" s="26">
        <v>324</v>
      </c>
      <c r="E26" s="26">
        <v>433</v>
      </c>
      <c r="F26" s="27"/>
      <c r="G26" s="28">
        <v>30.421686746987945</v>
      </c>
      <c r="H26" s="29">
        <v>33.641975308641975</v>
      </c>
    </row>
    <row r="27" spans="1:8" x14ac:dyDescent="0.2">
      <c r="A27" s="39" t="s">
        <v>192</v>
      </c>
      <c r="B27" s="31" t="s">
        <v>3</v>
      </c>
      <c r="C27" s="20">
        <v>281786.98794041621</v>
      </c>
      <c r="D27" s="20">
        <v>335300.03885714285</v>
      </c>
      <c r="E27" s="20">
        <v>357375.84318086418</v>
      </c>
      <c r="F27" s="22" t="s">
        <v>237</v>
      </c>
      <c r="G27" s="37">
        <v>26.82482104405446</v>
      </c>
      <c r="H27" s="33">
        <v>6.5838955459014699</v>
      </c>
    </row>
    <row r="28" spans="1:8" x14ac:dyDescent="0.2">
      <c r="A28" s="34"/>
      <c r="B28" s="25" t="s">
        <v>238</v>
      </c>
      <c r="C28" s="26">
        <v>44836.882464880895</v>
      </c>
      <c r="D28" s="26">
        <v>61043.472000000002</v>
      </c>
      <c r="E28" s="26">
        <v>71543.779428571434</v>
      </c>
      <c r="F28" s="27"/>
      <c r="G28" s="28">
        <v>59.564571610457278</v>
      </c>
      <c r="H28" s="29">
        <v>17.201360087400388</v>
      </c>
    </row>
    <row r="29" spans="1:8" x14ac:dyDescent="0.2">
      <c r="A29" s="30" t="s">
        <v>10</v>
      </c>
      <c r="B29" s="31" t="s">
        <v>3</v>
      </c>
      <c r="C29" s="20">
        <v>333492</v>
      </c>
      <c r="D29" s="20">
        <v>351332</v>
      </c>
      <c r="E29" s="20">
        <v>699122.58631924214</v>
      </c>
      <c r="F29" s="22" t="s">
        <v>237</v>
      </c>
      <c r="G29" s="37">
        <v>109.63698868915662</v>
      </c>
      <c r="H29" s="33">
        <v>98.992003665832357</v>
      </c>
    </row>
    <row r="30" spans="1:8" x14ac:dyDescent="0.2">
      <c r="A30" s="30"/>
      <c r="B30" s="25" t="s">
        <v>238</v>
      </c>
      <c r="C30" s="26">
        <v>76206</v>
      </c>
      <c r="D30" s="26">
        <v>81899</v>
      </c>
      <c r="E30" s="26">
        <v>161886</v>
      </c>
      <c r="F30" s="27"/>
      <c r="G30" s="28">
        <v>112.43209196126293</v>
      </c>
      <c r="H30" s="29">
        <v>97.665417160160672</v>
      </c>
    </row>
    <row r="31" spans="1:8" x14ac:dyDescent="0.2">
      <c r="A31" s="39" t="s">
        <v>11</v>
      </c>
      <c r="B31" s="31" t="s">
        <v>3</v>
      </c>
      <c r="C31" s="20">
        <v>12077.194513715711</v>
      </c>
      <c r="D31" s="20">
        <v>10785.192019950126</v>
      </c>
      <c r="E31" s="20">
        <v>11922.149727491174</v>
      </c>
      <c r="F31" s="22" t="s">
        <v>237</v>
      </c>
      <c r="G31" s="37">
        <v>-1.2837814779620942</v>
      </c>
      <c r="H31" s="33">
        <v>10.541840195686248</v>
      </c>
    </row>
    <row r="32" spans="1:8" x14ac:dyDescent="0.2">
      <c r="A32" s="34"/>
      <c r="B32" s="25" t="s">
        <v>238</v>
      </c>
      <c r="C32" s="26">
        <v>1085.2063591022443</v>
      </c>
      <c r="D32" s="26">
        <v>1566.1477556109726</v>
      </c>
      <c r="E32" s="26">
        <v>1436.2980049875312</v>
      </c>
      <c r="F32" s="27"/>
      <c r="G32" s="28">
        <v>32.352523825582239</v>
      </c>
      <c r="H32" s="29">
        <v>-8.2910281075482288</v>
      </c>
    </row>
    <row r="33" spans="1:8" x14ac:dyDescent="0.2">
      <c r="A33" s="30" t="s">
        <v>12</v>
      </c>
      <c r="B33" s="31" t="s">
        <v>3</v>
      </c>
      <c r="C33" s="20">
        <v>11145.096</v>
      </c>
      <c r="D33" s="20">
        <v>11204.776</v>
      </c>
      <c r="E33" s="20">
        <v>15988.29942581322</v>
      </c>
      <c r="F33" s="22" t="s">
        <v>237</v>
      </c>
      <c r="G33" s="37">
        <v>43.455914832974258</v>
      </c>
      <c r="H33" s="33">
        <v>42.691825573427082</v>
      </c>
    </row>
    <row r="34" spans="1:8" x14ac:dyDescent="0.2">
      <c r="A34" s="30"/>
      <c r="B34" s="25" t="s">
        <v>238</v>
      </c>
      <c r="C34" s="26">
        <v>2556.018</v>
      </c>
      <c r="D34" s="26">
        <v>3033.5280000000002</v>
      </c>
      <c r="E34" s="26">
        <v>4082.944</v>
      </c>
      <c r="F34" s="27"/>
      <c r="G34" s="28">
        <v>59.738468195450906</v>
      </c>
      <c r="H34" s="29">
        <v>34.593911775332202</v>
      </c>
    </row>
    <row r="35" spans="1:8" x14ac:dyDescent="0.2">
      <c r="A35" s="39" t="s">
        <v>13</v>
      </c>
      <c r="B35" s="31" t="s">
        <v>3</v>
      </c>
      <c r="C35" s="20">
        <v>83</v>
      </c>
      <c r="D35" s="20">
        <v>47</v>
      </c>
      <c r="E35" s="20">
        <v>41.974358974358978</v>
      </c>
      <c r="F35" s="22" t="s">
        <v>237</v>
      </c>
      <c r="G35" s="23">
        <v>-49.428483163422918</v>
      </c>
      <c r="H35" s="24">
        <v>-10.692853246044734</v>
      </c>
    </row>
    <row r="36" spans="1:8" x14ac:dyDescent="0.2">
      <c r="A36" s="34"/>
      <c r="B36" s="25" t="s">
        <v>238</v>
      </c>
      <c r="C36" s="26">
        <v>26</v>
      </c>
      <c r="D36" s="26">
        <v>10</v>
      </c>
      <c r="E36" s="26">
        <v>10</v>
      </c>
      <c r="F36" s="27"/>
      <c r="G36" s="28">
        <v>-61.538461538461533</v>
      </c>
      <c r="H36" s="29">
        <v>0</v>
      </c>
    </row>
    <row r="37" spans="1:8" x14ac:dyDescent="0.2">
      <c r="A37" s="30" t="s">
        <v>14</v>
      </c>
      <c r="B37" s="31" t="s">
        <v>3</v>
      </c>
      <c r="C37" s="40">
        <v>76174.398746438732</v>
      </c>
      <c r="D37" s="40">
        <v>103941.98</v>
      </c>
      <c r="E37" s="20">
        <v>140226.41080591443</v>
      </c>
      <c r="F37" s="22" t="s">
        <v>237</v>
      </c>
      <c r="G37" s="23">
        <v>84.086009359503123</v>
      </c>
      <c r="H37" s="24">
        <v>34.908350606669643</v>
      </c>
    </row>
    <row r="38" spans="1:8" ht="13.5" thickBot="1" x14ac:dyDescent="0.25">
      <c r="A38" s="41"/>
      <c r="B38" s="42" t="s">
        <v>238</v>
      </c>
      <c r="C38" s="43">
        <v>17703.810576923075</v>
      </c>
      <c r="D38" s="43">
        <v>20545.821602564101</v>
      </c>
      <c r="E38" s="43">
        <v>29171.745000000003</v>
      </c>
      <c r="F38" s="44"/>
      <c r="G38" s="45">
        <v>64.77664440233778</v>
      </c>
      <c r="H38" s="46">
        <v>41.983832841025901</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3">
        <v>9</v>
      </c>
    </row>
    <row r="62" spans="1:8" ht="12.75" customHeight="1" x14ac:dyDescent="0.2">
      <c r="A62" s="54" t="s">
        <v>240</v>
      </c>
      <c r="G62" s="53"/>
      <c r="H62" s="196"/>
    </row>
    <row r="63" spans="1:8" x14ac:dyDescent="0.2">
      <c r="H63" s="87"/>
    </row>
    <row r="64" spans="1:8" x14ac:dyDescent="0.2">
      <c r="A64" s="202"/>
      <c r="H64" s="53"/>
    </row>
    <row r="65" spans="1:8" x14ac:dyDescent="0.2">
      <c r="A65" s="202"/>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8" orientation="portrait" horizontalDpi="300" verticalDpi="300"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4" t="s">
        <v>16</v>
      </c>
      <c r="D5" s="198"/>
      <c r="E5" s="198"/>
      <c r="F5" s="205"/>
      <c r="G5" s="198" t="s">
        <v>1</v>
      </c>
      <c r="H5" s="199"/>
    </row>
    <row r="6" spans="1:10" x14ac:dyDescent="0.2">
      <c r="A6" s="12"/>
      <c r="B6" s="13"/>
      <c r="C6" s="14" t="s">
        <v>232</v>
      </c>
      <c r="D6" s="15" t="s">
        <v>233</v>
      </c>
      <c r="E6" s="15" t="s">
        <v>234</v>
      </c>
      <c r="F6" s="16"/>
      <c r="G6" s="17" t="s">
        <v>235</v>
      </c>
      <c r="H6" s="18" t="s">
        <v>236</v>
      </c>
    </row>
    <row r="7" spans="1:10" x14ac:dyDescent="0.2">
      <c r="A7" s="200" t="s">
        <v>2</v>
      </c>
      <c r="B7" s="19" t="s">
        <v>3</v>
      </c>
      <c r="C7" s="80">
        <v>42419.490055589828</v>
      </c>
      <c r="D7" s="80">
        <v>43407.636043431892</v>
      </c>
      <c r="E7" s="81">
        <v>49374.849532534208</v>
      </c>
      <c r="F7" s="22" t="s">
        <v>237</v>
      </c>
      <c r="G7" s="23">
        <v>16.396612660429284</v>
      </c>
      <c r="H7" s="24">
        <v>13.746921124964672</v>
      </c>
    </row>
    <row r="8" spans="1:10" x14ac:dyDescent="0.2">
      <c r="A8" s="201"/>
      <c r="B8" s="25" t="s">
        <v>238</v>
      </c>
      <c r="C8" s="82">
        <v>10583.363616654067</v>
      </c>
      <c r="D8" s="82">
        <v>11559.501084574442</v>
      </c>
      <c r="E8" s="82">
        <v>12859.79180361416</v>
      </c>
      <c r="F8" s="27"/>
      <c r="G8" s="28">
        <v>21.509496124444667</v>
      </c>
      <c r="H8" s="29">
        <v>11.248675090094423</v>
      </c>
      <c r="J8" s="94"/>
    </row>
    <row r="9" spans="1:10" x14ac:dyDescent="0.2">
      <c r="A9" s="30" t="s">
        <v>4</v>
      </c>
      <c r="B9" s="31" t="s">
        <v>3</v>
      </c>
      <c r="C9" s="80">
        <v>10356.019765532123</v>
      </c>
      <c r="D9" s="80">
        <v>10720.587163369206</v>
      </c>
      <c r="E9" s="80">
        <v>11809.764975089194</v>
      </c>
      <c r="F9" s="22" t="s">
        <v>237</v>
      </c>
      <c r="G9" s="32">
        <v>14.037682840231369</v>
      </c>
      <c r="H9" s="33">
        <v>10.159684307605474</v>
      </c>
    </row>
    <row r="10" spans="1:10" x14ac:dyDescent="0.2">
      <c r="A10" s="34"/>
      <c r="B10" s="25" t="s">
        <v>238</v>
      </c>
      <c r="C10" s="82">
        <v>3064.0781440678998</v>
      </c>
      <c r="D10" s="82">
        <v>2917.4935486509694</v>
      </c>
      <c r="E10" s="82">
        <v>3302.2016123960511</v>
      </c>
      <c r="F10" s="27"/>
      <c r="G10" s="35">
        <v>7.771455463339322</v>
      </c>
      <c r="H10" s="29">
        <v>13.186252422836304</v>
      </c>
      <c r="J10" s="94"/>
    </row>
    <row r="11" spans="1:10" x14ac:dyDescent="0.2">
      <c r="A11" s="30" t="s">
        <v>5</v>
      </c>
      <c r="B11" s="31" t="s">
        <v>3</v>
      </c>
      <c r="C11" s="80">
        <v>4805.3198537058943</v>
      </c>
      <c r="D11" s="80">
        <v>5112.0898873813076</v>
      </c>
      <c r="E11" s="80">
        <v>4260.8639830092707</v>
      </c>
      <c r="F11" s="22" t="s">
        <v>237</v>
      </c>
      <c r="G11" s="37">
        <v>-11.330273265300661</v>
      </c>
      <c r="H11" s="33">
        <v>-16.651231162292447</v>
      </c>
    </row>
    <row r="12" spans="1:10" x14ac:dyDescent="0.2">
      <c r="A12" s="34"/>
      <c r="B12" s="25" t="s">
        <v>238</v>
      </c>
      <c r="C12" s="82">
        <v>1026.2860133308359</v>
      </c>
      <c r="D12" s="82">
        <v>1591.3110014472049</v>
      </c>
      <c r="E12" s="82">
        <v>1150.8335515564177</v>
      </c>
      <c r="F12" s="27"/>
      <c r="G12" s="28">
        <v>12.135753250827207</v>
      </c>
      <c r="H12" s="29">
        <v>-27.680161168382455</v>
      </c>
    </row>
    <row r="13" spans="1:10" x14ac:dyDescent="0.2">
      <c r="A13" s="30" t="s">
        <v>6</v>
      </c>
      <c r="B13" s="31" t="s">
        <v>3</v>
      </c>
      <c r="C13" s="80">
        <v>8904.3769745772461</v>
      </c>
      <c r="D13" s="80">
        <v>8866.8966085764332</v>
      </c>
      <c r="E13" s="80">
        <v>9671.9737065747941</v>
      </c>
      <c r="F13" s="22" t="s">
        <v>237</v>
      </c>
      <c r="G13" s="23">
        <v>8.6204428921765412</v>
      </c>
      <c r="H13" s="24">
        <v>9.0795814312265293</v>
      </c>
    </row>
    <row r="14" spans="1:10" x14ac:dyDescent="0.2">
      <c r="A14" s="34"/>
      <c r="B14" s="25" t="s">
        <v>238</v>
      </c>
      <c r="C14" s="82">
        <v>2162.8651301313707</v>
      </c>
      <c r="D14" s="82">
        <v>2004.8948327261578</v>
      </c>
      <c r="E14" s="82">
        <v>2238.5054961430219</v>
      </c>
      <c r="F14" s="27"/>
      <c r="G14" s="38">
        <v>3.4972298992613133</v>
      </c>
      <c r="H14" s="24">
        <v>11.652015836621814</v>
      </c>
    </row>
    <row r="15" spans="1:10" x14ac:dyDescent="0.2">
      <c r="A15" s="30" t="s">
        <v>168</v>
      </c>
      <c r="B15" s="31" t="s">
        <v>3</v>
      </c>
      <c r="C15" s="80">
        <v>6748.8583414238074</v>
      </c>
      <c r="D15" s="80">
        <v>5905.4067986511109</v>
      </c>
      <c r="E15" s="80">
        <v>7139.8785862043942</v>
      </c>
      <c r="F15" s="22" t="s">
        <v>237</v>
      </c>
      <c r="G15" s="37">
        <v>5.7938724595913271</v>
      </c>
      <c r="H15" s="33">
        <v>20.904093987822421</v>
      </c>
    </row>
    <row r="16" spans="1:10" x14ac:dyDescent="0.2">
      <c r="A16" s="34"/>
      <c r="B16" s="25" t="s">
        <v>238</v>
      </c>
      <c r="C16" s="82">
        <v>1550.2525616949954</v>
      </c>
      <c r="D16" s="82">
        <v>1824.3973235769665</v>
      </c>
      <c r="E16" s="82">
        <v>1978.315469269394</v>
      </c>
      <c r="F16" s="27"/>
      <c r="G16" s="28">
        <v>27.612462520711389</v>
      </c>
      <c r="H16" s="29">
        <v>8.4366570649561794</v>
      </c>
    </row>
    <row r="17" spans="1:8" x14ac:dyDescent="0.2">
      <c r="A17" s="30" t="s">
        <v>7</v>
      </c>
      <c r="B17" s="31" t="s">
        <v>3</v>
      </c>
      <c r="C17" s="80">
        <v>1876.3099251303952</v>
      </c>
      <c r="D17" s="80">
        <v>2097.286501513945</v>
      </c>
      <c r="E17" s="80">
        <v>1934.3953659082676</v>
      </c>
      <c r="F17" s="22" t="s">
        <v>237</v>
      </c>
      <c r="G17" s="23">
        <v>3.0957274168784039</v>
      </c>
      <c r="H17" s="24">
        <v>-7.7667564964582994</v>
      </c>
    </row>
    <row r="18" spans="1:8" x14ac:dyDescent="0.2">
      <c r="A18" s="30"/>
      <c r="B18" s="25" t="s">
        <v>238</v>
      </c>
      <c r="C18" s="82">
        <v>444.42031264470154</v>
      </c>
      <c r="D18" s="82">
        <v>545.64501203044745</v>
      </c>
      <c r="E18" s="82">
        <v>487.28217775198448</v>
      </c>
      <c r="F18" s="27"/>
      <c r="G18" s="38">
        <v>9.6444433091314323</v>
      </c>
      <c r="H18" s="24">
        <v>-10.696117987275997</v>
      </c>
    </row>
    <row r="19" spans="1:8" x14ac:dyDescent="0.2">
      <c r="A19" s="39" t="s">
        <v>8</v>
      </c>
      <c r="B19" s="31" t="s">
        <v>3</v>
      </c>
      <c r="C19" s="80">
        <v>1723.7394637740249</v>
      </c>
      <c r="D19" s="80">
        <v>1715.0155545624007</v>
      </c>
      <c r="E19" s="80">
        <v>2037.77855414748</v>
      </c>
      <c r="F19" s="22" t="s">
        <v>237</v>
      </c>
      <c r="G19" s="37">
        <v>18.218477732469225</v>
      </c>
      <c r="H19" s="33">
        <v>18.819829285305502</v>
      </c>
    </row>
    <row r="20" spans="1:8" x14ac:dyDescent="0.2">
      <c r="A20" s="34"/>
      <c r="B20" s="25" t="s">
        <v>238</v>
      </c>
      <c r="C20" s="82">
        <v>451.13826828194635</v>
      </c>
      <c r="D20" s="82">
        <v>421.08048263052808</v>
      </c>
      <c r="E20" s="82">
        <v>510.86431403512239</v>
      </c>
      <c r="F20" s="27"/>
      <c r="G20" s="28">
        <v>13.238966842832582</v>
      </c>
      <c r="H20" s="29">
        <v>21.322249571793634</v>
      </c>
    </row>
    <row r="21" spans="1:8" x14ac:dyDescent="0.2">
      <c r="A21" s="39" t="s">
        <v>9</v>
      </c>
      <c r="B21" s="31" t="s">
        <v>3</v>
      </c>
      <c r="C21" s="80">
        <v>573.57984776658577</v>
      </c>
      <c r="D21" s="80">
        <v>750.93103671113693</v>
      </c>
      <c r="E21" s="80">
        <v>982.1593712271665</v>
      </c>
      <c r="F21" s="22" t="s">
        <v>237</v>
      </c>
      <c r="G21" s="37">
        <v>71.233242425010957</v>
      </c>
      <c r="H21" s="33">
        <v>30.792219686210274</v>
      </c>
    </row>
    <row r="22" spans="1:8" x14ac:dyDescent="0.2">
      <c r="A22" s="34"/>
      <c r="B22" s="25" t="s">
        <v>238</v>
      </c>
      <c r="C22" s="82">
        <v>138.62619982034983</v>
      </c>
      <c r="D22" s="82">
        <v>160.97506029357834</v>
      </c>
      <c r="E22" s="82">
        <v>218.78626308048575</v>
      </c>
      <c r="F22" s="27"/>
      <c r="G22" s="28">
        <v>57.824612781723772</v>
      </c>
      <c r="H22" s="29">
        <v>35.91314249640547</v>
      </c>
    </row>
    <row r="23" spans="1:8" x14ac:dyDescent="0.2">
      <c r="A23" s="39" t="s">
        <v>190</v>
      </c>
      <c r="B23" s="31" t="s">
        <v>3</v>
      </c>
      <c r="C23" s="80">
        <v>1042.4939548825182</v>
      </c>
      <c r="D23" s="80">
        <v>1135.0357251820456</v>
      </c>
      <c r="E23" s="80">
        <v>1499.0384020203262</v>
      </c>
      <c r="F23" s="22" t="s">
        <v>237</v>
      </c>
      <c r="G23" s="23">
        <v>43.793486283501494</v>
      </c>
      <c r="H23" s="24">
        <v>32.069711002259339</v>
      </c>
    </row>
    <row r="24" spans="1:8" x14ac:dyDescent="0.2">
      <c r="A24" s="34"/>
      <c r="B24" s="25" t="s">
        <v>238</v>
      </c>
      <c r="C24" s="82">
        <v>244.31042890380007</v>
      </c>
      <c r="D24" s="82">
        <v>280.10127821508109</v>
      </c>
      <c r="E24" s="82">
        <v>371.52526909084611</v>
      </c>
      <c r="F24" s="27"/>
      <c r="G24" s="38">
        <v>52.070982298155712</v>
      </c>
      <c r="H24" s="24">
        <v>32.639619304258702</v>
      </c>
    </row>
    <row r="25" spans="1:8" x14ac:dyDescent="0.2">
      <c r="A25" s="39" t="s">
        <v>191</v>
      </c>
      <c r="B25" s="31" t="s">
        <v>3</v>
      </c>
      <c r="C25" s="80">
        <v>442.39533603703234</v>
      </c>
      <c r="D25" s="80">
        <v>454.12308686202277</v>
      </c>
      <c r="E25" s="80">
        <v>748.13105420648537</v>
      </c>
      <c r="F25" s="22" t="s">
        <v>237</v>
      </c>
      <c r="G25" s="37">
        <v>69.109163968188909</v>
      </c>
      <c r="H25" s="33">
        <v>64.741911576451457</v>
      </c>
    </row>
    <row r="26" spans="1:8" x14ac:dyDescent="0.2">
      <c r="A26" s="34"/>
      <c r="B26" s="25" t="s">
        <v>238</v>
      </c>
      <c r="C26" s="82">
        <v>172.87738500174584</v>
      </c>
      <c r="D26" s="82">
        <v>124.44408206001879</v>
      </c>
      <c r="E26" s="82">
        <v>198.64649855446481</v>
      </c>
      <c r="F26" s="27"/>
      <c r="G26" s="38">
        <v>14.906006099327996</v>
      </c>
      <c r="H26" s="24">
        <v>59.627115461110122</v>
      </c>
    </row>
    <row r="27" spans="1:8" x14ac:dyDescent="0.2">
      <c r="A27" s="39" t="s">
        <v>192</v>
      </c>
      <c r="B27" s="31" t="s">
        <v>3</v>
      </c>
      <c r="C27" s="80">
        <v>1097.9182333987906</v>
      </c>
      <c r="D27" s="80">
        <v>1333.7987954130613</v>
      </c>
      <c r="E27" s="80">
        <v>1354.3942481273471</v>
      </c>
      <c r="F27" s="22" t="s">
        <v>237</v>
      </c>
      <c r="G27" s="37">
        <v>23.360210890622682</v>
      </c>
      <c r="H27" s="33">
        <v>1.544119906624104</v>
      </c>
    </row>
    <row r="28" spans="1:8" x14ac:dyDescent="0.2">
      <c r="A28" s="34"/>
      <c r="B28" s="25" t="s">
        <v>238</v>
      </c>
      <c r="C28" s="82">
        <v>235.30161855054612</v>
      </c>
      <c r="D28" s="82">
        <v>381.33060114785951</v>
      </c>
      <c r="E28" s="82">
        <v>369.5314769139809</v>
      </c>
      <c r="F28" s="27"/>
      <c r="G28" s="38">
        <v>57.045871248267815</v>
      </c>
      <c r="H28" s="24">
        <v>-3.0941981048364795</v>
      </c>
    </row>
    <row r="29" spans="1:8" x14ac:dyDescent="0.2">
      <c r="A29" s="30" t="s">
        <v>10</v>
      </c>
      <c r="B29" s="31" t="s">
        <v>3</v>
      </c>
      <c r="C29" s="80">
        <v>2198.8611608924539</v>
      </c>
      <c r="D29" s="80">
        <v>2298.9281077959999</v>
      </c>
      <c r="E29" s="80">
        <v>4660.7622381758865</v>
      </c>
      <c r="F29" s="22" t="s">
        <v>237</v>
      </c>
      <c r="G29" s="37">
        <v>111.9625523006745</v>
      </c>
      <c r="H29" s="33">
        <v>102.73631969484228</v>
      </c>
    </row>
    <row r="30" spans="1:8" x14ac:dyDescent="0.2">
      <c r="A30" s="30"/>
      <c r="B30" s="25" t="s">
        <v>238</v>
      </c>
      <c r="C30" s="82">
        <v>567.076050579347</v>
      </c>
      <c r="D30" s="82">
        <v>669.81500735484826</v>
      </c>
      <c r="E30" s="82">
        <v>1301.6575039202255</v>
      </c>
      <c r="F30" s="27"/>
      <c r="G30" s="28">
        <v>129.53843714443619</v>
      </c>
      <c r="H30" s="29">
        <v>94.330895788760046</v>
      </c>
    </row>
    <row r="31" spans="1:8" x14ac:dyDescent="0.2">
      <c r="A31" s="39" t="s">
        <v>11</v>
      </c>
      <c r="B31" s="31" t="s">
        <v>3</v>
      </c>
      <c r="C31" s="80">
        <v>540.69659437321695</v>
      </c>
      <c r="D31" s="80">
        <v>506.53855755591928</v>
      </c>
      <c r="E31" s="80">
        <v>522.40728244912555</v>
      </c>
      <c r="F31" s="22" t="s">
        <v>237</v>
      </c>
      <c r="G31" s="23">
        <v>-3.3825461662640208</v>
      </c>
      <c r="H31" s="24">
        <v>3.1327772894079118</v>
      </c>
    </row>
    <row r="32" spans="1:8" x14ac:dyDescent="0.2">
      <c r="A32" s="34"/>
      <c r="B32" s="25" t="s">
        <v>238</v>
      </c>
      <c r="C32" s="82">
        <v>52.283765475558774</v>
      </c>
      <c r="D32" s="82">
        <v>77.155455798829564</v>
      </c>
      <c r="E32" s="82">
        <v>66.770091924013826</v>
      </c>
      <c r="F32" s="27"/>
      <c r="G32" s="38">
        <v>27.707121544692527</v>
      </c>
      <c r="H32" s="24">
        <v>-13.460310443753841</v>
      </c>
    </row>
    <row r="33" spans="1:8" x14ac:dyDescent="0.2">
      <c r="A33" s="30" t="s">
        <v>12</v>
      </c>
      <c r="B33" s="31" t="s">
        <v>3</v>
      </c>
      <c r="C33" s="80">
        <v>1093.9684121220591</v>
      </c>
      <c r="D33" s="80">
        <v>1202.7935045741633</v>
      </c>
      <c r="E33" s="80">
        <v>1632.9014756856025</v>
      </c>
      <c r="F33" s="22" t="s">
        <v>237</v>
      </c>
      <c r="G33" s="37">
        <v>49.264042507235786</v>
      </c>
      <c r="H33" s="33">
        <v>35.75908661592868</v>
      </c>
    </row>
    <row r="34" spans="1:8" x14ac:dyDescent="0.2">
      <c r="A34" s="30"/>
      <c r="B34" s="25" t="s">
        <v>238</v>
      </c>
      <c r="C34" s="82">
        <v>233.93808828589471</v>
      </c>
      <c r="D34" s="82">
        <v>286.86351714177783</v>
      </c>
      <c r="E34" s="82">
        <v>375.03076775466707</v>
      </c>
      <c r="F34" s="27"/>
      <c r="G34" s="28">
        <v>60.311974207613275</v>
      </c>
      <c r="H34" s="29">
        <v>30.734912369255369</v>
      </c>
    </row>
    <row r="35" spans="1:8" x14ac:dyDescent="0.2">
      <c r="A35" s="39" t="s">
        <v>13</v>
      </c>
      <c r="B35" s="31" t="s">
        <v>3</v>
      </c>
      <c r="C35" s="80">
        <v>178.36200313241494</v>
      </c>
      <c r="D35" s="80">
        <v>271.74329495989718</v>
      </c>
      <c r="E35" s="80">
        <v>190.44269355042906</v>
      </c>
      <c r="F35" s="22" t="s">
        <v>237</v>
      </c>
      <c r="G35" s="23">
        <v>6.7731300421903597</v>
      </c>
      <c r="H35" s="24">
        <v>-29.918162809303595</v>
      </c>
    </row>
    <row r="36" spans="1:8" x14ac:dyDescent="0.2">
      <c r="A36" s="34"/>
      <c r="B36" s="25" t="s">
        <v>238</v>
      </c>
      <c r="C36" s="82">
        <v>51.82698859029982</v>
      </c>
      <c r="D36" s="82">
        <v>43.233376973261215</v>
      </c>
      <c r="E36" s="82">
        <v>35.680164690636182</v>
      </c>
      <c r="F36" s="27"/>
      <c r="G36" s="28">
        <v>-31.155242353181507</v>
      </c>
      <c r="H36" s="29">
        <v>-17.470789495108164</v>
      </c>
    </row>
    <row r="37" spans="1:8" x14ac:dyDescent="0.2">
      <c r="A37" s="30" t="s">
        <v>14</v>
      </c>
      <c r="B37" s="31" t="s">
        <v>3</v>
      </c>
      <c r="C37" s="85">
        <v>836.59018884125203</v>
      </c>
      <c r="D37" s="85">
        <v>1036.4614203232363</v>
      </c>
      <c r="E37" s="83">
        <v>1137.8792335192418</v>
      </c>
      <c r="F37" s="22" t="s">
        <v>237</v>
      </c>
      <c r="G37" s="23">
        <v>36.013934743282192</v>
      </c>
      <c r="H37" s="24">
        <v>9.7850060993468304</v>
      </c>
    </row>
    <row r="38" spans="1:8" ht="13.5" thickBot="1" x14ac:dyDescent="0.25">
      <c r="A38" s="41"/>
      <c r="B38" s="42" t="s">
        <v>238</v>
      </c>
      <c r="C38" s="86">
        <v>188.08266129477732</v>
      </c>
      <c r="D38" s="86">
        <v>230.76050452690811</v>
      </c>
      <c r="E38" s="86">
        <v>254.16114653284538</v>
      </c>
      <c r="F38" s="44"/>
      <c r="G38" s="45">
        <v>35.132683035840756</v>
      </c>
      <c r="H38" s="46">
        <v>10.140661658680244</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5">
        <v>10</v>
      </c>
    </row>
    <row r="62" spans="1:8" ht="12.75" customHeight="1" x14ac:dyDescent="0.2">
      <c r="A62" s="54" t="s">
        <v>240</v>
      </c>
      <c r="H62" s="196"/>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26</v>
      </c>
      <c r="B7" s="19" t="s">
        <v>3</v>
      </c>
      <c r="C7" s="20">
        <v>908662.80747384159</v>
      </c>
      <c r="D7" s="20">
        <v>881354.73572496255</v>
      </c>
      <c r="E7" s="21">
        <v>882495.50613191712</v>
      </c>
      <c r="F7" s="22" t="s">
        <v>237</v>
      </c>
      <c r="G7" s="23">
        <v>-2.879759260167333</v>
      </c>
      <c r="H7" s="24">
        <v>0.12943374111631556</v>
      </c>
    </row>
    <row r="8" spans="1:8" x14ac:dyDescent="0.2">
      <c r="A8" s="201"/>
      <c r="B8" s="25" t="s">
        <v>238</v>
      </c>
      <c r="C8" s="26">
        <v>241527.5553811659</v>
      </c>
      <c r="D8" s="26">
        <v>250500.76995515695</v>
      </c>
      <c r="E8" s="26">
        <v>245162.78393124064</v>
      </c>
      <c r="F8" s="27"/>
      <c r="G8" s="28">
        <v>1.5050988879251577</v>
      </c>
      <c r="H8" s="29">
        <v>-2.1309259947072832</v>
      </c>
    </row>
    <row r="9" spans="1:8" x14ac:dyDescent="0.2">
      <c r="A9" s="30" t="s">
        <v>28</v>
      </c>
      <c r="B9" s="31" t="s">
        <v>3</v>
      </c>
      <c r="C9" s="20">
        <v>832195.44597907329</v>
      </c>
      <c r="D9" s="20">
        <v>806793.38857997011</v>
      </c>
      <c r="E9" s="21">
        <v>812570.62283110397</v>
      </c>
      <c r="F9" s="22" t="s">
        <v>237</v>
      </c>
      <c r="G9" s="32">
        <v>-2.3581988152892137</v>
      </c>
      <c r="H9" s="33">
        <v>0.71607357384301906</v>
      </c>
    </row>
    <row r="10" spans="1:8" x14ac:dyDescent="0.2">
      <c r="A10" s="34"/>
      <c r="B10" s="25" t="s">
        <v>238</v>
      </c>
      <c r="C10" s="26">
        <v>222678.27430493274</v>
      </c>
      <c r="D10" s="26">
        <v>231937.63596412557</v>
      </c>
      <c r="E10" s="26">
        <v>227947.19714499253</v>
      </c>
      <c r="F10" s="27"/>
      <c r="G10" s="35">
        <v>2.3661593644490893</v>
      </c>
      <c r="H10" s="29">
        <v>-1.7204792152620882</v>
      </c>
    </row>
    <row r="11" spans="1:8" x14ac:dyDescent="0.2">
      <c r="A11" s="30" t="s">
        <v>29</v>
      </c>
      <c r="B11" s="31" t="s">
        <v>3</v>
      </c>
      <c r="C11" s="20">
        <v>35271.180747384155</v>
      </c>
      <c r="D11" s="20">
        <v>33630.173572496264</v>
      </c>
      <c r="E11" s="21">
        <v>30413.248814833187</v>
      </c>
      <c r="F11" s="22" t="s">
        <v>237</v>
      </c>
      <c r="G11" s="37">
        <v>-13.773091315949927</v>
      </c>
      <c r="H11" s="33">
        <v>-9.5655907060020979</v>
      </c>
    </row>
    <row r="12" spans="1:8" x14ac:dyDescent="0.2">
      <c r="A12" s="34"/>
      <c r="B12" s="25" t="s">
        <v>238</v>
      </c>
      <c r="C12" s="26">
        <v>10648.640538116593</v>
      </c>
      <c r="D12" s="26">
        <v>10120.566995515695</v>
      </c>
      <c r="E12" s="26">
        <v>9162.2933931240659</v>
      </c>
      <c r="F12" s="27"/>
      <c r="G12" s="28">
        <v>-13.95809295723879</v>
      </c>
      <c r="H12" s="29">
        <v>-9.4685762449498156</v>
      </c>
    </row>
    <row r="13" spans="1:8" x14ac:dyDescent="0.2">
      <c r="A13" s="30" t="s">
        <v>27</v>
      </c>
      <c r="B13" s="31" t="s">
        <v>3</v>
      </c>
      <c r="C13" s="20">
        <v>9937.7542242152467</v>
      </c>
      <c r="D13" s="20">
        <v>10399.352071748879</v>
      </c>
      <c r="E13" s="21">
        <v>13077.872310083194</v>
      </c>
      <c r="F13" s="22" t="s">
        <v>237</v>
      </c>
      <c r="G13" s="23">
        <v>31.59786421580489</v>
      </c>
      <c r="H13" s="24">
        <v>25.7566069487237</v>
      </c>
    </row>
    <row r="14" spans="1:8" x14ac:dyDescent="0.2">
      <c r="A14" s="34"/>
      <c r="B14" s="25" t="s">
        <v>238</v>
      </c>
      <c r="C14" s="26">
        <v>780.09216143497758</v>
      </c>
      <c r="D14" s="26">
        <v>1155.8700986547085</v>
      </c>
      <c r="E14" s="26">
        <v>1276.5880179372198</v>
      </c>
      <c r="F14" s="27"/>
      <c r="G14" s="38">
        <v>63.645794823644849</v>
      </c>
      <c r="H14" s="24">
        <v>10.443900177278763</v>
      </c>
    </row>
    <row r="15" spans="1:8" x14ac:dyDescent="0.2">
      <c r="A15" s="30" t="s">
        <v>30</v>
      </c>
      <c r="B15" s="31" t="s">
        <v>3</v>
      </c>
      <c r="C15" s="20">
        <v>14555.672298953661</v>
      </c>
      <c r="D15" s="20">
        <v>14500.469428998505</v>
      </c>
      <c r="E15" s="21">
        <v>13130.73291659246</v>
      </c>
      <c r="F15" s="22" t="s">
        <v>237</v>
      </c>
      <c r="G15" s="37">
        <v>-9.7895813611002467</v>
      </c>
      <c r="H15" s="33">
        <v>-9.4461528925870653</v>
      </c>
    </row>
    <row r="16" spans="1:8" x14ac:dyDescent="0.2">
      <c r="A16" s="34"/>
      <c r="B16" s="25" t="s">
        <v>238</v>
      </c>
      <c r="C16" s="26">
        <v>4489.4562152466369</v>
      </c>
      <c r="D16" s="26">
        <v>4424.826798206278</v>
      </c>
      <c r="E16" s="26">
        <v>4021.1173572496264</v>
      </c>
      <c r="F16" s="27"/>
      <c r="G16" s="28">
        <v>-10.431972950454124</v>
      </c>
      <c r="H16" s="29">
        <v>-9.1237343147602132</v>
      </c>
    </row>
    <row r="17" spans="1:9" x14ac:dyDescent="0.2">
      <c r="A17" s="30" t="s">
        <v>31</v>
      </c>
      <c r="B17" s="31" t="s">
        <v>3</v>
      </c>
      <c r="C17" s="20">
        <v>16702.754224215249</v>
      </c>
      <c r="D17" s="20">
        <v>16031.352071748879</v>
      </c>
      <c r="E17" s="21">
        <v>15524.876912019343</v>
      </c>
      <c r="F17" s="22" t="s">
        <v>237</v>
      </c>
      <c r="G17" s="37">
        <v>-7.051994517696059</v>
      </c>
      <c r="H17" s="33">
        <v>-3.1592791266936757</v>
      </c>
    </row>
    <row r="18" spans="1:9" ht="13.5" thickBot="1" x14ac:dyDescent="0.25">
      <c r="A18" s="56"/>
      <c r="B18" s="42" t="s">
        <v>238</v>
      </c>
      <c r="C18" s="43">
        <v>2931.0921614349777</v>
      </c>
      <c r="D18" s="43">
        <v>2861.8700986547087</v>
      </c>
      <c r="E18" s="43">
        <v>2755.5880179372198</v>
      </c>
      <c r="F18" s="44"/>
      <c r="G18" s="57">
        <v>-5.9876705961997629</v>
      </c>
      <c r="H18" s="46">
        <v>-3.7137283333527051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4" t="s">
        <v>16</v>
      </c>
      <c r="D33" s="198"/>
      <c r="E33" s="198"/>
      <c r="F33" s="205"/>
      <c r="G33" s="198" t="s">
        <v>1</v>
      </c>
      <c r="H33" s="199"/>
    </row>
    <row r="34" spans="1:9" x14ac:dyDescent="0.2">
      <c r="A34" s="12"/>
      <c r="B34" s="13"/>
      <c r="C34" s="14" t="s">
        <v>232</v>
      </c>
      <c r="D34" s="15" t="s">
        <v>233</v>
      </c>
      <c r="E34" s="15" t="s">
        <v>234</v>
      </c>
      <c r="F34" s="16"/>
      <c r="G34" s="17" t="s">
        <v>235</v>
      </c>
      <c r="H34" s="18" t="s">
        <v>236</v>
      </c>
    </row>
    <row r="35" spans="1:9" ht="12.75" customHeight="1" x14ac:dyDescent="0.2">
      <c r="A35" s="200" t="s">
        <v>26</v>
      </c>
      <c r="B35" s="19" t="s">
        <v>3</v>
      </c>
      <c r="C35" s="80">
        <v>15161.339619238015</v>
      </c>
      <c r="D35" s="80">
        <v>15832.677050750515</v>
      </c>
      <c r="E35" s="83">
        <v>15926.433687020428</v>
      </c>
      <c r="F35" s="22" t="s">
        <v>237</v>
      </c>
      <c r="G35" s="23">
        <v>5.0463487198162653</v>
      </c>
      <c r="H35" s="24">
        <v>0.59217172161967824</v>
      </c>
    </row>
    <row r="36" spans="1:9" ht="12.75" customHeight="1" x14ac:dyDescent="0.2">
      <c r="A36" s="201"/>
      <c r="B36" s="25" t="s">
        <v>238</v>
      </c>
      <c r="C36" s="82">
        <v>4090.3641573987352</v>
      </c>
      <c r="D36" s="82">
        <v>4508.8045500981762</v>
      </c>
      <c r="E36" s="82">
        <v>4453.0351639524679</v>
      </c>
      <c r="F36" s="27"/>
      <c r="G36" s="28">
        <v>8.8664723383546686</v>
      </c>
      <c r="H36" s="29">
        <v>-1.2368996155420859</v>
      </c>
    </row>
    <row r="37" spans="1:9" x14ac:dyDescent="0.2">
      <c r="A37" s="30" t="s">
        <v>28</v>
      </c>
      <c r="B37" s="31" t="s">
        <v>3</v>
      </c>
      <c r="C37" s="80">
        <v>12618.12287726971</v>
      </c>
      <c r="D37" s="80">
        <v>13112.65006826836</v>
      </c>
      <c r="E37" s="83">
        <v>13300.604954405519</v>
      </c>
      <c r="F37" s="22" t="s">
        <v>237</v>
      </c>
      <c r="G37" s="32">
        <v>5.4087448963207692</v>
      </c>
      <c r="H37" s="33">
        <v>1.4333859681956653</v>
      </c>
    </row>
    <row r="38" spans="1:9" x14ac:dyDescent="0.2">
      <c r="A38" s="34"/>
      <c r="B38" s="25" t="s">
        <v>238</v>
      </c>
      <c r="C38" s="82">
        <v>3477.2857165484879</v>
      </c>
      <c r="D38" s="82">
        <v>3833.3224750274994</v>
      </c>
      <c r="E38" s="82">
        <v>3811.014385953963</v>
      </c>
      <c r="F38" s="27"/>
      <c r="G38" s="35">
        <v>9.5973899359852055</v>
      </c>
      <c r="H38" s="29">
        <v>-0.58195179818197573</v>
      </c>
    </row>
    <row r="39" spans="1:9" x14ac:dyDescent="0.2">
      <c r="A39" s="30" t="s">
        <v>29</v>
      </c>
      <c r="B39" s="31" t="s">
        <v>3</v>
      </c>
      <c r="C39" s="80">
        <v>1048.4222371036769</v>
      </c>
      <c r="D39" s="80">
        <v>1087.6094540315007</v>
      </c>
      <c r="E39" s="83">
        <v>940.06656790010436</v>
      </c>
      <c r="F39" s="22" t="s">
        <v>237</v>
      </c>
      <c r="G39" s="37">
        <v>-10.335117414421788</v>
      </c>
      <c r="H39" s="33">
        <v>-13.565796581161663</v>
      </c>
    </row>
    <row r="40" spans="1:9" x14ac:dyDescent="0.2">
      <c r="A40" s="34"/>
      <c r="B40" s="25" t="s">
        <v>238</v>
      </c>
      <c r="C40" s="82">
        <v>319.34286925104112</v>
      </c>
      <c r="D40" s="82">
        <v>334.00394972935408</v>
      </c>
      <c r="E40" s="82">
        <v>287.90427851491916</v>
      </c>
      <c r="F40" s="27"/>
      <c r="G40" s="28">
        <v>-9.8447761836221019</v>
      </c>
      <c r="H40" s="29">
        <v>-13.802133553148039</v>
      </c>
    </row>
    <row r="41" spans="1:9" x14ac:dyDescent="0.2">
      <c r="A41" s="30" t="s">
        <v>27</v>
      </c>
      <c r="B41" s="31" t="s">
        <v>3</v>
      </c>
      <c r="C41" s="80">
        <v>292.60341805499144</v>
      </c>
      <c r="D41" s="80">
        <v>313.01303950799797</v>
      </c>
      <c r="E41" s="83">
        <v>344.82779347200068</v>
      </c>
      <c r="F41" s="22" t="s">
        <v>237</v>
      </c>
      <c r="G41" s="23">
        <v>17.848176813571698</v>
      </c>
      <c r="H41" s="24">
        <v>10.16403470411646</v>
      </c>
    </row>
    <row r="42" spans="1:9" x14ac:dyDescent="0.2">
      <c r="A42" s="34"/>
      <c r="B42" s="25" t="s">
        <v>238</v>
      </c>
      <c r="C42" s="82">
        <v>33.43918858422046</v>
      </c>
      <c r="D42" s="82">
        <v>41.858540453458261</v>
      </c>
      <c r="E42" s="82">
        <v>43.637912021534184</v>
      </c>
      <c r="F42" s="27"/>
      <c r="G42" s="38">
        <v>30.499314932917883</v>
      </c>
      <c r="H42" s="24">
        <v>4.2509164170556204</v>
      </c>
    </row>
    <row r="43" spans="1:9" x14ac:dyDescent="0.2">
      <c r="A43" s="30" t="s">
        <v>30</v>
      </c>
      <c r="B43" s="31" t="s">
        <v>3</v>
      </c>
      <c r="C43" s="80">
        <v>748.4902565046774</v>
      </c>
      <c r="D43" s="80">
        <v>784.17131108572949</v>
      </c>
      <c r="E43" s="83">
        <v>795.94940686074108</v>
      </c>
      <c r="F43" s="22" t="s">
        <v>237</v>
      </c>
      <c r="G43" s="37">
        <v>6.3406503883817891</v>
      </c>
      <c r="H43" s="33">
        <v>1.5019799383764791</v>
      </c>
    </row>
    <row r="44" spans="1:9" x14ac:dyDescent="0.2">
      <c r="A44" s="34"/>
      <c r="B44" s="25" t="s">
        <v>238</v>
      </c>
      <c r="C44" s="82">
        <v>184.78349134359726</v>
      </c>
      <c r="D44" s="82">
        <v>197.30380581526623</v>
      </c>
      <c r="E44" s="82">
        <v>198.99555327925438</v>
      </c>
      <c r="F44" s="27"/>
      <c r="G44" s="28">
        <v>7.6911967797114471</v>
      </c>
      <c r="H44" s="29">
        <v>0.85743275807467967</v>
      </c>
    </row>
    <row r="45" spans="1:9" x14ac:dyDescent="0.2">
      <c r="A45" s="30" t="s">
        <v>31</v>
      </c>
      <c r="B45" s="31" t="s">
        <v>3</v>
      </c>
      <c r="C45" s="80">
        <v>453.7008303049613</v>
      </c>
      <c r="D45" s="80">
        <v>535.23317785692666</v>
      </c>
      <c r="E45" s="83">
        <v>612.06544019288117</v>
      </c>
      <c r="F45" s="22" t="s">
        <v>237</v>
      </c>
      <c r="G45" s="37">
        <v>34.905073852625065</v>
      </c>
      <c r="H45" s="33">
        <v>14.354913991615931</v>
      </c>
    </row>
    <row r="46" spans="1:9" ht="13.5" thickBot="1" x14ac:dyDescent="0.25">
      <c r="A46" s="56"/>
      <c r="B46" s="42" t="s">
        <v>238</v>
      </c>
      <c r="C46" s="86">
        <v>75.512891671388772</v>
      </c>
      <c r="D46" s="86">
        <v>102.31577907259711</v>
      </c>
      <c r="E46" s="86">
        <v>111.48303418279826</v>
      </c>
      <c r="F46" s="44"/>
      <c r="G46" s="57">
        <v>47.63443925302397</v>
      </c>
      <c r="H46" s="46">
        <v>8.9597667078277681</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239</v>
      </c>
      <c r="G61" s="53"/>
      <c r="H61" s="203">
        <v>11</v>
      </c>
    </row>
    <row r="62" spans="1:9"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ht="12.75" customHeight="1" x14ac:dyDescent="0.2">
      <c r="A7" s="200" t="s">
        <v>26</v>
      </c>
      <c r="B7" s="19" t="s">
        <v>3</v>
      </c>
      <c r="C7" s="20">
        <v>908662.80747384159</v>
      </c>
      <c r="D7" s="20">
        <v>881354.73572496267</v>
      </c>
      <c r="E7" s="21">
        <v>882495.50613191712</v>
      </c>
      <c r="F7" s="22" t="s">
        <v>237</v>
      </c>
      <c r="G7" s="23">
        <v>-2.879759260167333</v>
      </c>
      <c r="H7" s="24">
        <v>0.12943374111628714</v>
      </c>
    </row>
    <row r="8" spans="1:8" ht="12.75" customHeight="1" x14ac:dyDescent="0.2">
      <c r="A8" s="201"/>
      <c r="B8" s="25" t="s">
        <v>238</v>
      </c>
      <c r="C8" s="26">
        <v>241527.55538116593</v>
      </c>
      <c r="D8" s="26">
        <v>250500.76995515695</v>
      </c>
      <c r="E8" s="26">
        <v>245162.78393124067</v>
      </c>
      <c r="F8" s="27"/>
      <c r="G8" s="28">
        <v>1.5050988879251577</v>
      </c>
      <c r="H8" s="29">
        <v>-2.130925994707269</v>
      </c>
    </row>
    <row r="9" spans="1:8" x14ac:dyDescent="0.2">
      <c r="A9" s="30" t="s">
        <v>34</v>
      </c>
      <c r="B9" s="31" t="s">
        <v>3</v>
      </c>
      <c r="C9" s="20">
        <v>10416.3024</v>
      </c>
      <c r="D9" s="20">
        <v>10149.056399999999</v>
      </c>
      <c r="E9" s="21">
        <v>8782.4499042214338</v>
      </c>
      <c r="F9" s="22" t="s">
        <v>237</v>
      </c>
      <c r="G9" s="32">
        <v>-15.685532476270723</v>
      </c>
      <c r="H9" s="33">
        <v>-13.46535522039828</v>
      </c>
    </row>
    <row r="10" spans="1:8" x14ac:dyDescent="0.2">
      <c r="A10" s="34"/>
      <c r="B10" s="25" t="s">
        <v>238</v>
      </c>
      <c r="C10" s="26">
        <v>2571.7694000000001</v>
      </c>
      <c r="D10" s="26">
        <v>2810.8753999999999</v>
      </c>
      <c r="E10" s="26">
        <v>2337.5140999999999</v>
      </c>
      <c r="F10" s="27"/>
      <c r="G10" s="35">
        <v>-9.1087210229657671</v>
      </c>
      <c r="H10" s="29">
        <v>-16.840351585844033</v>
      </c>
    </row>
    <row r="11" spans="1:8" x14ac:dyDescent="0.2">
      <c r="A11" s="30" t="s">
        <v>35</v>
      </c>
      <c r="B11" s="31" t="s">
        <v>3</v>
      </c>
      <c r="C11" s="20">
        <v>3667.3041920000001</v>
      </c>
      <c r="D11" s="20">
        <v>3469.444512</v>
      </c>
      <c r="E11" s="21">
        <v>2591.5911554348741</v>
      </c>
      <c r="F11" s="22" t="s">
        <v>237</v>
      </c>
      <c r="G11" s="37">
        <v>-29.332528207279012</v>
      </c>
      <c r="H11" s="33">
        <v>-25.302418111280815</v>
      </c>
    </row>
    <row r="12" spans="1:8" x14ac:dyDescent="0.2">
      <c r="A12" s="34"/>
      <c r="B12" s="25" t="s">
        <v>238</v>
      </c>
      <c r="C12" s="26">
        <v>999.58155199999999</v>
      </c>
      <c r="D12" s="26">
        <v>1002.978032</v>
      </c>
      <c r="E12" s="26">
        <v>734.36112800000001</v>
      </c>
      <c r="F12" s="27"/>
      <c r="G12" s="28">
        <v>-26.533145141518176</v>
      </c>
      <c r="H12" s="29">
        <v>-26.781932946662977</v>
      </c>
    </row>
    <row r="13" spans="1:8" x14ac:dyDescent="0.2">
      <c r="A13" s="30" t="s">
        <v>36</v>
      </c>
      <c r="B13" s="31" t="s">
        <v>3</v>
      </c>
      <c r="C13" s="20">
        <v>166654.99402666668</v>
      </c>
      <c r="D13" s="20">
        <v>163221.03962666666</v>
      </c>
      <c r="E13" s="21">
        <v>134459.82681865766</v>
      </c>
      <c r="F13" s="22" t="s">
        <v>237</v>
      </c>
      <c r="G13" s="23">
        <v>-19.318453308910392</v>
      </c>
      <c r="H13" s="24">
        <v>-17.621020472479614</v>
      </c>
    </row>
    <row r="14" spans="1:8" x14ac:dyDescent="0.2">
      <c r="A14" s="34"/>
      <c r="B14" s="25" t="s">
        <v>238</v>
      </c>
      <c r="C14" s="26">
        <v>45974.62616</v>
      </c>
      <c r="D14" s="26">
        <v>49563.824560000001</v>
      </c>
      <c r="E14" s="26">
        <v>39503.509906666666</v>
      </c>
      <c r="F14" s="27"/>
      <c r="G14" s="38">
        <v>-14.075408097529021</v>
      </c>
      <c r="H14" s="24">
        <v>-20.297696440182335</v>
      </c>
    </row>
    <row r="15" spans="1:8" x14ac:dyDescent="0.2">
      <c r="A15" s="30" t="s">
        <v>18</v>
      </c>
      <c r="B15" s="31" t="s">
        <v>3</v>
      </c>
      <c r="C15" s="20">
        <v>3467.2172799999998</v>
      </c>
      <c r="D15" s="20">
        <v>3303.7460799999999</v>
      </c>
      <c r="E15" s="21">
        <v>9126.9126831229096</v>
      </c>
      <c r="F15" s="22" t="s">
        <v>237</v>
      </c>
      <c r="G15" s="37">
        <v>163.23451765684871</v>
      </c>
      <c r="H15" s="33">
        <v>176.25950851292151</v>
      </c>
    </row>
    <row r="16" spans="1:8" x14ac:dyDescent="0.2">
      <c r="A16" s="34"/>
      <c r="B16" s="25" t="s">
        <v>238</v>
      </c>
      <c r="C16" s="26">
        <v>806.12968000000001</v>
      </c>
      <c r="D16" s="26">
        <v>834.41287999999997</v>
      </c>
      <c r="E16" s="26">
        <v>2240.6865200000002</v>
      </c>
      <c r="F16" s="27"/>
      <c r="G16" s="28">
        <v>177.95608766073474</v>
      </c>
      <c r="H16" s="29">
        <v>168.53450776071435</v>
      </c>
    </row>
    <row r="17" spans="1:9" x14ac:dyDescent="0.2">
      <c r="A17" s="30" t="s">
        <v>37</v>
      </c>
      <c r="B17" s="31" t="s">
        <v>3</v>
      </c>
      <c r="C17" s="20">
        <v>2949.9562879999999</v>
      </c>
      <c r="D17" s="20">
        <v>2790.166768</v>
      </c>
      <c r="E17" s="21">
        <v>3059.1830908622546</v>
      </c>
      <c r="F17" s="22" t="s">
        <v>237</v>
      </c>
      <c r="G17" s="37">
        <v>3.7026583514669085</v>
      </c>
      <c r="H17" s="33">
        <v>9.6415857986541056</v>
      </c>
    </row>
    <row r="18" spans="1:9" x14ac:dyDescent="0.2">
      <c r="A18" s="34"/>
      <c r="B18" s="25" t="s">
        <v>238</v>
      </c>
      <c r="C18" s="26">
        <v>523.37232800000004</v>
      </c>
      <c r="D18" s="26">
        <v>555.96704799999998</v>
      </c>
      <c r="E18" s="26">
        <v>585.54169200000001</v>
      </c>
      <c r="F18" s="27"/>
      <c r="G18" s="28">
        <v>11.878611205443775</v>
      </c>
      <c r="H18" s="29">
        <v>5.3194958417751508</v>
      </c>
    </row>
    <row r="19" spans="1:9" x14ac:dyDescent="0.2">
      <c r="A19" s="30" t="s">
        <v>38</v>
      </c>
      <c r="B19" s="31" t="s">
        <v>3</v>
      </c>
      <c r="C19" s="20">
        <v>4901.1736533333333</v>
      </c>
      <c r="D19" s="20">
        <v>5614.7408533333328</v>
      </c>
      <c r="E19" s="21">
        <v>5684.5344250920034</v>
      </c>
      <c r="F19" s="22" t="s">
        <v>237</v>
      </c>
      <c r="G19" s="23">
        <v>15.983126229895973</v>
      </c>
      <c r="H19" s="24">
        <v>1.2430417285819431</v>
      </c>
    </row>
    <row r="20" spans="1:9" x14ac:dyDescent="0.2">
      <c r="A20" s="30"/>
      <c r="B20" s="25" t="s">
        <v>238</v>
      </c>
      <c r="C20" s="26">
        <v>951.63591999999994</v>
      </c>
      <c r="D20" s="26">
        <v>1226.2967200000001</v>
      </c>
      <c r="E20" s="26">
        <v>1191.9352133333332</v>
      </c>
      <c r="F20" s="27"/>
      <c r="G20" s="38">
        <v>25.25117939362076</v>
      </c>
      <c r="H20" s="24">
        <v>-2.8020548458016634</v>
      </c>
    </row>
    <row r="21" spans="1:9" x14ac:dyDescent="0.2">
      <c r="A21" s="39" t="s">
        <v>39</v>
      </c>
      <c r="B21" s="31" t="s">
        <v>3</v>
      </c>
      <c r="C21" s="20">
        <v>255583.64672000002</v>
      </c>
      <c r="D21" s="20">
        <v>246464.55791999999</v>
      </c>
      <c r="E21" s="21">
        <v>299818.79879224859</v>
      </c>
      <c r="F21" s="22" t="s">
        <v>237</v>
      </c>
      <c r="G21" s="37">
        <v>17.307504857973015</v>
      </c>
      <c r="H21" s="33">
        <v>21.647835016329964</v>
      </c>
    </row>
    <row r="22" spans="1:9" x14ac:dyDescent="0.2">
      <c r="A22" s="34"/>
      <c r="B22" s="25" t="s">
        <v>238</v>
      </c>
      <c r="C22" s="26">
        <v>61823.354319999999</v>
      </c>
      <c r="D22" s="26">
        <v>63846.231119999997</v>
      </c>
      <c r="E22" s="26">
        <v>75873.639479999998</v>
      </c>
      <c r="F22" s="27"/>
      <c r="G22" s="28">
        <v>22.726500874208796</v>
      </c>
      <c r="H22" s="29">
        <v>18.838086679532111</v>
      </c>
    </row>
    <row r="23" spans="1:9" x14ac:dyDescent="0.2">
      <c r="A23" s="39" t="s">
        <v>40</v>
      </c>
      <c r="B23" s="31" t="s">
        <v>3</v>
      </c>
      <c r="C23" s="20">
        <v>194930.2096</v>
      </c>
      <c r="D23" s="20">
        <v>192266.22560000001</v>
      </c>
      <c r="E23" s="21">
        <v>181341.96168263504</v>
      </c>
      <c r="F23" s="22" t="s">
        <v>237</v>
      </c>
      <c r="G23" s="23">
        <v>-6.9708271207671118</v>
      </c>
      <c r="H23" s="24">
        <v>-5.6818423949780623</v>
      </c>
    </row>
    <row r="24" spans="1:9" x14ac:dyDescent="0.2">
      <c r="A24" s="34"/>
      <c r="B24" s="25" t="s">
        <v>238</v>
      </c>
      <c r="C24" s="26">
        <v>58490.077600000004</v>
      </c>
      <c r="D24" s="26">
        <v>56244.901599999997</v>
      </c>
      <c r="E24" s="26">
        <v>53496.056400000001</v>
      </c>
      <c r="F24" s="27"/>
      <c r="G24" s="38">
        <v>-8.5382365777541764</v>
      </c>
      <c r="H24" s="24">
        <v>-4.8872788853807805</v>
      </c>
    </row>
    <row r="25" spans="1:9" x14ac:dyDescent="0.2">
      <c r="A25" s="30" t="s">
        <v>41</v>
      </c>
      <c r="B25" s="31" t="s">
        <v>3</v>
      </c>
      <c r="C25" s="20">
        <v>321381.55839999998</v>
      </c>
      <c r="D25" s="20">
        <v>333427.1974</v>
      </c>
      <c r="E25" s="21">
        <v>307330.72107586713</v>
      </c>
      <c r="F25" s="22" t="s">
        <v>237</v>
      </c>
      <c r="G25" s="37">
        <v>-4.3720110743394969</v>
      </c>
      <c r="H25" s="33">
        <v>-7.826738948600493</v>
      </c>
    </row>
    <row r="26" spans="1:9" x14ac:dyDescent="0.2">
      <c r="A26" s="34"/>
      <c r="B26" s="25" t="s">
        <v>238</v>
      </c>
      <c r="C26" s="26">
        <v>84495.192899999995</v>
      </c>
      <c r="D26" s="26">
        <v>92699.5389</v>
      </c>
      <c r="E26" s="26">
        <v>83838.299350000001</v>
      </c>
      <c r="F26" s="27"/>
      <c r="G26" s="28">
        <v>-0.77743304376785716</v>
      </c>
      <c r="H26" s="29">
        <v>-9.5590977637538259</v>
      </c>
    </row>
    <row r="27" spans="1:9" x14ac:dyDescent="0.2">
      <c r="A27" s="30" t="s">
        <v>24</v>
      </c>
      <c r="B27" s="31" t="s">
        <v>3</v>
      </c>
      <c r="C27" s="20">
        <v>183511.47306666666</v>
      </c>
      <c r="D27" s="20">
        <v>176584.81706666667</v>
      </c>
      <c r="E27" s="21">
        <v>185007.8742935287</v>
      </c>
      <c r="F27" s="22" t="s">
        <v>237</v>
      </c>
      <c r="G27" s="23">
        <v>0.81542652448680997</v>
      </c>
      <c r="H27" s="24">
        <v>4.7699781707065227</v>
      </c>
    </row>
    <row r="28" spans="1:9" ht="13.5" thickBot="1" x14ac:dyDescent="0.25">
      <c r="A28" s="56"/>
      <c r="B28" s="42" t="s">
        <v>238</v>
      </c>
      <c r="C28" s="43">
        <v>43613.718399999998</v>
      </c>
      <c r="D28" s="43">
        <v>42674.934399999998</v>
      </c>
      <c r="E28" s="43">
        <v>44460.704266666668</v>
      </c>
      <c r="F28" s="44"/>
      <c r="G28" s="57">
        <v>1.9420170940221055</v>
      </c>
      <c r="H28" s="46">
        <v>4.1845872566043596</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ht="12.75" customHeight="1" x14ac:dyDescent="0.2">
      <c r="A35" s="200" t="s">
        <v>26</v>
      </c>
      <c r="B35" s="19" t="s">
        <v>3</v>
      </c>
      <c r="C35" s="80">
        <v>15161.339619238015</v>
      </c>
      <c r="D35" s="80">
        <v>15832.677050750513</v>
      </c>
      <c r="E35" s="83">
        <v>15926.433687020424</v>
      </c>
      <c r="F35" s="22" t="s">
        <v>237</v>
      </c>
      <c r="G35" s="23">
        <v>5.0463487198162369</v>
      </c>
      <c r="H35" s="24">
        <v>0.59217172161967824</v>
      </c>
    </row>
    <row r="36" spans="1:8" ht="12.75" customHeight="1" x14ac:dyDescent="0.2">
      <c r="A36" s="201"/>
      <c r="B36" s="25" t="s">
        <v>238</v>
      </c>
      <c r="C36" s="82">
        <v>4090.3641573987361</v>
      </c>
      <c r="D36" s="82">
        <v>4508.8045500981762</v>
      </c>
      <c r="E36" s="82">
        <v>4453.0351639524679</v>
      </c>
      <c r="F36" s="27"/>
      <c r="G36" s="28">
        <v>8.8664723383546402</v>
      </c>
      <c r="H36" s="29">
        <v>-1.2368996155420859</v>
      </c>
    </row>
    <row r="37" spans="1:8" x14ac:dyDescent="0.2">
      <c r="A37" s="30" t="s">
        <v>34</v>
      </c>
      <c r="B37" s="31" t="s">
        <v>3</v>
      </c>
      <c r="C37" s="84">
        <v>1157.196679851312</v>
      </c>
      <c r="D37" s="84">
        <v>1290.8265800279776</v>
      </c>
      <c r="E37" s="83">
        <v>1245.8921368245681</v>
      </c>
      <c r="F37" s="22" t="s">
        <v>237</v>
      </c>
      <c r="G37" s="32">
        <v>7.66468298065395</v>
      </c>
      <c r="H37" s="33">
        <v>-3.4810596480307652</v>
      </c>
    </row>
    <row r="38" spans="1:8" x14ac:dyDescent="0.2">
      <c r="A38" s="34"/>
      <c r="B38" s="25" t="s">
        <v>238</v>
      </c>
      <c r="C38" s="82">
        <v>384.95169951535337</v>
      </c>
      <c r="D38" s="82">
        <v>428.13587066140946</v>
      </c>
      <c r="E38" s="82">
        <v>413.63967423136285</v>
      </c>
      <c r="F38" s="27"/>
      <c r="G38" s="35">
        <v>7.452356945592669</v>
      </c>
      <c r="H38" s="29">
        <v>-3.3858869166117813</v>
      </c>
    </row>
    <row r="39" spans="1:8" x14ac:dyDescent="0.2">
      <c r="A39" s="30" t="s">
        <v>35</v>
      </c>
      <c r="B39" s="31" t="s">
        <v>3</v>
      </c>
      <c r="C39" s="84">
        <v>43.881944022192918</v>
      </c>
      <c r="D39" s="84">
        <v>50.117116598413013</v>
      </c>
      <c r="E39" s="83">
        <v>45.232301114201512</v>
      </c>
      <c r="F39" s="22" t="s">
        <v>237</v>
      </c>
      <c r="G39" s="37">
        <v>3.0772499306905416</v>
      </c>
      <c r="H39" s="33">
        <v>-9.7468007254954045</v>
      </c>
    </row>
    <row r="40" spans="1:8" x14ac:dyDescent="0.2">
      <c r="A40" s="34"/>
      <c r="B40" s="25" t="s">
        <v>238</v>
      </c>
      <c r="C40" s="82">
        <v>18.796454610581478</v>
      </c>
      <c r="D40" s="82">
        <v>21.836600909154981</v>
      </c>
      <c r="E40" s="82">
        <v>19.595842766037425</v>
      </c>
      <c r="F40" s="27"/>
      <c r="G40" s="28">
        <v>4.2528666816024554</v>
      </c>
      <c r="H40" s="29">
        <v>-10.261478663458661</v>
      </c>
    </row>
    <row r="41" spans="1:8" x14ac:dyDescent="0.2">
      <c r="A41" s="30" t="s">
        <v>36</v>
      </c>
      <c r="B41" s="31" t="s">
        <v>3</v>
      </c>
      <c r="C41" s="84">
        <v>2877.4410523838951</v>
      </c>
      <c r="D41" s="84">
        <v>2902.8218499061218</v>
      </c>
      <c r="E41" s="83">
        <v>2524.5168935204565</v>
      </c>
      <c r="F41" s="22" t="s">
        <v>237</v>
      </c>
      <c r="G41" s="23">
        <v>-12.26520899780202</v>
      </c>
      <c r="H41" s="24">
        <v>-13.032317377585528</v>
      </c>
    </row>
    <row r="42" spans="1:8" x14ac:dyDescent="0.2">
      <c r="A42" s="34"/>
      <c r="B42" s="25" t="s">
        <v>238</v>
      </c>
      <c r="C42" s="82">
        <v>754.13900773174385</v>
      </c>
      <c r="D42" s="82">
        <v>775.43417193310222</v>
      </c>
      <c r="E42" s="82">
        <v>670.0780584393666</v>
      </c>
      <c r="F42" s="27"/>
      <c r="G42" s="38">
        <v>-11.146612021198976</v>
      </c>
      <c r="H42" s="24">
        <v>-13.586725644433542</v>
      </c>
    </row>
    <row r="43" spans="1:8" x14ac:dyDescent="0.2">
      <c r="A43" s="30" t="s">
        <v>18</v>
      </c>
      <c r="B43" s="31" t="s">
        <v>3</v>
      </c>
      <c r="C43" s="84">
        <v>278.09246904358503</v>
      </c>
      <c r="D43" s="84">
        <v>266.32922584417429</v>
      </c>
      <c r="E43" s="83">
        <v>724.98233512815557</v>
      </c>
      <c r="F43" s="22" t="s">
        <v>237</v>
      </c>
      <c r="G43" s="37">
        <v>160.69829852692993</v>
      </c>
      <c r="H43" s="33">
        <v>172.21283463360237</v>
      </c>
    </row>
    <row r="44" spans="1:8" x14ac:dyDescent="0.2">
      <c r="A44" s="34"/>
      <c r="B44" s="25" t="s">
        <v>238</v>
      </c>
      <c r="C44" s="82">
        <v>67.698013250442344</v>
      </c>
      <c r="D44" s="82">
        <v>79.584868540646866</v>
      </c>
      <c r="E44" s="82">
        <v>201.36907792206864</v>
      </c>
      <c r="F44" s="27"/>
      <c r="G44" s="28">
        <v>197.45197569849347</v>
      </c>
      <c r="H44" s="29">
        <v>153.02432687844697</v>
      </c>
    </row>
    <row r="45" spans="1:8" x14ac:dyDescent="0.2">
      <c r="A45" s="30" t="s">
        <v>37</v>
      </c>
      <c r="B45" s="31" t="s">
        <v>3</v>
      </c>
      <c r="C45" s="84">
        <v>121.77996405712665</v>
      </c>
      <c r="D45" s="84">
        <v>134.5963927207346</v>
      </c>
      <c r="E45" s="83">
        <v>139.21071283322183</v>
      </c>
      <c r="F45" s="22" t="s">
        <v>237</v>
      </c>
      <c r="G45" s="37">
        <v>14.313314107991076</v>
      </c>
      <c r="H45" s="33">
        <v>3.4282643235923729</v>
      </c>
    </row>
    <row r="46" spans="1:8" x14ac:dyDescent="0.2">
      <c r="A46" s="34"/>
      <c r="B46" s="25" t="s">
        <v>238</v>
      </c>
      <c r="C46" s="82">
        <v>20.321537750519976</v>
      </c>
      <c r="D46" s="82">
        <v>27.101718118753514</v>
      </c>
      <c r="E46" s="82">
        <v>26.224380870290062</v>
      </c>
      <c r="F46" s="27"/>
      <c r="G46" s="28">
        <v>29.047226603798947</v>
      </c>
      <c r="H46" s="29">
        <v>-3.2372015848558391</v>
      </c>
    </row>
    <row r="47" spans="1:8" x14ac:dyDescent="0.2">
      <c r="A47" s="30" t="s">
        <v>38</v>
      </c>
      <c r="B47" s="31" t="s">
        <v>3</v>
      </c>
      <c r="C47" s="84">
        <v>96.395796485767377</v>
      </c>
      <c r="D47" s="84">
        <v>126.50901799240219</v>
      </c>
      <c r="E47" s="83">
        <v>134.15938881387149</v>
      </c>
      <c r="F47" s="22" t="s">
        <v>237</v>
      </c>
      <c r="G47" s="23">
        <v>39.175559209866407</v>
      </c>
      <c r="H47" s="24">
        <v>6.0472928672395057</v>
      </c>
    </row>
    <row r="48" spans="1:8" x14ac:dyDescent="0.2">
      <c r="A48" s="30"/>
      <c r="B48" s="25" t="s">
        <v>238</v>
      </c>
      <c r="C48" s="82">
        <v>16.131228001988656</v>
      </c>
      <c r="D48" s="82">
        <v>24.183800351677853</v>
      </c>
      <c r="E48" s="82">
        <v>24.484588951364831</v>
      </c>
      <c r="F48" s="27"/>
      <c r="G48" s="38">
        <v>51.783788241951413</v>
      </c>
      <c r="H48" s="24">
        <v>1.2437606799301477</v>
      </c>
    </row>
    <row r="49" spans="1:9" x14ac:dyDescent="0.2">
      <c r="A49" s="39" t="s">
        <v>39</v>
      </c>
      <c r="B49" s="31" t="s">
        <v>3</v>
      </c>
      <c r="C49" s="84">
        <v>1617.9421538693196</v>
      </c>
      <c r="D49" s="84">
        <v>1593.2205910805935</v>
      </c>
      <c r="E49" s="83">
        <v>1839.9217836495518</v>
      </c>
      <c r="F49" s="22" t="s">
        <v>237</v>
      </c>
      <c r="G49" s="37">
        <v>13.719874301399869</v>
      </c>
      <c r="H49" s="33">
        <v>15.484434104735897</v>
      </c>
    </row>
    <row r="50" spans="1:9" x14ac:dyDescent="0.2">
      <c r="A50" s="34"/>
      <c r="B50" s="25" t="s">
        <v>238</v>
      </c>
      <c r="C50" s="82">
        <v>340.57483687789204</v>
      </c>
      <c r="D50" s="82">
        <v>389.25617273343158</v>
      </c>
      <c r="E50" s="82">
        <v>426.6783356999934</v>
      </c>
      <c r="F50" s="27"/>
      <c r="G50" s="28">
        <v>25.281814596588205</v>
      </c>
      <c r="H50" s="29">
        <v>9.6137622439680825</v>
      </c>
    </row>
    <row r="51" spans="1:9" x14ac:dyDescent="0.2">
      <c r="A51" s="39" t="s">
        <v>40</v>
      </c>
      <c r="B51" s="31" t="s">
        <v>3</v>
      </c>
      <c r="C51" s="84">
        <v>810.08675183774267</v>
      </c>
      <c r="D51" s="84">
        <v>863.94073953695624</v>
      </c>
      <c r="E51" s="83">
        <v>824.38956016312432</v>
      </c>
      <c r="F51" s="22" t="s">
        <v>237</v>
      </c>
      <c r="G51" s="23">
        <v>1.7655897091187569</v>
      </c>
      <c r="H51" s="24">
        <v>-4.5779967958253849</v>
      </c>
    </row>
    <row r="52" spans="1:9" x14ac:dyDescent="0.2">
      <c r="A52" s="34"/>
      <c r="B52" s="25" t="s">
        <v>238</v>
      </c>
      <c r="C52" s="82">
        <v>236.90588380309148</v>
      </c>
      <c r="D52" s="82">
        <v>254.76524488259065</v>
      </c>
      <c r="E52" s="82">
        <v>242.42723036944761</v>
      </c>
      <c r="F52" s="27"/>
      <c r="G52" s="38">
        <v>2.3306076141803516</v>
      </c>
      <c r="H52" s="24">
        <v>-4.8428954737641021</v>
      </c>
    </row>
    <row r="53" spans="1:9" x14ac:dyDescent="0.2">
      <c r="A53" s="30" t="s">
        <v>41</v>
      </c>
      <c r="B53" s="31" t="s">
        <v>3</v>
      </c>
      <c r="C53" s="84">
        <v>7311.0329433679635</v>
      </c>
      <c r="D53" s="84">
        <v>7804.6326024530817</v>
      </c>
      <c r="E53" s="83">
        <v>7494.1195210989526</v>
      </c>
      <c r="F53" s="22" t="s">
        <v>237</v>
      </c>
      <c r="G53" s="37">
        <v>2.5042504821028331</v>
      </c>
      <c r="H53" s="33">
        <v>-3.978573972290917</v>
      </c>
    </row>
    <row r="54" spans="1:9" x14ac:dyDescent="0.2">
      <c r="A54" s="34"/>
      <c r="B54" s="25" t="s">
        <v>238</v>
      </c>
      <c r="C54" s="82">
        <v>2049.0315945834991</v>
      </c>
      <c r="D54" s="82">
        <v>2296.9695207450618</v>
      </c>
      <c r="E54" s="82">
        <v>2169.3508896717317</v>
      </c>
      <c r="F54" s="27"/>
      <c r="G54" s="28">
        <v>5.872007801455581</v>
      </c>
      <c r="H54" s="29">
        <v>-5.5559566603188841</v>
      </c>
    </row>
    <row r="55" spans="1:9" x14ac:dyDescent="0.2">
      <c r="A55" s="30" t="s">
        <v>24</v>
      </c>
      <c r="B55" s="31" t="s">
        <v>3</v>
      </c>
      <c r="C55" s="84">
        <v>847.48986431911158</v>
      </c>
      <c r="D55" s="84">
        <v>799.68293459006009</v>
      </c>
      <c r="E55" s="83">
        <v>1016.0193372360911</v>
      </c>
      <c r="F55" s="22" t="s">
        <v>237</v>
      </c>
      <c r="G55" s="23">
        <v>19.885721353420436</v>
      </c>
      <c r="H55" s="24">
        <v>27.052772203639819</v>
      </c>
    </row>
    <row r="56" spans="1:9" ht="13.5" thickBot="1" x14ac:dyDescent="0.25">
      <c r="A56" s="56"/>
      <c r="B56" s="42" t="s">
        <v>238</v>
      </c>
      <c r="C56" s="86">
        <v>201.8139012736234</v>
      </c>
      <c r="D56" s="86">
        <v>211.5365812223468</v>
      </c>
      <c r="E56" s="86">
        <v>259.18708503080478</v>
      </c>
      <c r="F56" s="44"/>
      <c r="G56" s="57">
        <v>28.42875708516911</v>
      </c>
      <c r="H56" s="46">
        <v>22.525892936868615</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H61" s="195">
        <v>12</v>
      </c>
    </row>
    <row r="62" spans="1:9" ht="12.75" customHeight="1" x14ac:dyDescent="0.2">
      <c r="A62" s="54" t="s">
        <v>240</v>
      </c>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zoomScaleSheetLayoutView="5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198" t="s">
        <v>1</v>
      </c>
      <c r="H5" s="199"/>
    </row>
    <row r="6" spans="1:8" x14ac:dyDescent="0.2">
      <c r="A6" s="12"/>
      <c r="B6" s="13"/>
      <c r="C6" s="14" t="s">
        <v>232</v>
      </c>
      <c r="D6" s="15" t="s">
        <v>233</v>
      </c>
      <c r="E6" s="15" t="s">
        <v>234</v>
      </c>
      <c r="F6" s="16"/>
      <c r="G6" s="17" t="s">
        <v>235</v>
      </c>
      <c r="H6" s="18" t="s">
        <v>236</v>
      </c>
    </row>
    <row r="7" spans="1:8" x14ac:dyDescent="0.2">
      <c r="A7" s="200" t="s">
        <v>17</v>
      </c>
      <c r="B7" s="19" t="s">
        <v>3</v>
      </c>
      <c r="C7" s="20">
        <v>401911.93909904256</v>
      </c>
      <c r="D7" s="20">
        <v>436422.0568025253</v>
      </c>
      <c r="E7" s="21">
        <v>516311.84477175301</v>
      </c>
      <c r="F7" s="22" t="s">
        <v>237</v>
      </c>
      <c r="G7" s="23">
        <v>28.46392319898689</v>
      </c>
      <c r="H7" s="24">
        <v>18.305625649295877</v>
      </c>
    </row>
    <row r="8" spans="1:8" x14ac:dyDescent="0.2">
      <c r="A8" s="201"/>
      <c r="B8" s="25" t="s">
        <v>238</v>
      </c>
      <c r="C8" s="26">
        <v>80234.550480475766</v>
      </c>
      <c r="D8" s="26">
        <v>90726.55665428417</v>
      </c>
      <c r="E8" s="26">
        <v>105875.26420063133</v>
      </c>
      <c r="F8" s="27"/>
      <c r="G8" s="28">
        <v>31.957197449987518</v>
      </c>
      <c r="H8" s="29">
        <v>16.697104028836549</v>
      </c>
    </row>
    <row r="9" spans="1:8" x14ac:dyDescent="0.2">
      <c r="A9" s="30" t="s">
        <v>18</v>
      </c>
      <c r="B9" s="31" t="s">
        <v>3</v>
      </c>
      <c r="C9" s="20">
        <v>24841.406678260868</v>
      </c>
      <c r="D9" s="20">
        <v>31193.199773913046</v>
      </c>
      <c r="E9" s="21">
        <v>37409.884210404685</v>
      </c>
      <c r="F9" s="22" t="s">
        <v>237</v>
      </c>
      <c r="G9" s="32">
        <v>50.594870471416186</v>
      </c>
      <c r="H9" s="33">
        <v>19.929614408107852</v>
      </c>
    </row>
    <row r="10" spans="1:8" x14ac:dyDescent="0.2">
      <c r="A10" s="34"/>
      <c r="B10" s="25" t="s">
        <v>238</v>
      </c>
      <c r="C10" s="26">
        <v>5170.9344565217389</v>
      </c>
      <c r="D10" s="26">
        <v>5067.1914826086959</v>
      </c>
      <c r="E10" s="26">
        <v>6557.0499434782614</v>
      </c>
      <c r="F10" s="27"/>
      <c r="G10" s="35">
        <v>26.805899371018157</v>
      </c>
      <c r="H10" s="29">
        <v>29.402055674883542</v>
      </c>
    </row>
    <row r="11" spans="1:8" x14ac:dyDescent="0.2">
      <c r="A11" s="30" t="s">
        <v>19</v>
      </c>
      <c r="B11" s="31" t="s">
        <v>3</v>
      </c>
      <c r="C11" s="20">
        <v>69858.022260869562</v>
      </c>
      <c r="D11" s="20">
        <v>70509.665913043485</v>
      </c>
      <c r="E11" s="21">
        <v>66369.710948064516</v>
      </c>
      <c r="F11" s="22" t="s">
        <v>237</v>
      </c>
      <c r="G11" s="37">
        <v>-4.9934298165194377</v>
      </c>
      <c r="H11" s="33">
        <v>-5.8714715370862649</v>
      </c>
    </row>
    <row r="12" spans="1:8" x14ac:dyDescent="0.2">
      <c r="A12" s="34"/>
      <c r="B12" s="25" t="s">
        <v>238</v>
      </c>
      <c r="C12" s="26">
        <v>19314.781521739129</v>
      </c>
      <c r="D12" s="26">
        <v>17493.971608695654</v>
      </c>
      <c r="E12" s="26">
        <v>17050.166478260871</v>
      </c>
      <c r="F12" s="27"/>
      <c r="G12" s="28">
        <v>-11.724776906895869</v>
      </c>
      <c r="H12" s="29">
        <v>-2.5369032279335784</v>
      </c>
    </row>
    <row r="13" spans="1:8" x14ac:dyDescent="0.2">
      <c r="A13" s="30" t="s">
        <v>20</v>
      </c>
      <c r="B13" s="31" t="s">
        <v>3</v>
      </c>
      <c r="C13" s="20">
        <v>29684.962981366458</v>
      </c>
      <c r="D13" s="20">
        <v>34331.50757763975</v>
      </c>
      <c r="E13" s="21">
        <v>42243.081327865024</v>
      </c>
      <c r="F13" s="22" t="s">
        <v>237</v>
      </c>
      <c r="G13" s="23">
        <v>42.304645467745473</v>
      </c>
      <c r="H13" s="24">
        <v>23.044644143090622</v>
      </c>
    </row>
    <row r="14" spans="1:8" x14ac:dyDescent="0.2">
      <c r="A14" s="34"/>
      <c r="B14" s="25" t="s">
        <v>238</v>
      </c>
      <c r="C14" s="26">
        <v>4796.1816770186342</v>
      </c>
      <c r="D14" s="26">
        <v>6182.1769565217392</v>
      </c>
      <c r="E14" s="26">
        <v>7327.1268944099374</v>
      </c>
      <c r="F14" s="27"/>
      <c r="G14" s="38">
        <v>52.770003053023828</v>
      </c>
      <c r="H14" s="24">
        <v>18.520174138340707</v>
      </c>
    </row>
    <row r="15" spans="1:8" x14ac:dyDescent="0.2">
      <c r="A15" s="30" t="s">
        <v>21</v>
      </c>
      <c r="B15" s="31" t="s">
        <v>3</v>
      </c>
      <c r="C15" s="20">
        <v>4864.7808695652175</v>
      </c>
      <c r="D15" s="20">
        <v>5193.3147101449276</v>
      </c>
      <c r="E15" s="21">
        <v>6336.1405751470174</v>
      </c>
      <c r="F15" s="22" t="s">
        <v>237</v>
      </c>
      <c r="G15" s="37">
        <v>30.245138373792798</v>
      </c>
      <c r="H15" s="33">
        <v>22.005711742629927</v>
      </c>
    </row>
    <row r="16" spans="1:8" x14ac:dyDescent="0.2">
      <c r="A16" s="34"/>
      <c r="B16" s="25" t="s">
        <v>238</v>
      </c>
      <c r="C16" s="26">
        <v>842.13632246376812</v>
      </c>
      <c r="D16" s="26">
        <v>1054.7182789855074</v>
      </c>
      <c r="E16" s="26">
        <v>1216.5786775362319</v>
      </c>
      <c r="F16" s="27"/>
      <c r="G16" s="28">
        <v>44.463389724954396</v>
      </c>
      <c r="H16" s="29">
        <v>15.346315862318406</v>
      </c>
    </row>
    <row r="17" spans="1:8" x14ac:dyDescent="0.2">
      <c r="A17" s="30" t="s">
        <v>22</v>
      </c>
      <c r="B17" s="31" t="s">
        <v>3</v>
      </c>
      <c r="C17" s="20">
        <v>8089.7808695652175</v>
      </c>
      <c r="D17" s="20">
        <v>7586.3147101449276</v>
      </c>
      <c r="E17" s="21">
        <v>7940.2600255675852</v>
      </c>
      <c r="F17" s="22" t="s">
        <v>237</v>
      </c>
      <c r="G17" s="37">
        <v>-1.8482681596500186</v>
      </c>
      <c r="H17" s="33">
        <v>4.6655764880059394</v>
      </c>
    </row>
    <row r="18" spans="1:8" x14ac:dyDescent="0.2">
      <c r="A18" s="34"/>
      <c r="B18" s="25" t="s">
        <v>238</v>
      </c>
      <c r="C18" s="26">
        <v>1365.136322463768</v>
      </c>
      <c r="D18" s="26">
        <v>1385.7182789855071</v>
      </c>
      <c r="E18" s="26">
        <v>1411.5786775362319</v>
      </c>
      <c r="F18" s="27"/>
      <c r="G18" s="28">
        <v>3.4020305744004986</v>
      </c>
      <c r="H18" s="29">
        <v>1.8662089504698969</v>
      </c>
    </row>
    <row r="19" spans="1:8" x14ac:dyDescent="0.2">
      <c r="A19" s="30" t="s">
        <v>189</v>
      </c>
      <c r="B19" s="31" t="s">
        <v>3</v>
      </c>
      <c r="C19" s="20">
        <v>173973.40745341615</v>
      </c>
      <c r="D19" s="20">
        <v>248706.26894409937</v>
      </c>
      <c r="E19" s="21">
        <v>371900.42597144324</v>
      </c>
      <c r="F19" s="22" t="s">
        <v>237</v>
      </c>
      <c r="G19" s="23">
        <v>113.76854739769632</v>
      </c>
      <c r="H19" s="24">
        <v>49.533997494463534</v>
      </c>
    </row>
    <row r="20" spans="1:8" x14ac:dyDescent="0.2">
      <c r="A20" s="30"/>
      <c r="B20" s="25" t="s">
        <v>238</v>
      </c>
      <c r="C20" s="26">
        <v>31010.454192546586</v>
      </c>
      <c r="D20" s="26">
        <v>39593.442391304343</v>
      </c>
      <c r="E20" s="26">
        <v>61392.817236024843</v>
      </c>
      <c r="F20" s="27"/>
      <c r="G20" s="38">
        <v>97.974582554746036</v>
      </c>
      <c r="H20" s="24">
        <v>55.058043777239646</v>
      </c>
    </row>
    <row r="21" spans="1:8" x14ac:dyDescent="0.2">
      <c r="A21" s="39" t="s">
        <v>12</v>
      </c>
      <c r="B21" s="31" t="s">
        <v>3</v>
      </c>
      <c r="C21" s="20">
        <v>1964.6685217391305</v>
      </c>
      <c r="D21" s="20">
        <v>1977.3888260869564</v>
      </c>
      <c r="E21" s="21">
        <v>2331.7504922477474</v>
      </c>
      <c r="F21" s="22" t="s">
        <v>237</v>
      </c>
      <c r="G21" s="37">
        <v>18.684168166122745</v>
      </c>
      <c r="H21" s="33">
        <v>17.920687195448309</v>
      </c>
    </row>
    <row r="22" spans="1:8" x14ac:dyDescent="0.2">
      <c r="A22" s="34"/>
      <c r="B22" s="25" t="s">
        <v>238</v>
      </c>
      <c r="C22" s="26">
        <v>307.4817934782609</v>
      </c>
      <c r="D22" s="26">
        <v>379.83096739130434</v>
      </c>
      <c r="E22" s="26">
        <v>416.34720652173911</v>
      </c>
      <c r="F22" s="27"/>
      <c r="G22" s="28">
        <v>35.405482650528086</v>
      </c>
      <c r="H22" s="29">
        <v>9.6138130551149885</v>
      </c>
    </row>
    <row r="23" spans="1:8" x14ac:dyDescent="0.2">
      <c r="A23" s="39" t="s">
        <v>23</v>
      </c>
      <c r="B23" s="31" t="s">
        <v>3</v>
      </c>
      <c r="C23" s="20">
        <v>13348.780869565217</v>
      </c>
      <c r="D23" s="20">
        <v>13174.314710144929</v>
      </c>
      <c r="E23" s="21">
        <v>12763.709409882367</v>
      </c>
      <c r="F23" s="22" t="s">
        <v>237</v>
      </c>
      <c r="G23" s="23">
        <v>-4.3829580049275734</v>
      </c>
      <c r="H23" s="24">
        <v>-3.1167108824747771</v>
      </c>
    </row>
    <row r="24" spans="1:8" x14ac:dyDescent="0.2">
      <c r="A24" s="34"/>
      <c r="B24" s="25" t="s">
        <v>238</v>
      </c>
      <c r="C24" s="26">
        <v>3323.136322463768</v>
      </c>
      <c r="D24" s="26">
        <v>3483.7182789855069</v>
      </c>
      <c r="E24" s="26">
        <v>3306.5786775362321</v>
      </c>
      <c r="F24" s="27"/>
      <c r="G24" s="28">
        <v>-0.49825355690674655</v>
      </c>
      <c r="H24" s="29">
        <v>-5.0847854867546687</v>
      </c>
    </row>
    <row r="25" spans="1:8" x14ac:dyDescent="0.2">
      <c r="A25" s="30" t="s">
        <v>24</v>
      </c>
      <c r="B25" s="31" t="s">
        <v>3</v>
      </c>
      <c r="C25" s="20">
        <v>86794.56173913044</v>
      </c>
      <c r="D25" s="20">
        <v>34043.629420289857</v>
      </c>
      <c r="E25" s="21">
        <v>33147.190635823885</v>
      </c>
      <c r="F25" s="22" t="s">
        <v>237</v>
      </c>
      <c r="G25" s="23">
        <v>-61.809599620479659</v>
      </c>
      <c r="H25" s="24">
        <v>-2.6332056826223607</v>
      </c>
    </row>
    <row r="26" spans="1:8" ht="13.5" thickBot="1" x14ac:dyDescent="0.25">
      <c r="A26" s="41"/>
      <c r="B26" s="42" t="s">
        <v>238</v>
      </c>
      <c r="C26" s="43">
        <v>16005.272644927536</v>
      </c>
      <c r="D26" s="43">
        <v>18178.436557971014</v>
      </c>
      <c r="E26" s="43">
        <v>10846.157355072464</v>
      </c>
      <c r="F26" s="44"/>
      <c r="G26" s="45">
        <v>-32.233848209328215</v>
      </c>
      <c r="H26" s="46">
        <v>-40.335037501800109</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4" t="s">
        <v>16</v>
      </c>
      <c r="D33" s="198"/>
      <c r="E33" s="198"/>
      <c r="F33" s="205"/>
      <c r="G33" s="198" t="s">
        <v>1</v>
      </c>
      <c r="H33" s="199"/>
    </row>
    <row r="34" spans="1:8" x14ac:dyDescent="0.2">
      <c r="A34" s="12"/>
      <c r="B34" s="13"/>
      <c r="C34" s="14" t="s">
        <v>232</v>
      </c>
      <c r="D34" s="15" t="s">
        <v>233</v>
      </c>
      <c r="E34" s="15" t="s">
        <v>234</v>
      </c>
      <c r="F34" s="16"/>
      <c r="G34" s="17" t="s">
        <v>235</v>
      </c>
      <c r="H34" s="18" t="s">
        <v>236</v>
      </c>
    </row>
    <row r="35" spans="1:8" x14ac:dyDescent="0.2">
      <c r="A35" s="200" t="s">
        <v>17</v>
      </c>
      <c r="B35" s="19" t="s">
        <v>3</v>
      </c>
      <c r="C35" s="80">
        <v>8904.3769745772443</v>
      </c>
      <c r="D35" s="80">
        <v>8866.896608576435</v>
      </c>
      <c r="E35" s="83">
        <v>9671.9737065747922</v>
      </c>
      <c r="F35" s="22" t="s">
        <v>237</v>
      </c>
      <c r="G35" s="23">
        <v>8.6204428921765412</v>
      </c>
      <c r="H35" s="24">
        <v>9.0795814312264866</v>
      </c>
    </row>
    <row r="36" spans="1:8" x14ac:dyDescent="0.2">
      <c r="A36" s="201"/>
      <c r="B36" s="25" t="s">
        <v>238</v>
      </c>
      <c r="C36" s="82">
        <v>2162.8651301313712</v>
      </c>
      <c r="D36" s="82">
        <v>2004.894832726158</v>
      </c>
      <c r="E36" s="82">
        <v>2238.5054961430219</v>
      </c>
      <c r="F36" s="27"/>
      <c r="G36" s="28">
        <v>3.4972298992612849</v>
      </c>
      <c r="H36" s="29">
        <v>11.652015836621786</v>
      </c>
    </row>
    <row r="37" spans="1:8" x14ac:dyDescent="0.2">
      <c r="A37" s="30" t="s">
        <v>18</v>
      </c>
      <c r="B37" s="31" t="s">
        <v>3</v>
      </c>
      <c r="C37" s="80">
        <v>3037.3151262980332</v>
      </c>
      <c r="D37" s="80">
        <v>2867.3178072613055</v>
      </c>
      <c r="E37" s="83">
        <v>3137.6483682726225</v>
      </c>
      <c r="F37" s="22" t="s">
        <v>237</v>
      </c>
      <c r="G37" s="32">
        <v>3.3033530536845603</v>
      </c>
      <c r="H37" s="33">
        <v>9.4279943550980505</v>
      </c>
    </row>
    <row r="38" spans="1:8" x14ac:dyDescent="0.2">
      <c r="A38" s="34"/>
      <c r="B38" s="25" t="s">
        <v>238</v>
      </c>
      <c r="C38" s="82">
        <v>724.58375333674087</v>
      </c>
      <c r="D38" s="82">
        <v>622.9159796216677</v>
      </c>
      <c r="E38" s="82">
        <v>702.56759376468301</v>
      </c>
      <c r="F38" s="27"/>
      <c r="G38" s="35">
        <v>-3.0384561440513096</v>
      </c>
      <c r="H38" s="29">
        <v>12.786895303503414</v>
      </c>
    </row>
    <row r="39" spans="1:8" x14ac:dyDescent="0.2">
      <c r="A39" s="30" t="s">
        <v>19</v>
      </c>
      <c r="B39" s="31" t="s">
        <v>3</v>
      </c>
      <c r="C39" s="80">
        <v>2934.8006806299086</v>
      </c>
      <c r="D39" s="80">
        <v>3233.0145650993327</v>
      </c>
      <c r="E39" s="83">
        <v>3235.4746422533062</v>
      </c>
      <c r="F39" s="22" t="s">
        <v>237</v>
      </c>
      <c r="G39" s="37">
        <v>10.245123752624409</v>
      </c>
      <c r="H39" s="33">
        <v>7.6092362234618349E-2</v>
      </c>
    </row>
    <row r="40" spans="1:8" x14ac:dyDescent="0.2">
      <c r="A40" s="34"/>
      <c r="B40" s="25" t="s">
        <v>238</v>
      </c>
      <c r="C40" s="82">
        <v>761.06433073321068</v>
      </c>
      <c r="D40" s="82">
        <v>727.59359840826312</v>
      </c>
      <c r="E40" s="82">
        <v>761.70343181216617</v>
      </c>
      <c r="F40" s="27"/>
      <c r="G40" s="28">
        <v>8.397464618263939E-2</v>
      </c>
      <c r="H40" s="29">
        <v>4.6880337428097505</v>
      </c>
    </row>
    <row r="41" spans="1:8" x14ac:dyDescent="0.2">
      <c r="A41" s="30" t="s">
        <v>20</v>
      </c>
      <c r="B41" s="31" t="s">
        <v>3</v>
      </c>
      <c r="C41" s="80">
        <v>375.52211592854434</v>
      </c>
      <c r="D41" s="80">
        <v>398.01623132637644</v>
      </c>
      <c r="E41" s="83">
        <v>456.49437717479753</v>
      </c>
      <c r="F41" s="22" t="s">
        <v>237</v>
      </c>
      <c r="G41" s="23">
        <v>21.562581220026161</v>
      </c>
      <c r="H41" s="24">
        <v>14.692402280566426</v>
      </c>
    </row>
    <row r="42" spans="1:8" x14ac:dyDescent="0.2">
      <c r="A42" s="34"/>
      <c r="B42" s="25" t="s">
        <v>238</v>
      </c>
      <c r="C42" s="82">
        <v>77.712738201751648</v>
      </c>
      <c r="D42" s="82">
        <v>77.544223553519515</v>
      </c>
      <c r="E42" s="82">
        <v>90.707996860258859</v>
      </c>
      <c r="F42" s="27"/>
      <c r="G42" s="38">
        <v>16.722173171623368</v>
      </c>
      <c r="H42" s="24">
        <v>16.975827087434766</v>
      </c>
    </row>
    <row r="43" spans="1:8" x14ac:dyDescent="0.2">
      <c r="A43" s="30" t="s">
        <v>21</v>
      </c>
      <c r="B43" s="31" t="s">
        <v>3</v>
      </c>
      <c r="C43" s="80">
        <v>45.958752576502974</v>
      </c>
      <c r="D43" s="80">
        <v>50.789542562724662</v>
      </c>
      <c r="E43" s="83">
        <v>70.605682200894364</v>
      </c>
      <c r="F43" s="22" t="s">
        <v>237</v>
      </c>
      <c r="G43" s="37">
        <v>53.628369445763553</v>
      </c>
      <c r="H43" s="33">
        <v>39.016180572402135</v>
      </c>
    </row>
    <row r="44" spans="1:8" x14ac:dyDescent="0.2">
      <c r="A44" s="34"/>
      <c r="B44" s="25" t="s">
        <v>238</v>
      </c>
      <c r="C44" s="82">
        <v>9.1587094067667323</v>
      </c>
      <c r="D44" s="82">
        <v>9.5122588536742789</v>
      </c>
      <c r="E44" s="82">
        <v>13.494287704766759</v>
      </c>
      <c r="F44" s="27"/>
      <c r="G44" s="28">
        <v>47.338310513452598</v>
      </c>
      <c r="H44" s="29">
        <v>41.862074112442286</v>
      </c>
    </row>
    <row r="45" spans="1:8" x14ac:dyDescent="0.2">
      <c r="A45" s="30" t="s">
        <v>22</v>
      </c>
      <c r="B45" s="31" t="s">
        <v>3</v>
      </c>
      <c r="C45" s="80">
        <v>40.378602719497827</v>
      </c>
      <c r="D45" s="80">
        <v>35.716650817172876</v>
      </c>
      <c r="E45" s="83">
        <v>40.455211753465484</v>
      </c>
      <c r="F45" s="22" t="s">
        <v>237</v>
      </c>
      <c r="G45" s="37">
        <v>0.18972680778442452</v>
      </c>
      <c r="H45" s="33">
        <v>13.267092036564264</v>
      </c>
    </row>
    <row r="46" spans="1:8" x14ac:dyDescent="0.2">
      <c r="A46" s="34"/>
      <c r="B46" s="25" t="s">
        <v>238</v>
      </c>
      <c r="C46" s="82">
        <v>6.9476244773945597</v>
      </c>
      <c r="D46" s="82">
        <v>6.4970919183883646</v>
      </c>
      <c r="E46" s="82">
        <v>7.2213444970812297</v>
      </c>
      <c r="F46" s="27"/>
      <c r="G46" s="28">
        <v>3.9397641679867803</v>
      </c>
      <c r="H46" s="29">
        <v>11.147334650492667</v>
      </c>
    </row>
    <row r="47" spans="1:8" x14ac:dyDescent="0.2">
      <c r="A47" s="30" t="s">
        <v>189</v>
      </c>
      <c r="B47" s="31" t="s">
        <v>3</v>
      </c>
      <c r="C47" s="80">
        <v>1259.2014506981182</v>
      </c>
      <c r="D47" s="80">
        <v>1278.84087611615</v>
      </c>
      <c r="E47" s="83">
        <v>1530.6207943096554</v>
      </c>
      <c r="F47" s="22" t="s">
        <v>237</v>
      </c>
      <c r="G47" s="23">
        <v>21.554878566972647</v>
      </c>
      <c r="H47" s="24">
        <v>19.688135005362284</v>
      </c>
    </row>
    <row r="48" spans="1:8" x14ac:dyDescent="0.2">
      <c r="A48" s="30"/>
      <c r="B48" s="25" t="s">
        <v>238</v>
      </c>
      <c r="C48" s="82">
        <v>308.98088207868676</v>
      </c>
      <c r="D48" s="82">
        <v>274.85476805777949</v>
      </c>
      <c r="E48" s="82">
        <v>343.16510044556111</v>
      </c>
      <c r="F48" s="27"/>
      <c r="G48" s="38">
        <v>11.063538344799213</v>
      </c>
      <c r="H48" s="24">
        <v>24.853246269106563</v>
      </c>
    </row>
    <row r="49" spans="1:8" x14ac:dyDescent="0.2">
      <c r="A49" s="39" t="s">
        <v>12</v>
      </c>
      <c r="B49" s="31" t="s">
        <v>3</v>
      </c>
      <c r="C49" s="80">
        <v>22.759661424554807</v>
      </c>
      <c r="D49" s="80">
        <v>35.35507725681515</v>
      </c>
      <c r="E49" s="83">
        <v>26.325125721119235</v>
      </c>
      <c r="F49" s="22" t="s">
        <v>237</v>
      </c>
      <c r="G49" s="37">
        <v>15.665717648671801</v>
      </c>
      <c r="H49" s="33">
        <v>-25.540748985226088</v>
      </c>
    </row>
    <row r="50" spans="1:8" x14ac:dyDescent="0.2">
      <c r="A50" s="34"/>
      <c r="B50" s="25" t="s">
        <v>238</v>
      </c>
      <c r="C50" s="82">
        <v>4.9687234662784956</v>
      </c>
      <c r="D50" s="82">
        <v>4.2552463860105707</v>
      </c>
      <c r="E50" s="82">
        <v>3.725648048271061</v>
      </c>
      <c r="F50" s="27"/>
      <c r="G50" s="28">
        <v>-25.018003647091291</v>
      </c>
      <c r="H50" s="29">
        <v>-12.445773750742191</v>
      </c>
    </row>
    <row r="51" spans="1:8" x14ac:dyDescent="0.2">
      <c r="A51" s="39" t="s">
        <v>23</v>
      </c>
      <c r="B51" s="31" t="s">
        <v>3</v>
      </c>
      <c r="C51" s="80">
        <v>332.94284501083905</v>
      </c>
      <c r="D51" s="80">
        <v>315.1599379711983</v>
      </c>
      <c r="E51" s="83">
        <v>283.70749207981112</v>
      </c>
      <c r="F51" s="22" t="s">
        <v>237</v>
      </c>
      <c r="G51" s="23">
        <v>-14.787929420566186</v>
      </c>
      <c r="H51" s="24">
        <v>-9.97983629958118</v>
      </c>
    </row>
    <row r="52" spans="1:8" x14ac:dyDescent="0.2">
      <c r="A52" s="34"/>
      <c r="B52" s="25" t="s">
        <v>238</v>
      </c>
      <c r="C52" s="82">
        <v>78.714470692029451</v>
      </c>
      <c r="D52" s="82">
        <v>77.407102632035631</v>
      </c>
      <c r="E52" s="82">
        <v>68.790501549706406</v>
      </c>
      <c r="F52" s="27"/>
      <c r="G52" s="28">
        <v>-12.607553674788207</v>
      </c>
      <c r="H52" s="29">
        <v>-11.13153804927866</v>
      </c>
    </row>
    <row r="53" spans="1:8" x14ac:dyDescent="0.2">
      <c r="A53" s="30" t="s">
        <v>24</v>
      </c>
      <c r="B53" s="31" t="s">
        <v>3</v>
      </c>
      <c r="C53" s="80">
        <v>855.49773929124785</v>
      </c>
      <c r="D53" s="80">
        <v>652.68592016535774</v>
      </c>
      <c r="E53" s="83">
        <v>895.78912588521246</v>
      </c>
      <c r="F53" s="22" t="s">
        <v>237</v>
      </c>
      <c r="G53" s="23">
        <v>4.7097011182454622</v>
      </c>
      <c r="H53" s="24">
        <v>37.246583419214033</v>
      </c>
    </row>
    <row r="54" spans="1:8" ht="13.5" thickBot="1" x14ac:dyDescent="0.25">
      <c r="A54" s="41"/>
      <c r="B54" s="42" t="s">
        <v>238</v>
      </c>
      <c r="C54" s="86">
        <v>190.73389773851164</v>
      </c>
      <c r="D54" s="86">
        <v>204.31456329481932</v>
      </c>
      <c r="E54" s="86">
        <v>247.12959146052677</v>
      </c>
      <c r="F54" s="44"/>
      <c r="G54" s="45">
        <v>29.567735148647415</v>
      </c>
      <c r="H54" s="46">
        <v>20.95544609021664</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3">
        <v>13</v>
      </c>
    </row>
    <row r="62" spans="1:8" ht="12.75" customHeight="1" x14ac:dyDescent="0.2">
      <c r="A62" s="54" t="s">
        <v>240</v>
      </c>
      <c r="G62" s="53"/>
      <c r="H62" s="196"/>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2020-05-25T15:32:34Z</dcterms:modified>
</cp:coreProperties>
</file>